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omments2.xml" ContentType="application/vnd.openxmlformats-officedocument.spreadsheetml.comments+xml"/>
  <Override PartName="/xl/customProperty6.bin" ContentType="application/vnd.openxmlformats-officedocument.spreadsheetml.customProperty"/>
  <Override PartName="/xl/customProperty7.bin" ContentType="application/vnd.openxmlformats-officedocument.spreadsheetml.customProperty"/>
  <Override PartName="/xl/comments3.xml" ContentType="application/vnd.openxmlformats-officedocument.spreadsheetml.comments+xml"/>
  <Override PartName="/xl/customProperty8.bin" ContentType="application/vnd.openxmlformats-officedocument.spreadsheetml.customProperty"/>
  <Override PartName="/xl/comments4.xml" ContentType="application/vnd.openxmlformats-officedocument.spreadsheetml.comments+xml"/>
  <Override PartName="/xl/customProperty9.bin" ContentType="application/vnd.openxmlformats-officedocument.spreadsheetml.customProperty"/>
  <Override PartName="/xl/comments5.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omments6.xml" ContentType="application/vnd.openxmlformats-officedocument.spreadsheetml.comments+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omments7.xml" ContentType="application/vnd.openxmlformats-officedocument.spreadsheetml.comments+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caa.sharepoint.com/sites/consumers-and-markets-group/ercp/atm-regulation/project/NR23/CAA consultations and Publications/(7) November 2023 - CRCO Tables/"/>
    </mc:Choice>
  </mc:AlternateContent>
  <xr:revisionPtr revIDLastSave="0" documentId="8_{1658DEFE-F726-4CC5-8025-0543DAD4F436}" xr6:coauthVersionLast="47" xr6:coauthVersionMax="47" xr10:uidLastSave="{00000000-0000-0000-0000-000000000000}"/>
  <bookViews>
    <workbookView xWindow="-108" yWindow="-108" windowWidth="23256" windowHeight="14016" tabRatio="656" activeTab="5" xr2:uid="{00000000-000D-0000-FFFF-FFFF00000000}"/>
  </bookViews>
  <sheets>
    <sheet name="Checks" sheetId="34" r:id="rId1"/>
    <sheet name="T1" sheetId="2" r:id="rId2"/>
    <sheet name="T1 ANSP" sheetId="12" r:id="rId3"/>
    <sheet name="T1 MET" sheetId="11" r:id="rId4"/>
    <sheet name="T1 NSA" sheetId="10" r:id="rId5"/>
    <sheet name="T2" sheetId="35" r:id="rId6"/>
    <sheet name="T2 ANSP" sheetId="36" r:id="rId7"/>
    <sheet name="T2 MET" sheetId="37" r:id="rId8"/>
    <sheet name="T2 NSA" sheetId="38" r:id="rId9"/>
    <sheet name="T3" sheetId="39" r:id="rId10"/>
    <sheet name="T3 ANSP" sheetId="40" r:id="rId11"/>
    <sheet name="T3 MET" sheetId="48" r:id="rId12"/>
    <sheet name="T3 MET old" sheetId="41" state="hidden" r:id="rId13"/>
    <sheet name="T3 NSA" sheetId="49" r:id="rId14"/>
    <sheet name="T4" sheetId="46" r:id="rId15"/>
    <sheet name="T3 NSA old" sheetId="42" state="hidden" r:id="rId16"/>
    <sheet name="RP3 PP" sheetId="45"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 localSheetId="16">#REF!</definedName>
    <definedName name="_" localSheetId="14">#REF!</definedName>
    <definedName name="_">#REF!</definedName>
    <definedName name="____DCn1" localSheetId="0">#REF!</definedName>
    <definedName name="____DCn1" localSheetId="16">#REF!</definedName>
    <definedName name="____DCn1" localSheetId="14">#REF!</definedName>
    <definedName name="____DCn1">#REF!</definedName>
    <definedName name="____DCn2" localSheetId="0">#REF!</definedName>
    <definedName name="____DCn2" localSheetId="16">#REF!</definedName>
    <definedName name="____DCn2" localSheetId="14">#REF!</definedName>
    <definedName name="____DCn2">#REF!</definedName>
    <definedName name="____EZ2" localSheetId="16" hidden="1">{#N/A,#N/A,TRUE,"Page de garde";#N/A,#N/A,TRUE,"Récap";#N/A,#N/A,TRUE,"2001";#N/A,#N/A,TRUE,"2002";#N/A,#N/A,TRUE,"MN";#N/A,#N/A,TRUE,"CB-CN ";#N/A,#N/A,TRUE,"Point TVA (avec ES)"}</definedName>
    <definedName name="____EZ2" localSheetId="14" hidden="1">{#N/A,#N/A,TRUE,"Page de garde";#N/A,#N/A,TRUE,"Récap";#N/A,#N/A,TRUE,"2001";#N/A,#N/A,TRUE,"2002";#N/A,#N/A,TRUE,"MN";#N/A,#N/A,TRUE,"CB-CN ";#N/A,#N/A,TRUE,"Point TVA (avec ES)"}</definedName>
    <definedName name="____EZ2" hidden="1">{#N/A,#N/A,TRUE,"Page de garde";#N/A,#N/A,TRUE,"Récap";#N/A,#N/A,TRUE,"2001";#N/A,#N/A,TRUE,"2002";#N/A,#N/A,TRUE,"MN";#N/A,#N/A,TRUE,"CB-CN ";#N/A,#N/A,TRUE,"Point TVA (avec ES)"}</definedName>
    <definedName name="____qry2000" localSheetId="16">#REF!</definedName>
    <definedName name="____qry2000" localSheetId="14">#REF!</definedName>
    <definedName name="____qry2000">#REF!</definedName>
    <definedName name="___EZ2" localSheetId="16" hidden="1">{#N/A,#N/A,TRUE,"Page de garde";#N/A,#N/A,TRUE,"Récap";#N/A,#N/A,TRUE,"2001";#N/A,#N/A,TRUE,"2002";#N/A,#N/A,TRUE,"MN";#N/A,#N/A,TRUE,"CB-CN ";#N/A,#N/A,TRUE,"Point TVA (avec ES)"}</definedName>
    <definedName name="___EZ2" localSheetId="14" hidden="1">{#N/A,#N/A,TRUE,"Page de garde";#N/A,#N/A,TRUE,"Récap";#N/A,#N/A,TRUE,"2001";#N/A,#N/A,TRUE,"2002";#N/A,#N/A,TRUE,"MN";#N/A,#N/A,TRUE,"CB-CN ";#N/A,#N/A,TRUE,"Point TVA (avec ES)"}</definedName>
    <definedName name="___EZ2" hidden="1">{#N/A,#N/A,TRUE,"Page de garde";#N/A,#N/A,TRUE,"Récap";#N/A,#N/A,TRUE,"2001";#N/A,#N/A,TRUE,"2002";#N/A,#N/A,TRUE,"MN";#N/A,#N/A,TRUE,"CB-CN ";#N/A,#N/A,TRUE,"Point TVA (avec ES)"}</definedName>
    <definedName name="___qry2000" localSheetId="16">#REF!</definedName>
    <definedName name="___qry2000" localSheetId="14">#REF!</definedName>
    <definedName name="___qry2000">#REF!</definedName>
    <definedName name="__EZ2" localSheetId="16" hidden="1">{#N/A,#N/A,TRUE,"Page de garde";#N/A,#N/A,TRUE,"Récap";#N/A,#N/A,TRUE,"2001";#N/A,#N/A,TRUE,"2002";#N/A,#N/A,TRUE,"MN";#N/A,#N/A,TRUE,"CB-CN ";#N/A,#N/A,TRUE,"Point TVA (avec ES)"}</definedName>
    <definedName name="__EZ2" localSheetId="14" hidden="1">{#N/A,#N/A,TRUE,"Page de garde";#N/A,#N/A,TRUE,"Récap";#N/A,#N/A,TRUE,"2001";#N/A,#N/A,TRUE,"2002";#N/A,#N/A,TRUE,"MN";#N/A,#N/A,TRUE,"CB-CN ";#N/A,#N/A,TRUE,"Point TVA (avec ES)"}</definedName>
    <definedName name="__EZ2" hidden="1">{#N/A,#N/A,TRUE,"Page de garde";#N/A,#N/A,TRUE,"Récap";#N/A,#N/A,TRUE,"2001";#N/A,#N/A,TRUE,"2002";#N/A,#N/A,TRUE,"MN";#N/A,#N/A,TRUE,"CB-CN ";#N/A,#N/A,TRUE,"Point TVA (avec ES)"}</definedName>
    <definedName name="__gry2000" localSheetId="16">#REF!</definedName>
    <definedName name="__gry2000" localSheetId="14">#REF!</definedName>
    <definedName name="__gry2000">#REF!</definedName>
    <definedName name="__qry2000" localSheetId="16">#REF!</definedName>
    <definedName name="__qry2000" localSheetId="14">#REF!</definedName>
    <definedName name="__qry2000">#REF!</definedName>
    <definedName name="_a" localSheetId="16">#REF!</definedName>
    <definedName name="_a" localSheetId="14">#REF!</definedName>
    <definedName name="_a">#REF!</definedName>
    <definedName name="_BQ4.2" localSheetId="16" hidden="1">#REF!</definedName>
    <definedName name="_BQ4.2" hidden="1">#REF!</definedName>
    <definedName name="_BQ4.3" localSheetId="16" hidden="1">#REF!</definedName>
    <definedName name="_BQ4.3" hidden="1">#REF!</definedName>
    <definedName name="_BQ4.4" localSheetId="16" hidden="1">#REF!</definedName>
    <definedName name="_BQ4.4" hidden="1">#REF!</definedName>
    <definedName name="_EZ2" localSheetId="16" hidden="1">{#N/A,#N/A,TRUE,"Page de garde";#N/A,#N/A,TRUE,"Récap";#N/A,#N/A,TRUE,"2001";#N/A,#N/A,TRUE,"2002";#N/A,#N/A,TRUE,"MN";#N/A,#N/A,TRUE,"CB-CN ";#N/A,#N/A,TRUE,"Point TVA (avec ES)"}</definedName>
    <definedName name="_EZ2" localSheetId="14" hidden="1">{#N/A,#N/A,TRUE,"Page de garde";#N/A,#N/A,TRUE,"Récap";#N/A,#N/A,TRUE,"2001";#N/A,#N/A,TRUE,"2002";#N/A,#N/A,TRUE,"MN";#N/A,#N/A,TRUE,"CB-CN ";#N/A,#N/A,TRUE,"Point TVA (avec ES)"}</definedName>
    <definedName name="_EZ2" hidden="1">{#N/A,#N/A,TRUE,"Page de garde";#N/A,#N/A,TRUE,"Récap";#N/A,#N/A,TRUE,"2001";#N/A,#N/A,TRUE,"2002";#N/A,#N/A,TRUE,"MN";#N/A,#N/A,TRUE,"CB-CN ";#N/A,#N/A,TRUE,"Point TVA (avec ES)"}</definedName>
    <definedName name="_xlnm._FilterDatabase" localSheetId="0" hidden="1">Checks!$A$10:$AD$171</definedName>
    <definedName name="_xlnm._FilterDatabase" localSheetId="9" hidden="1">'T3'!$A$8:$M$172</definedName>
    <definedName name="_xlnm._FilterDatabase" localSheetId="10" hidden="1">'T3 ANSP'!$A$8:$M$248</definedName>
    <definedName name="_xlnm._FilterDatabase" localSheetId="11" hidden="1">'T3 MET'!$A$8:$M$248</definedName>
    <definedName name="_xlnm._FilterDatabase" localSheetId="12" hidden="1">'T3 MET old'!$A$8:$J$172</definedName>
    <definedName name="_xlnm._FilterDatabase" localSheetId="13" hidden="1">'T3 NSA'!$A$8:$M$248</definedName>
    <definedName name="_xlnm._FilterDatabase" localSheetId="15" hidden="1">'T3 NSA old'!$A$8:$J$172</definedName>
    <definedName name="_qry1999" localSheetId="16">#REF!</definedName>
    <definedName name="_qry1999" localSheetId="14">#REF!</definedName>
    <definedName name="_qry1999">#REF!</definedName>
    <definedName name="_qry2000" localSheetId="16">#REF!</definedName>
    <definedName name="_qry2000" localSheetId="14">#REF!</definedName>
    <definedName name="_qry2000">#REF!</definedName>
    <definedName name="_tblType" localSheetId="16">#REF!</definedName>
    <definedName name="_tblType" localSheetId="14">#REF!</definedName>
    <definedName name="_tblType">#REF!</definedName>
    <definedName name="aa" localSheetId="16">#REF!</definedName>
    <definedName name="aa">#REF!</definedName>
    <definedName name="aaa">[1]BEF!$F$8</definedName>
    <definedName name="AINFn1" localSheetId="0">#REF!</definedName>
    <definedName name="AINFn1" localSheetId="16">#REF!</definedName>
    <definedName name="AINFn1" localSheetId="14">#REF!</definedName>
    <definedName name="AINFn1">#REF!</definedName>
    <definedName name="AINFn2" localSheetId="0">#REF!</definedName>
    <definedName name="AINFn2" localSheetId="16">#REF!</definedName>
    <definedName name="AINFn2" localSheetId="14">#REF!</definedName>
    <definedName name="AINFn2">#REF!</definedName>
    <definedName name="Antal">'[2]Indata Flygskolor'!$A$6:$A$25</definedName>
    <definedName name="Bel" localSheetId="16">#REF!</definedName>
    <definedName name="Bel" localSheetId="14">#REF!</definedName>
    <definedName name="Bel">#REF!</definedName>
    <definedName name="Belux" localSheetId="16">#REF!</definedName>
    <definedName name="Belux" localSheetId="14">#REF!</definedName>
    <definedName name="Belux">#REF!</definedName>
    <definedName name="beu" localSheetId="16" hidden="1">{#N/A,#N/A,TRUE,"Page de garde";#N/A,#N/A,TRUE,"Récap";#N/A,#N/A,TRUE,"2001";#N/A,#N/A,TRUE,"2002";#N/A,#N/A,TRUE,"MN";#N/A,#N/A,TRUE,"CB-CN ";#N/A,#N/A,TRUE,"Point TVA (avec ES)"}</definedName>
    <definedName name="beu" localSheetId="14" hidden="1">{#N/A,#N/A,TRUE,"Page de garde";#N/A,#N/A,TRUE,"Récap";#N/A,#N/A,TRUE,"2001";#N/A,#N/A,TRUE,"2002";#N/A,#N/A,TRUE,"MN";#N/A,#N/A,TRUE,"CB-CN ";#N/A,#N/A,TRUE,"Point TVA (avec ES)"}</definedName>
    <definedName name="beu" hidden="1">{#N/A,#N/A,TRUE,"Page de garde";#N/A,#N/A,TRUE,"Récap";#N/A,#N/A,TRUE,"2001";#N/A,#N/A,TRUE,"2002";#N/A,#N/A,TRUE,"MN";#N/A,#N/A,TRUE,"CB-CN ";#N/A,#N/A,TRUE,"Point TVA (avec ES)"}</definedName>
    <definedName name="buiohno" localSheetId="16" hidden="1">{#N/A,#N/A,FALSE,"Synthèse";#N/A,#N/A,FALSE,"Evolution de la TVA";#N/A,#N/A,FALSE,"Ventilation DGI-Douanes";#N/A,#N/A,FALSE,"prévision hors constaté ";#N/A,#N/A,FALSE,"recettes et écart à la prévisio"}</definedName>
    <definedName name="buiohno" localSheetId="14" hidden="1">{#N/A,#N/A,FALSE,"Synthèse";#N/A,#N/A,FALSE,"Evolution de la TVA";#N/A,#N/A,FALSE,"Ventilation DGI-Douanes";#N/A,#N/A,FALSE,"prévision hors constaté ";#N/A,#N/A,FALSE,"recettes et écart à la prévisio"}</definedName>
    <definedName name="buiohno" hidden="1">{#N/A,#N/A,FALSE,"Synthèse";#N/A,#N/A,FALSE,"Evolution de la TVA";#N/A,#N/A,FALSE,"Ventilation DGI-Douanes";#N/A,#N/A,FALSE,"prévision hors constaté ";#N/A,#N/A,FALSE,"recettes et écart à la prévisio"}</definedName>
    <definedName name="ceats" localSheetId="16">#REF!</definedName>
    <definedName name="ceats" localSheetId="14">#REF!</definedName>
    <definedName name="ceats">#REF!</definedName>
    <definedName name="ceats2" localSheetId="16">#REF!</definedName>
    <definedName name="ceats2" localSheetId="14">#REF!</definedName>
    <definedName name="ceats2">#REF!</definedName>
    <definedName name="ceats234" localSheetId="16">#REF!</definedName>
    <definedName name="ceats234" localSheetId="14">#REF!</definedName>
    <definedName name="ceats234">#REF!</definedName>
    <definedName name="COPIE" localSheetId="16" hidden="1">{#N/A,#N/A,TRUE,"Page de garde";#N/A,#N/A,TRUE,"Récap";#N/A,#N/A,TRUE,"2001";#N/A,#N/A,TRUE,"2002";#N/A,#N/A,TRUE,"MN";#N/A,#N/A,TRUE,"CB-CN ";#N/A,#N/A,TRUE,"Point TVA (avec ES)"}</definedName>
    <definedName name="COPIE" localSheetId="14" hidden="1">{#N/A,#N/A,TRUE,"Page de garde";#N/A,#N/A,TRUE,"Récap";#N/A,#N/A,TRUE,"2001";#N/A,#N/A,TRUE,"2002";#N/A,#N/A,TRUE,"MN";#N/A,#N/A,TRUE,"CB-CN ";#N/A,#N/A,TRUE,"Point TVA (avec ES)"}</definedName>
    <definedName name="COPIE" hidden="1">{#N/A,#N/A,TRUE,"Page de garde";#N/A,#N/A,TRUE,"Récap";#N/A,#N/A,TRUE,"2001";#N/A,#N/A,TRUE,"2002";#N/A,#N/A,TRUE,"MN";#N/A,#N/A,TRUE,"CB-CN ";#N/A,#N/A,TRUE,"Point TVA (avec ES)"}</definedName>
    <definedName name="COURANT" localSheetId="16" hidden="1">{#N/A,#N/A,FALSE,"Synthèse";#N/A,#N/A,FALSE,"Evolution de la TVA";#N/A,#N/A,FALSE,"Ventilation DGI-Douanes";#N/A,#N/A,FALSE,"prévision hors constaté ";#N/A,#N/A,FALSE,"recettes et écart à la prévisio"}</definedName>
    <definedName name="COURANT" localSheetId="14" hidden="1">{#N/A,#N/A,FALSE,"Synthèse";#N/A,#N/A,FALSE,"Evolution de la TVA";#N/A,#N/A,FALSE,"Ventilation DGI-Douanes";#N/A,#N/A,FALSE,"prévision hors constaté ";#N/A,#N/A,FALSE,"recettes et écart à la prévisio"}</definedName>
    <definedName name="COURANT" hidden="1">{#N/A,#N/A,FALSE,"Synthèse";#N/A,#N/A,FALSE,"Evolution de la TVA";#N/A,#N/A,FALSE,"Ventilation DGI-Douanes";#N/A,#N/A,FALSE,"prévision hors constaté ";#N/A,#N/A,FALSE,"recettes et écart à la prévisio"}</definedName>
    <definedName name="_xlnm.Database" localSheetId="16">#REF!</definedName>
    <definedName name="_xlnm.Database" localSheetId="14">#REF!</definedName>
    <definedName name="_xlnm.Database">#REF!</definedName>
    <definedName name="DC" localSheetId="0">#REF!</definedName>
    <definedName name="DC" localSheetId="16">#REF!</definedName>
    <definedName name="DC" localSheetId="14">#REF!</definedName>
    <definedName name="DC">#REF!</definedName>
    <definedName name="ddb" localSheetId="16">#REF!</definedName>
    <definedName name="ddb" localSheetId="14">#REF!</definedName>
    <definedName name="ddb">#REF!</definedName>
    <definedName name="ddc" localSheetId="16">#REF!</definedName>
    <definedName name="ddc">#REF!</definedName>
    <definedName name="ddd" localSheetId="16">#REF!</definedName>
    <definedName name="ddd">#REF!</definedName>
    <definedName name="dqfqq" localSheetId="16" hidden="1">{#N/A,#N/A,TRUE,"Page de garde";#N/A,#N/A,TRUE,"Récap";#N/A,#N/A,TRUE,"2001";#N/A,#N/A,TRUE,"2002";#N/A,#N/A,TRUE,"MN";#N/A,#N/A,TRUE,"CB-CN ";#N/A,#N/A,TRUE,"Point TVA (avec ES)"}</definedName>
    <definedName name="dqfqq" localSheetId="14" hidden="1">{#N/A,#N/A,TRUE,"Page de garde";#N/A,#N/A,TRUE,"Récap";#N/A,#N/A,TRUE,"2001";#N/A,#N/A,TRUE,"2002";#N/A,#N/A,TRUE,"MN";#N/A,#N/A,TRUE,"CB-CN ";#N/A,#N/A,TRUE,"Point TVA (avec ES)"}</definedName>
    <definedName name="dqfqq" hidden="1">{#N/A,#N/A,TRUE,"Page de garde";#N/A,#N/A,TRUE,"Récap";#N/A,#N/A,TRUE,"2001";#N/A,#N/A,TRUE,"2002";#N/A,#N/A,TRUE,"MN";#N/A,#N/A,TRUE,"CB-CN ";#N/A,#N/A,TRUE,"Point TVA (avec ES)"}</definedName>
    <definedName name="E2FUT" localSheetId="16" hidden="1">{#N/A,#N/A,FALSE,"couv";#N/A,#N/A,FALSE,"A1";#N/A,#N/A,FALSE,"B1";#N/A,#N/A,FALSE,"B2";#N/A,#N/A,FALSE,"C1";#N/A,#N/A,FALSE,"C3";#N/A,#N/A,FALSE,"C4";#N/A,#N/A,FALSE,"D1";#N/A,#N/A,FALSE,"D2";#N/A,#N/A,FALSE,"D3";#N/A,#N/A,FALSE,"E";#N/A,#N/A,FALSE,"E1A";#N/A,#N/A,FALSE,"E1B";#N/A,#N/A,FALSE,"E2";#N/A,#N/A,FALSE,"E3A ";#N/A,#N/A,FALSE,"E3B";#N/A,#N/A,FALSE,"E4";#N/A,#N/A,FALSE,"F1"}</definedName>
    <definedName name="E2FUT" localSheetId="14" hidden="1">{#N/A,#N/A,FALSE,"couv";#N/A,#N/A,FALSE,"A1";#N/A,#N/A,FALSE,"B1";#N/A,#N/A,FALSE,"B2";#N/A,#N/A,FALSE,"C1";#N/A,#N/A,FALSE,"C3";#N/A,#N/A,FALSE,"C4";#N/A,#N/A,FALSE,"D1";#N/A,#N/A,FALSE,"D2";#N/A,#N/A,FALSE,"D3";#N/A,#N/A,FALSE,"E";#N/A,#N/A,FALSE,"E1A";#N/A,#N/A,FALSE,"E1B";#N/A,#N/A,FALSE,"E2";#N/A,#N/A,FALSE,"E3A ";#N/A,#N/A,FALSE,"E3B";#N/A,#N/A,FALSE,"E4";#N/A,#N/A,FALSE,"F1"}</definedName>
    <definedName name="E2FUT" hidden="1">{#N/A,#N/A,FALSE,"couv";#N/A,#N/A,FALSE,"A1";#N/A,#N/A,FALSE,"B1";#N/A,#N/A,FALSE,"B2";#N/A,#N/A,FALSE,"C1";#N/A,#N/A,FALSE,"C3";#N/A,#N/A,FALSE,"C4";#N/A,#N/A,FALSE,"D1";#N/A,#N/A,FALSE,"D2";#N/A,#N/A,FALSE,"D3";#N/A,#N/A,FALSE,"E";#N/A,#N/A,FALSE,"E1A";#N/A,#N/A,FALSE,"E1B";#N/A,#N/A,FALSE,"E2";#N/A,#N/A,FALSE,"E3A ";#N/A,#N/A,FALSE,"E3B";#N/A,#N/A,FALSE,"E4";#N/A,#N/A,FALSE,"F1"}</definedName>
    <definedName name="E3FUT" localSheetId="16" hidden="1">{#N/A,#N/A,FALSE,"couv";#N/A,#N/A,FALSE,"A1";#N/A,#N/A,FALSE,"B1";#N/A,#N/A,FALSE,"B2";#N/A,#N/A,FALSE,"C1";#N/A,#N/A,FALSE,"C3";#N/A,#N/A,FALSE,"C4";#N/A,#N/A,FALSE,"D1";#N/A,#N/A,FALSE,"D2";#N/A,#N/A,FALSE,"D3";#N/A,#N/A,FALSE,"E";#N/A,#N/A,FALSE,"E1A";#N/A,#N/A,FALSE,"E1B";#N/A,#N/A,FALSE,"E2";#N/A,#N/A,FALSE,"E3A ";#N/A,#N/A,FALSE,"E3B";#N/A,#N/A,FALSE,"E4";#N/A,#N/A,FALSE,"F1"}</definedName>
    <definedName name="E3FUT" localSheetId="14" hidden="1">{#N/A,#N/A,FALSE,"couv";#N/A,#N/A,FALSE,"A1";#N/A,#N/A,FALSE,"B1";#N/A,#N/A,FALSE,"B2";#N/A,#N/A,FALSE,"C1";#N/A,#N/A,FALSE,"C3";#N/A,#N/A,FALSE,"C4";#N/A,#N/A,FALSE,"D1";#N/A,#N/A,FALSE,"D2";#N/A,#N/A,FALSE,"D3";#N/A,#N/A,FALSE,"E";#N/A,#N/A,FALSE,"E1A";#N/A,#N/A,FALSE,"E1B";#N/A,#N/A,FALSE,"E2";#N/A,#N/A,FALSE,"E3A ";#N/A,#N/A,FALSE,"E3B";#N/A,#N/A,FALSE,"E4";#N/A,#N/A,FALSE,"F1"}</definedName>
    <definedName name="E3FUT" hidden="1">{#N/A,#N/A,FALSE,"couv";#N/A,#N/A,FALSE,"A1";#N/A,#N/A,FALSE,"B1";#N/A,#N/A,FALSE,"B2";#N/A,#N/A,FALSE,"C1";#N/A,#N/A,FALSE,"C3";#N/A,#N/A,FALSE,"C4";#N/A,#N/A,FALSE,"D1";#N/A,#N/A,FALSE,"D2";#N/A,#N/A,FALSE,"D3";#N/A,#N/A,FALSE,"E";#N/A,#N/A,FALSE,"E1A";#N/A,#N/A,FALSE,"E1B";#N/A,#N/A,FALSE,"E2";#N/A,#N/A,FALSE,"E3A ";#N/A,#N/A,FALSE,"E3B";#N/A,#N/A,FALSE,"E4";#N/A,#N/A,FALSE,"F1"}</definedName>
    <definedName name="efqsd" localSheetId="16" hidden="1">{#N/A,#N/A,TRUE,"Page de garde";#N/A,#N/A,TRUE,"Récap";#N/A,#N/A,TRUE,"2001";#N/A,#N/A,TRUE,"2002";#N/A,#N/A,TRUE,"MN";#N/A,#N/A,TRUE,"CB-CN ";#N/A,#N/A,TRUE,"Point TVA (avec ES)"}</definedName>
    <definedName name="efqsd" localSheetId="14" hidden="1">{#N/A,#N/A,TRUE,"Page de garde";#N/A,#N/A,TRUE,"Récap";#N/A,#N/A,TRUE,"2001";#N/A,#N/A,TRUE,"2002";#N/A,#N/A,TRUE,"MN";#N/A,#N/A,TRUE,"CB-CN ";#N/A,#N/A,TRUE,"Point TVA (avec ES)"}</definedName>
    <definedName name="efqsd" hidden="1">{#N/A,#N/A,TRUE,"Page de garde";#N/A,#N/A,TRUE,"Récap";#N/A,#N/A,TRUE,"2001";#N/A,#N/A,TRUE,"2002";#N/A,#N/A,TRUE,"MN";#N/A,#N/A,TRUE,"CB-CN ";#N/A,#N/A,TRUE,"Point TVA (avec ES)"}</definedName>
    <definedName name="establ_fr" localSheetId="16">#REF!</definedName>
    <definedName name="establ_fr" localSheetId="14">#REF!</definedName>
    <definedName name="establ_fr">#REF!</definedName>
    <definedName name="establishment" localSheetId="16">#REF!</definedName>
    <definedName name="establishment" localSheetId="14">#REF!</definedName>
    <definedName name="establishment">#REF!</definedName>
    <definedName name="EUR" localSheetId="0">[1]BEF!$F$8</definedName>
    <definedName name="EUR">[3]BEF!$F$8</definedName>
    <definedName name="EV__LASTREFTIME__" hidden="1">39363.6565856481</definedName>
    <definedName name="exchnp6" localSheetId="16">[4]Tables!#REF!</definedName>
    <definedName name="exchnp6" localSheetId="14">[4]Tables!#REF!</definedName>
    <definedName name="exchnp6">[4]Tables!#REF!</definedName>
    <definedName name="EZ" localSheetId="16" hidden="1">{#N/A,#N/A,TRUE,"Page de garde";#N/A,#N/A,TRUE,"Récap";#N/A,#N/A,TRUE,"2001";#N/A,#N/A,TRUE,"2002";#N/A,#N/A,TRUE,"MN";#N/A,#N/A,TRUE,"CB-CN ";#N/A,#N/A,TRUE,"Point TVA (avec ES)"}</definedName>
    <definedName name="EZ" localSheetId="14" hidden="1">{#N/A,#N/A,TRUE,"Page de garde";#N/A,#N/A,TRUE,"Récap";#N/A,#N/A,TRUE,"2001";#N/A,#N/A,TRUE,"2002";#N/A,#N/A,TRUE,"MN";#N/A,#N/A,TRUE,"CB-CN ";#N/A,#N/A,TRUE,"Point TVA (avec ES)"}</definedName>
    <definedName name="EZ" hidden="1">{#N/A,#N/A,TRUE,"Page de garde";#N/A,#N/A,TRUE,"Récap";#N/A,#N/A,TRUE,"2001";#N/A,#N/A,TRUE,"2002";#N/A,#N/A,TRUE,"MN";#N/A,#N/A,TRUE,"CB-CN ";#N/A,#N/A,TRUE,"Point TVA (avec ES)"}</definedName>
    <definedName name="fd" localSheetId="16" hidden="1">{#N/A,#N/A,FALSE,"couv";#N/A,#N/A,FALSE,"A1";#N/A,#N/A,FALSE,"B1";#N/A,#N/A,FALSE,"B2";#N/A,#N/A,FALSE,"C1";#N/A,#N/A,FALSE,"C3";#N/A,#N/A,FALSE,"C4";#N/A,#N/A,FALSE,"D1";#N/A,#N/A,FALSE,"D2";#N/A,#N/A,FALSE,"D3";#N/A,#N/A,FALSE,"E";#N/A,#N/A,FALSE,"E1A";#N/A,#N/A,FALSE,"E1B";#N/A,#N/A,FALSE,"E2";#N/A,#N/A,FALSE,"E3A ";#N/A,#N/A,FALSE,"E3B";#N/A,#N/A,FALSE,"E4";#N/A,#N/A,FALSE,"F1"}</definedName>
    <definedName name="fd" localSheetId="14" hidden="1">{#N/A,#N/A,FALSE,"couv";#N/A,#N/A,FALSE,"A1";#N/A,#N/A,FALSE,"B1";#N/A,#N/A,FALSE,"B2";#N/A,#N/A,FALSE,"C1";#N/A,#N/A,FALSE,"C3";#N/A,#N/A,FALSE,"C4";#N/A,#N/A,FALSE,"D1";#N/A,#N/A,FALSE,"D2";#N/A,#N/A,FALSE,"D3";#N/A,#N/A,FALSE,"E";#N/A,#N/A,FALSE,"E1A";#N/A,#N/A,FALSE,"E1B";#N/A,#N/A,FALSE,"E2";#N/A,#N/A,FALSE,"E3A ";#N/A,#N/A,FALSE,"E3B";#N/A,#N/A,FALSE,"E4";#N/A,#N/A,FALSE,"F1"}</definedName>
    <definedName name="fd" hidden="1">{#N/A,#N/A,FALSE,"couv";#N/A,#N/A,FALSE,"A1";#N/A,#N/A,FALSE,"B1";#N/A,#N/A,FALSE,"B2";#N/A,#N/A,FALSE,"C1";#N/A,#N/A,FALSE,"C3";#N/A,#N/A,FALSE,"C4";#N/A,#N/A,FALSE,"D1";#N/A,#N/A,FALSE,"D2";#N/A,#N/A,FALSE,"D3";#N/A,#N/A,FALSE,"E";#N/A,#N/A,FALSE,"E1A";#N/A,#N/A,FALSE,"E1B";#N/A,#N/A,FALSE,"E2";#N/A,#N/A,FALSE,"E3A ";#N/A,#N/A,FALSE,"E3B";#N/A,#N/A,FALSE,"E4";#N/A,#N/A,FALSE,"F1"}</definedName>
    <definedName name="FINFn1" localSheetId="0">#REF!</definedName>
    <definedName name="FINFn1" localSheetId="16">#REF!</definedName>
    <definedName name="FINFn1" localSheetId="14">#REF!</definedName>
    <definedName name="FINFn1">#REF!</definedName>
    <definedName name="FINFn2" localSheetId="0">#REF!</definedName>
    <definedName name="FINFn2" localSheetId="16">#REF!</definedName>
    <definedName name="FINFn2" localSheetId="14">#REF!</definedName>
    <definedName name="FINFn2">#REF!</definedName>
    <definedName name="fvr" localSheetId="16" hidden="1">{#N/A,#N/A,TRUE,"Page de garde";#N/A,#N/A,TRUE,"Récap";#N/A,#N/A,TRUE,"2001";#N/A,#N/A,TRUE,"2002";#N/A,#N/A,TRUE,"MN";#N/A,#N/A,TRUE,"CB-CN ";#N/A,#N/A,TRUE,"Point TVA (avec ES)"}</definedName>
    <definedName name="fvr" localSheetId="14" hidden="1">{#N/A,#N/A,TRUE,"Page de garde";#N/A,#N/A,TRUE,"Récap";#N/A,#N/A,TRUE,"2001";#N/A,#N/A,TRUE,"2002";#N/A,#N/A,TRUE,"MN";#N/A,#N/A,TRUE,"CB-CN ";#N/A,#N/A,TRUE,"Point TVA (avec ES)"}</definedName>
    <definedName name="fvr" hidden="1">{#N/A,#N/A,TRUE,"Page de garde";#N/A,#N/A,TRUE,"Récap";#N/A,#N/A,TRUE,"2001";#N/A,#N/A,TRUE,"2002";#N/A,#N/A,TRUE,"MN";#N/A,#N/A,TRUE,"CB-CN ";#N/A,#N/A,TRUE,"Point TVA (avec ES)"}</definedName>
    <definedName name="General" localSheetId="16">#REF!</definedName>
    <definedName name="General" localSheetId="14">#REF!</definedName>
    <definedName name="General">#REF!</definedName>
    <definedName name="gfq" localSheetId="16" hidden="1">{#N/A,#N/A,TRUE,"Page de garde";#N/A,#N/A,TRUE,"Récap";#N/A,#N/A,TRUE,"2001";#N/A,#N/A,TRUE,"2002";#N/A,#N/A,TRUE,"MN";#N/A,#N/A,TRUE,"CB-CN ";#N/A,#N/A,TRUE,"Point TVA (avec ES)"}</definedName>
    <definedName name="gfq" localSheetId="14" hidden="1">{#N/A,#N/A,TRUE,"Page de garde";#N/A,#N/A,TRUE,"Récap";#N/A,#N/A,TRUE,"2001";#N/A,#N/A,TRUE,"2002";#N/A,#N/A,TRUE,"MN";#N/A,#N/A,TRUE,"CB-CN ";#N/A,#N/A,TRUE,"Point TVA (avec ES)"}</definedName>
    <definedName name="gfq" hidden="1">{#N/A,#N/A,TRUE,"Page de garde";#N/A,#N/A,TRUE,"Récap";#N/A,#N/A,TRUE,"2001";#N/A,#N/A,TRUE,"2002";#N/A,#N/A,TRUE,"MN";#N/A,#N/A,TRUE,"CB-CN ";#N/A,#N/A,TRUE,"Point TVA (avec ES)"}</definedName>
    <definedName name="ghcfyhj" localSheetId="16" hidden="1">{#N/A,#N/A,TRUE,"Page de garde";#N/A,#N/A,TRUE,"Récap";#N/A,#N/A,TRUE,"2001";#N/A,#N/A,TRUE,"2002";#N/A,#N/A,TRUE,"MN";#N/A,#N/A,TRUE,"CB-CN ";#N/A,#N/A,TRUE,"Point TVA (avec ES)"}</definedName>
    <definedName name="ghcfyhj" localSheetId="14" hidden="1">{#N/A,#N/A,TRUE,"Page de garde";#N/A,#N/A,TRUE,"Récap";#N/A,#N/A,TRUE,"2001";#N/A,#N/A,TRUE,"2002";#N/A,#N/A,TRUE,"MN";#N/A,#N/A,TRUE,"CB-CN ";#N/A,#N/A,TRUE,"Point TVA (avec ES)"}</definedName>
    <definedName name="ghcfyhj" hidden="1">{#N/A,#N/A,TRUE,"Page de garde";#N/A,#N/A,TRUE,"Récap";#N/A,#N/A,TRUE,"2001";#N/A,#N/A,TRUE,"2002";#N/A,#N/A,TRUE,"MN";#N/A,#N/A,TRUE,"CB-CN ";#N/A,#N/A,TRUE,"Point TVA (avec ES)"}</definedName>
    <definedName name="GRT" localSheetId="16" hidden="1">{#N/A,#N/A,FALSE,"Synthèse";#N/A,#N/A,FALSE,"Evolution de la TVA";#N/A,#N/A,FALSE,"Ventilation DGI-Douanes";#N/A,#N/A,FALSE,"prévision hors constaté ";#N/A,#N/A,FALSE,"recettes et écart à la prévisio"}</definedName>
    <definedName name="GRT" localSheetId="14" hidden="1">{#N/A,#N/A,FALSE,"Synthèse";#N/A,#N/A,FALSE,"Evolution de la TVA";#N/A,#N/A,FALSE,"Ventilation DGI-Douanes";#N/A,#N/A,FALSE,"prévision hors constaté ";#N/A,#N/A,FALSE,"recettes et écart à la prévisio"}</definedName>
    <definedName name="GRT" hidden="1">{#N/A,#N/A,FALSE,"Synthèse";#N/A,#N/A,FALSE,"Evolution de la TVA";#N/A,#N/A,FALSE,"Ventilation DGI-Douanes";#N/A,#N/A,FALSE,"prévision hors constaté ";#N/A,#N/A,FALSE,"recettes et écart à la prévisio"}</definedName>
    <definedName name="gvq" localSheetId="16" hidden="1">{#N/A,#N/A,TRUE,"Page de garde";#N/A,#N/A,TRUE,"Récap";#N/A,#N/A,TRUE,"2001";#N/A,#N/A,TRUE,"2002";#N/A,#N/A,TRUE,"MN";#N/A,#N/A,TRUE,"CB-CN ";#N/A,#N/A,TRUE,"Point TVA (avec ES)"}</definedName>
    <definedName name="gvq" localSheetId="14" hidden="1">{#N/A,#N/A,TRUE,"Page de garde";#N/A,#N/A,TRUE,"Récap";#N/A,#N/A,TRUE,"2001";#N/A,#N/A,TRUE,"2002";#N/A,#N/A,TRUE,"MN";#N/A,#N/A,TRUE,"CB-CN ";#N/A,#N/A,TRUE,"Point TVA (avec ES)"}</definedName>
    <definedName name="gvq" hidden="1">{#N/A,#N/A,TRUE,"Page de garde";#N/A,#N/A,TRUE,"Récap";#N/A,#N/A,TRUE,"2001";#N/A,#N/A,TRUE,"2002";#N/A,#N/A,TRUE,"MN";#N/A,#N/A,TRUE,"CB-CN ";#N/A,#N/A,TRUE,"Point TVA (avec ES)"}</definedName>
    <definedName name="hjdf" localSheetId="16" hidden="1">{#N/A,#N/A,FALSE,"couv";#N/A,#N/A,FALSE,"A1";#N/A,#N/A,FALSE,"B1";#N/A,#N/A,FALSE,"B2";#N/A,#N/A,FALSE,"C1";#N/A,#N/A,FALSE,"C3";#N/A,#N/A,FALSE,"C4";#N/A,#N/A,FALSE,"D1";#N/A,#N/A,FALSE,"D2";#N/A,#N/A,FALSE,"D3";#N/A,#N/A,FALSE,"E";#N/A,#N/A,FALSE,"E1A";#N/A,#N/A,FALSE,"E1B";#N/A,#N/A,FALSE,"E2";#N/A,#N/A,FALSE,"E3A ";#N/A,#N/A,FALSE,"E3B";#N/A,#N/A,FALSE,"E4";#N/A,#N/A,FALSE,"F1"}</definedName>
    <definedName name="hjdf" localSheetId="14" hidden="1">{#N/A,#N/A,FALSE,"couv";#N/A,#N/A,FALSE,"A1";#N/A,#N/A,FALSE,"B1";#N/A,#N/A,FALSE,"B2";#N/A,#N/A,FALSE,"C1";#N/A,#N/A,FALSE,"C3";#N/A,#N/A,FALSE,"C4";#N/A,#N/A,FALSE,"D1";#N/A,#N/A,FALSE,"D2";#N/A,#N/A,FALSE,"D3";#N/A,#N/A,FALSE,"E";#N/A,#N/A,FALSE,"E1A";#N/A,#N/A,FALSE,"E1B";#N/A,#N/A,FALSE,"E2";#N/A,#N/A,FALSE,"E3A ";#N/A,#N/A,FALSE,"E3B";#N/A,#N/A,FALSE,"E4";#N/A,#N/A,FALSE,"F1"}</definedName>
    <definedName name="hjdf" hidden="1">{#N/A,#N/A,FALSE,"couv";#N/A,#N/A,FALSE,"A1";#N/A,#N/A,FALSE,"B1";#N/A,#N/A,FALSE,"B2";#N/A,#N/A,FALSE,"C1";#N/A,#N/A,FALSE,"C3";#N/A,#N/A,FALSE,"C4";#N/A,#N/A,FALSE,"D1";#N/A,#N/A,FALSE,"D2";#N/A,#N/A,FALSE,"D3";#N/A,#N/A,FALSE,"E";#N/A,#N/A,FALSE,"E1A";#N/A,#N/A,FALSE,"E1B";#N/A,#N/A,FALSE,"E2";#N/A,#N/A,FALSE,"E3A ";#N/A,#N/A,FALSE,"E3B";#N/A,#N/A,FALSE,"E4";#N/A,#N/A,FALSE,"F1"}</definedName>
    <definedName name="HTML_CodePage" hidden="1">1252</definedName>
    <definedName name="HTML_Control" localSheetId="16" hidden="1">{"'TBADMI (Annexe 3)'!$B$164:$G$189"}</definedName>
    <definedName name="HTML_Control" localSheetId="14" hidden="1">{"'TBADMI (Annexe 3)'!$B$164:$G$189"}</definedName>
    <definedName name="HTML_Control" hidden="1">{"'TBADMI (Annexe 3)'!$B$164:$G$189"}</definedName>
    <definedName name="HTML_Description" hidden="1">""</definedName>
    <definedName name="HTML_Email" hidden="1">""</definedName>
    <definedName name="HTML_Header" hidden="1">"TBADMI (Annexe 3)"</definedName>
    <definedName name="HTML_LastUpdate" hidden="1">"22/09/2000"</definedName>
    <definedName name="HTML_LineAfter" hidden="1">FALSE</definedName>
    <definedName name="HTML_LineBefore" hidden="1">FALSE</definedName>
    <definedName name="HTML_Name" hidden="1">"Alain NICOLAS"</definedName>
    <definedName name="HTML_OBDlg2" hidden="1">TRUE</definedName>
    <definedName name="HTML_OBDlg4" hidden="1">TRUE</definedName>
    <definedName name="HTML_OS" hidden="1">0</definedName>
    <definedName name="HTML_PathFile" hidden="1">"D:\Mes documents\MonHTML.htm"</definedName>
    <definedName name="HTML_Title" hidden="1">"DSG - TBADMI_V2"</definedName>
    <definedName name="ib" localSheetId="16" hidden="1">{#N/A,#N/A,TRUE,"Page de garde";#N/A,#N/A,TRUE,"Récap";#N/A,#N/A,TRUE,"2001";#N/A,#N/A,TRUE,"2002";#N/A,#N/A,TRUE,"MN";#N/A,#N/A,TRUE,"CB-CN ";#N/A,#N/A,TRUE,"Point TVA (avec ES)"}</definedName>
    <definedName name="ib" localSheetId="14" hidden="1">{#N/A,#N/A,TRUE,"Page de garde";#N/A,#N/A,TRUE,"Récap";#N/A,#N/A,TRUE,"2001";#N/A,#N/A,TRUE,"2002";#N/A,#N/A,TRUE,"MN";#N/A,#N/A,TRUE,"CB-CN ";#N/A,#N/A,TRUE,"Point TVA (avec ES)"}</definedName>
    <definedName name="ib" hidden="1">{#N/A,#N/A,TRUE,"Page de garde";#N/A,#N/A,TRUE,"Récap";#N/A,#N/A,TRUE,"2001";#N/A,#N/A,TRUE,"2002";#N/A,#N/A,TRUE,"MN";#N/A,#N/A,TRUE,"CB-CN ";#N/A,#N/A,TRUE,"Point TVA (avec ES)"}</definedName>
    <definedName name="jdgj" localSheetId="16" hidden="1">{#N/A,#N/A,FALSE,"A2C";#N/A,#N/A,FALSE,"A3C";#N/A,#N/A,FALSE,"A4C";#N/A,#N/A,FALSE,"A5C";#N/A,#N/A,FALSE,"A3PRIVAT";#N/A,#N/A,FALSE,"A4LFI";#N/A,#N/A,FALSE,"A5LFI";#N/A,#N/A,FALSE,"C2C"}</definedName>
    <definedName name="jdgj" localSheetId="14" hidden="1">{#N/A,#N/A,FALSE,"A2C";#N/A,#N/A,FALSE,"A3C";#N/A,#N/A,FALSE,"A4C";#N/A,#N/A,FALSE,"A5C";#N/A,#N/A,FALSE,"A3PRIVAT";#N/A,#N/A,FALSE,"A4LFI";#N/A,#N/A,FALSE,"A5LFI";#N/A,#N/A,FALSE,"C2C"}</definedName>
    <definedName name="jdgj" hidden="1">{#N/A,#N/A,FALSE,"A2C";#N/A,#N/A,FALSE,"A3C";#N/A,#N/A,FALSE,"A4C";#N/A,#N/A,FALSE,"A5C";#N/A,#N/A,FALSE,"A3PRIVAT";#N/A,#N/A,FALSE,"A4LFI";#N/A,#N/A,FALSE,"A5LFI";#N/A,#N/A,FALSE,"C2C"}</definedName>
    <definedName name="mapperDesc" localSheetId="16">#REF!</definedName>
    <definedName name="mapperDesc" localSheetId="14">#REF!</definedName>
    <definedName name="mapperDesc">#REF!</definedName>
    <definedName name="mm" localSheetId="16" hidden="1">{#N/A,#N/A,TRUE,"Page de garde";#N/A,#N/A,TRUE,"Récap";#N/A,#N/A,TRUE,"2001";#N/A,#N/A,TRUE,"2002";#N/A,#N/A,TRUE,"MN";#N/A,#N/A,TRUE,"CB-CN ";#N/A,#N/A,TRUE,"Point TVA (avec ES)"}</definedName>
    <definedName name="mm" localSheetId="14" hidden="1">{#N/A,#N/A,TRUE,"Page de garde";#N/A,#N/A,TRUE,"Récap";#N/A,#N/A,TRUE,"2001";#N/A,#N/A,TRUE,"2002";#N/A,#N/A,TRUE,"MN";#N/A,#N/A,TRUE,"CB-CN ";#N/A,#N/A,TRUE,"Point TVA (avec ES)"}</definedName>
    <definedName name="mm" hidden="1">{#N/A,#N/A,TRUE,"Page de garde";#N/A,#N/A,TRUE,"Récap";#N/A,#N/A,TRUE,"2001";#N/A,#N/A,TRUE,"2002";#N/A,#N/A,TRUE,"MN";#N/A,#N/A,TRUE,"CB-CN ";#N/A,#N/A,TRUE,"Point TVA (avec ES)"}</definedName>
    <definedName name="mmmmm" localSheetId="16" hidden="1">{#N/A,#N/A,FALSE,"Synthèse";#N/A,#N/A,FALSE,"Evolution de la TVA";#N/A,#N/A,FALSE,"Ventilation DGI-Douanes";#N/A,#N/A,FALSE,"prévision hors constaté ";#N/A,#N/A,FALSE,"recettes et écart à la prévisio"}</definedName>
    <definedName name="mmmmm" localSheetId="14" hidden="1">{#N/A,#N/A,FALSE,"Synthèse";#N/A,#N/A,FALSE,"Evolution de la TVA";#N/A,#N/A,FALSE,"Ventilation DGI-Douanes";#N/A,#N/A,FALSE,"prévision hors constaté ";#N/A,#N/A,FALSE,"recettes et écart à la prévisio"}</definedName>
    <definedName name="mmmmm" hidden="1">{#N/A,#N/A,FALSE,"Synthèse";#N/A,#N/A,FALSE,"Evolution de la TVA";#N/A,#N/A,FALSE,"Ventilation DGI-Douanes";#N/A,#N/A,FALSE,"prévision hors constaté ";#N/A,#N/A,FALSE,"recettes et écart à la prévisio"}</definedName>
    <definedName name="outturn1999" localSheetId="16">#REF!</definedName>
    <definedName name="outturn1999" localSheetId="14">#REF!</definedName>
    <definedName name="outturn1999">#REF!</definedName>
    <definedName name="Phasing1999" localSheetId="16">#REF!</definedName>
    <definedName name="Phasing1999" localSheetId="14">#REF!</definedName>
    <definedName name="Phasing1999">#REF!</definedName>
    <definedName name="_xlnm.Print_Area" localSheetId="0">Checks!$A$1:$Q$171</definedName>
    <definedName name="_xlnm.Print_Area" localSheetId="16">'RP3 PP'!$A$1:$O$29</definedName>
    <definedName name="_xlnm.Print_Area" localSheetId="1">'T1'!$A$1:$O$76</definedName>
    <definedName name="_xlnm.Print_Area" localSheetId="2">'T1 ANSP'!$A$1:$X$77</definedName>
    <definedName name="_xlnm.Print_Area" localSheetId="3">'T1 MET'!$A$1:$X$77</definedName>
    <definedName name="_xlnm.Print_Area" localSheetId="4">'T1 NSA'!$A$1:$X$77</definedName>
    <definedName name="_xlnm.Print_Area" localSheetId="9">'T3'!$C$1:$M$178</definedName>
    <definedName name="_xlnm.Print_Area" localSheetId="10">'T3 ANSP'!$C$1:$M$254</definedName>
    <definedName name="_xlnm.Print_Area" localSheetId="11">'T3 MET'!$C$1:$M$254</definedName>
    <definedName name="_xlnm.Print_Area" localSheetId="12">'T3 MET old'!$C$1:$J$178</definedName>
    <definedName name="_xlnm.Print_Area" localSheetId="13">'T3 NSA'!$C$1:$M$254</definedName>
    <definedName name="_xlnm.Print_Area" localSheetId="15">'T3 NSA old'!$C$1:$J$178</definedName>
    <definedName name="qry1999Cats" localSheetId="16">#REF!</definedName>
    <definedName name="qry1999Cats" localSheetId="14">#REF!</definedName>
    <definedName name="qry1999Cats">#REF!</definedName>
    <definedName name="qry1999Rephasing" localSheetId="16">#REF!</definedName>
    <definedName name="qry1999Rephasing">#REF!</definedName>
    <definedName name="qry2000Categories" localSheetId="16">#REF!</definedName>
    <definedName name="qry2000Categories">#REF!</definedName>
    <definedName name="qry2000Cats" localSheetId="16">#REF!</definedName>
    <definedName name="qry2000Cats">#REF!</definedName>
    <definedName name="qry2000type" localSheetId="16">#REF!</definedName>
    <definedName name="qry2000type">#REF!</definedName>
    <definedName name="qry2001Categories" localSheetId="16">#REF!</definedName>
    <definedName name="qry2001Categories">#REF!</definedName>
    <definedName name="qry2001type" localSheetId="16">#REF!</definedName>
    <definedName name="qry2001type">#REF!</definedName>
    <definedName name="qry99OutturnCategories">'[5]Eurocontrol detail'!$A$1:$B$7</definedName>
    <definedName name="qryCATtotals" localSheetId="16">#REF!</definedName>
    <definedName name="qryCATtotals" localSheetId="14">#REF!</definedName>
    <definedName name="qryCATtotals">#REF!</definedName>
    <definedName name="qs" localSheetId="16" hidden="1">{#N/A,#N/A,TRUE,"Page de garde";#N/A,#N/A,TRUE,"Récap";#N/A,#N/A,TRUE,"2001";#N/A,#N/A,TRUE,"2002";#N/A,#N/A,TRUE,"MN";#N/A,#N/A,TRUE,"CB-CN ";#N/A,#N/A,TRUE,"Point TVA (avec ES)"}</definedName>
    <definedName name="qs" localSheetId="14" hidden="1">{#N/A,#N/A,TRUE,"Page de garde";#N/A,#N/A,TRUE,"Récap";#N/A,#N/A,TRUE,"2001";#N/A,#N/A,TRUE,"2002";#N/A,#N/A,TRUE,"MN";#N/A,#N/A,TRUE,"CB-CN ";#N/A,#N/A,TRUE,"Point TVA (avec ES)"}</definedName>
    <definedName name="qs" hidden="1">{#N/A,#N/A,TRUE,"Page de garde";#N/A,#N/A,TRUE,"Récap";#N/A,#N/A,TRUE,"2001";#N/A,#N/A,TRUE,"2002";#N/A,#N/A,TRUE,"MN";#N/A,#N/A,TRUE,"CB-CN ";#N/A,#N/A,TRUE,"Point TVA (avec ES)"}</definedName>
    <definedName name="_xlnm.Recorder" localSheetId="16">#REF!</definedName>
    <definedName name="_xlnm.Recorder" localSheetId="14">#REF!</definedName>
    <definedName name="_xlnm.Recorder">#REF!</definedName>
    <definedName name="SAPBEXdnldView" hidden="1">"D3P6O4JMXIHFGVEM2GX1TIU40"</definedName>
    <definedName name="SAPBEXsysID" hidden="1">"BWP"</definedName>
    <definedName name="sdqv" localSheetId="16" hidden="1">{#N/A,#N/A,TRUE,"Page de garde";#N/A,#N/A,TRUE,"Récap";#N/A,#N/A,TRUE,"2001";#N/A,#N/A,TRUE,"2002";#N/A,#N/A,TRUE,"MN";#N/A,#N/A,TRUE,"CB-CN ";#N/A,#N/A,TRUE,"Point TVA (avec ES)"}</definedName>
    <definedName name="sdqv" localSheetId="14" hidden="1">{#N/A,#N/A,TRUE,"Page de garde";#N/A,#N/A,TRUE,"Récap";#N/A,#N/A,TRUE,"2001";#N/A,#N/A,TRUE,"2002";#N/A,#N/A,TRUE,"MN";#N/A,#N/A,TRUE,"CB-CN ";#N/A,#N/A,TRUE,"Point TVA (avec ES)"}</definedName>
    <definedName name="sdqv" hidden="1">{#N/A,#N/A,TRUE,"Page de garde";#N/A,#N/A,TRUE,"Récap";#N/A,#N/A,TRUE,"2001";#N/A,#N/A,TRUE,"2002";#N/A,#N/A,TRUE,"MN";#N/A,#N/A,TRUE,"CB-CN ";#N/A,#N/A,TRUE,"Point TVA (avec ES)"}</definedName>
    <definedName name="section" localSheetId="16">#REF!</definedName>
    <definedName name="section" localSheetId="14">#REF!</definedName>
    <definedName name="section">#REF!</definedName>
    <definedName name="Solde" localSheetId="16" hidden="1">{#N/A,#N/A,TRUE,"Page de garde";#N/A,#N/A,TRUE,"Récap";#N/A,#N/A,TRUE,"2001";#N/A,#N/A,TRUE,"2002";#N/A,#N/A,TRUE,"MN";#N/A,#N/A,TRUE,"CB-CN ";#N/A,#N/A,TRUE,"Point TVA (avec ES)"}</definedName>
    <definedName name="Solde" localSheetId="14" hidden="1">{#N/A,#N/A,TRUE,"Page de garde";#N/A,#N/A,TRUE,"Récap";#N/A,#N/A,TRUE,"2001";#N/A,#N/A,TRUE,"2002";#N/A,#N/A,TRUE,"MN";#N/A,#N/A,TRUE,"CB-CN ";#N/A,#N/A,TRUE,"Point TVA (avec ES)"}</definedName>
    <definedName name="Solde" hidden="1">{#N/A,#N/A,TRUE,"Page de garde";#N/A,#N/A,TRUE,"Récap";#N/A,#N/A,TRUE,"2001";#N/A,#N/A,TRUE,"2002";#N/A,#N/A,TRUE,"MN";#N/A,#N/A,TRUE,"CB-CN ";#N/A,#N/A,TRUE,"Point TVA (avec ES)"}</definedName>
    <definedName name="sqdf" localSheetId="16" hidden="1">{#N/A,#N/A,FALSE,"couv";#N/A,#N/A,FALSE,"A1";#N/A,#N/A,FALSE,"B1";#N/A,#N/A,FALSE,"B2";#N/A,#N/A,FALSE,"C1";#N/A,#N/A,FALSE,"C3";#N/A,#N/A,FALSE,"C4";#N/A,#N/A,FALSE,"D1";#N/A,#N/A,FALSE,"D2";#N/A,#N/A,FALSE,"D3";#N/A,#N/A,FALSE,"E";#N/A,#N/A,FALSE,"E1A";#N/A,#N/A,FALSE,"E1B";#N/A,#N/A,FALSE,"E2";#N/A,#N/A,FALSE,"E3A ";#N/A,#N/A,FALSE,"E3B";#N/A,#N/A,FALSE,"E4";#N/A,#N/A,FALSE,"F1"}</definedName>
    <definedName name="sqdf" localSheetId="14" hidden="1">{#N/A,#N/A,FALSE,"couv";#N/A,#N/A,FALSE,"A1";#N/A,#N/A,FALSE,"B1";#N/A,#N/A,FALSE,"B2";#N/A,#N/A,FALSE,"C1";#N/A,#N/A,FALSE,"C3";#N/A,#N/A,FALSE,"C4";#N/A,#N/A,FALSE,"D1";#N/A,#N/A,FALSE,"D2";#N/A,#N/A,FALSE,"D3";#N/A,#N/A,FALSE,"E";#N/A,#N/A,FALSE,"E1A";#N/A,#N/A,FALSE,"E1B";#N/A,#N/A,FALSE,"E2";#N/A,#N/A,FALSE,"E3A ";#N/A,#N/A,FALSE,"E3B";#N/A,#N/A,FALSE,"E4";#N/A,#N/A,FALSE,"F1"}</definedName>
    <definedName name="sqdf" hidden="1">{#N/A,#N/A,FALSE,"couv";#N/A,#N/A,FALSE,"A1";#N/A,#N/A,FALSE,"B1";#N/A,#N/A,FALSE,"B2";#N/A,#N/A,FALSE,"C1";#N/A,#N/A,FALSE,"C3";#N/A,#N/A,FALSE,"C4";#N/A,#N/A,FALSE,"D1";#N/A,#N/A,FALSE,"D2";#N/A,#N/A,FALSE,"D3";#N/A,#N/A,FALSE,"E";#N/A,#N/A,FALSE,"E1A";#N/A,#N/A,FALSE,"E1B";#N/A,#N/A,FALSE,"E2";#N/A,#N/A,FALSE,"E3A ";#N/A,#N/A,FALSE,"E3B";#N/A,#N/A,FALSE,"E4";#N/A,#N/A,FALSE,"F1"}</definedName>
    <definedName name="ss" localSheetId="16">#REF!</definedName>
    <definedName name="ss" localSheetId="14">#REF!</definedName>
    <definedName name="ss">#REF!</definedName>
    <definedName name="sss" localSheetId="16" hidden="1">{#N/A,#N/A,TRUE,"Page de garde";#N/A,#N/A,TRUE,"Récap";#N/A,#N/A,TRUE,"2001";#N/A,#N/A,TRUE,"2002";#N/A,#N/A,TRUE,"MN";#N/A,#N/A,TRUE,"CB-CN ";#N/A,#N/A,TRUE,"Point TVA (avec ES)"}</definedName>
    <definedName name="sss" localSheetId="14" hidden="1">{#N/A,#N/A,TRUE,"Page de garde";#N/A,#N/A,TRUE,"Récap";#N/A,#N/A,TRUE,"2001";#N/A,#N/A,TRUE,"2002";#N/A,#N/A,TRUE,"MN";#N/A,#N/A,TRUE,"CB-CN ";#N/A,#N/A,TRUE,"Point TVA (avec ES)"}</definedName>
    <definedName name="sss" hidden="1">{#N/A,#N/A,TRUE,"Page de garde";#N/A,#N/A,TRUE,"Récap";#N/A,#N/A,TRUE,"2001";#N/A,#N/A,TRUE,"2002";#N/A,#N/A,TRUE,"MN";#N/A,#N/A,TRUE,"CB-CN ";#N/A,#N/A,TRUE,"Point TVA (avec ES)"}</definedName>
    <definedName name="suivi" localSheetId="16" hidden="1">{#N/A,#N/A,FALSE,"Synthèse";#N/A,#N/A,FALSE,"Evolution de la TVA";#N/A,#N/A,FALSE,"Ventilation DGI-Douanes";#N/A,#N/A,FALSE,"prévision hors constaté ";#N/A,#N/A,FALSE,"recettes et écart à la prévisio"}</definedName>
    <definedName name="suivi" localSheetId="14" hidden="1">{#N/A,#N/A,FALSE,"Synthèse";#N/A,#N/A,FALSE,"Evolution de la TVA";#N/A,#N/A,FALSE,"Ventilation DGI-Douanes";#N/A,#N/A,FALSE,"prévision hors constaté ";#N/A,#N/A,FALSE,"recettes et écart à la prévisio"}</definedName>
    <definedName name="suivi" hidden="1">{#N/A,#N/A,FALSE,"Synthèse";#N/A,#N/A,FALSE,"Evolution de la TVA";#N/A,#N/A,FALSE,"Ventilation DGI-Douanes";#N/A,#N/A,FALSE,"prévision hors constaté ";#N/A,#N/A,FALSE,"recettes et écart à la prévisio"}</definedName>
    <definedName name="table" localSheetId="16">#REF!</definedName>
    <definedName name="table" localSheetId="14">#REF!</definedName>
    <definedName name="table">#REF!</definedName>
    <definedName name="tblMapDescriptions" localSheetId="16">#REF!</definedName>
    <definedName name="tblMapDescriptions" localSheetId="14">#REF!</definedName>
    <definedName name="tblMapDescriptions">#REF!</definedName>
    <definedName name="test" localSheetId="16">#REF!</definedName>
    <definedName name="test" localSheetId="14">#REF!</definedName>
    <definedName name="test">#REF!</definedName>
    <definedName name="Teuro" localSheetId="0">#REF!</definedName>
    <definedName name="Teuro" localSheetId="16">#REF!</definedName>
    <definedName name="Teuro">#REF!</definedName>
    <definedName name="tghth" localSheetId="16" hidden="1">{"'TBADMI (Annexe 3)'!$B$164:$G$189"}</definedName>
    <definedName name="tghth" localSheetId="14" hidden="1">{"'TBADMI (Annexe 3)'!$B$164:$G$189"}</definedName>
    <definedName name="tghth" hidden="1">{"'TBADMI (Annexe 3)'!$B$164:$G$189"}</definedName>
    <definedName name="TITLE2" localSheetId="16">#REF!</definedName>
    <definedName name="TITLE2">#REF!</definedName>
    <definedName name="TITRE1" localSheetId="16">#REF!</definedName>
    <definedName name="TITRE1">#REF!</definedName>
    <definedName name="TITRE2" localSheetId="16">#REF!</definedName>
    <definedName name="TITRE2">#REF!</definedName>
    <definedName name="tot" localSheetId="16">#REF!</definedName>
    <definedName name="tot">#REF!</definedName>
    <definedName name="tota" localSheetId="16">#REF!</definedName>
    <definedName name="tota">#REF!</definedName>
    <definedName name="totb" localSheetId="16">#REF!</definedName>
    <definedName name="totb">#REF!</definedName>
    <definedName name="totc" localSheetId="16">#REF!</definedName>
    <definedName name="totc">#REF!</definedName>
    <definedName name="totd" localSheetId="16">#REF!</definedName>
    <definedName name="totd">#REF!</definedName>
    <definedName name="wrn.Dossier." localSheetId="16" hidden="1">{#N/A,#N/A,FALSE,"couv";#N/A,#N/A,FALSE,"A1";#N/A,#N/A,FALSE,"B1";#N/A,#N/A,FALSE,"B2";#N/A,#N/A,FALSE,"C1";#N/A,#N/A,FALSE,"C3";#N/A,#N/A,FALSE,"C4";#N/A,#N/A,FALSE,"D1";#N/A,#N/A,FALSE,"D2";#N/A,#N/A,FALSE,"D3";#N/A,#N/A,FALSE,"E";#N/A,#N/A,FALSE,"E1A";#N/A,#N/A,FALSE,"E1B";#N/A,#N/A,FALSE,"E2";#N/A,#N/A,FALSE,"E3A ";#N/A,#N/A,FALSE,"E3B";#N/A,#N/A,FALSE,"E4";#N/A,#N/A,FALSE,"F1"}</definedName>
    <definedName name="wrn.Dossier." localSheetId="14" hidden="1">{#N/A,#N/A,FALSE,"couv";#N/A,#N/A,FALSE,"A1";#N/A,#N/A,FALSE,"B1";#N/A,#N/A,FALSE,"B2";#N/A,#N/A,FALSE,"C1";#N/A,#N/A,FALSE,"C3";#N/A,#N/A,FALSE,"C4";#N/A,#N/A,FALSE,"D1";#N/A,#N/A,FALSE,"D2";#N/A,#N/A,FALSE,"D3";#N/A,#N/A,FALSE,"E";#N/A,#N/A,FALSE,"E1A";#N/A,#N/A,FALSE,"E1B";#N/A,#N/A,FALSE,"E2";#N/A,#N/A,FALSE,"E3A ";#N/A,#N/A,FALSE,"E3B";#N/A,#N/A,FALSE,"E4";#N/A,#N/A,FALSE,"F1"}</definedName>
    <definedName name="wrn.Dossier." hidden="1">{#N/A,#N/A,FALSE,"couv";#N/A,#N/A,FALSE,"A1";#N/A,#N/A,FALSE,"B1";#N/A,#N/A,FALSE,"B2";#N/A,#N/A,FALSE,"C1";#N/A,#N/A,FALSE,"C3";#N/A,#N/A,FALSE,"C4";#N/A,#N/A,FALSE,"D1";#N/A,#N/A,FALSE,"D2";#N/A,#N/A,FALSE,"D3";#N/A,#N/A,FALSE,"E";#N/A,#N/A,FALSE,"E1A";#N/A,#N/A,FALSE,"E1B";#N/A,#N/A,FALSE,"E2";#N/A,#N/A,FALSE,"E3A ";#N/A,#N/A,FALSE,"E3B";#N/A,#N/A,FALSE,"E4";#N/A,#N/A,FALSE,"F1"}</definedName>
    <definedName name="wrn.Dossier._.BEH._.2000." localSheetId="16" hidden="1">{#N/A,#N/A,TRUE,"Page de garde";#N/A,#N/A,TRUE,"Récap";#N/A,#N/A,TRUE,"2001";#N/A,#N/A,TRUE,"2002";#N/A,#N/A,TRUE,"MN";#N/A,#N/A,TRUE,"CB-CN ";#N/A,#N/A,TRUE,"Point TVA (avec ES)"}</definedName>
    <definedName name="wrn.Dossier._.BEH._.2000." localSheetId="14" hidden="1">{#N/A,#N/A,TRUE,"Page de garde";#N/A,#N/A,TRUE,"Récap";#N/A,#N/A,TRUE,"2001";#N/A,#N/A,TRUE,"2002";#N/A,#N/A,TRUE,"MN";#N/A,#N/A,TRUE,"CB-CN ";#N/A,#N/A,TRUE,"Point TVA (avec ES)"}</definedName>
    <definedName name="wrn.Dossier._.BEH._.2000." hidden="1">{#N/A,#N/A,TRUE,"Page de garde";#N/A,#N/A,TRUE,"Récap";#N/A,#N/A,TRUE,"2001";#N/A,#N/A,TRUE,"2002";#N/A,#N/A,TRUE,"MN";#N/A,#N/A,TRUE,"CB-CN ";#N/A,#N/A,TRUE,"Point TVA (avec ES)"}</definedName>
    <definedName name="wrn.Dossier._.janvier." localSheetId="16" hidden="1">{#N/A,#N/A,FALSE,"c_janv";#N/A,#N/A,FALSE,"A1";#N/A,#N/A,FALSE,"B1";#N/A,#N/A,FALSE,"B2";#N/A,#N/A,FALSE,"C1";#N/A,#N/A,FALSE,"C3";#N/A,#N/A,FALSE,"C4";#N/A,#N/A,FALSE,"D1";#N/A,#N/A,FALSE,"D2";#N/A,#N/A,FALSE,"D3";#N/A,#N/A,FALSE,"E1A";#N/A,#N/A,FALSE,"E1B";#N/A,#N/A,FALSE,"E2";#N/A,#N/A,FALSE,"E3A ";#N/A,#N/A,FALSE,"E3B";#N/A,#N/A,FALSE,"E4";#N/A,#N/A,FALSE,"F1"}</definedName>
    <definedName name="wrn.Dossier._.janvier." localSheetId="14" hidden="1">{#N/A,#N/A,FALSE,"c_janv";#N/A,#N/A,FALSE,"A1";#N/A,#N/A,FALSE,"B1";#N/A,#N/A,FALSE,"B2";#N/A,#N/A,FALSE,"C1";#N/A,#N/A,FALSE,"C3";#N/A,#N/A,FALSE,"C4";#N/A,#N/A,FALSE,"D1";#N/A,#N/A,FALSE,"D2";#N/A,#N/A,FALSE,"D3";#N/A,#N/A,FALSE,"E1A";#N/A,#N/A,FALSE,"E1B";#N/A,#N/A,FALSE,"E2";#N/A,#N/A,FALSE,"E3A ";#N/A,#N/A,FALSE,"E3B";#N/A,#N/A,FALSE,"E4";#N/A,#N/A,FALSE,"F1"}</definedName>
    <definedName name="wrn.Dossier._.janvier." hidden="1">{#N/A,#N/A,FALSE,"c_janv";#N/A,#N/A,FALSE,"A1";#N/A,#N/A,FALSE,"B1";#N/A,#N/A,FALSE,"B2";#N/A,#N/A,FALSE,"C1";#N/A,#N/A,FALSE,"C3";#N/A,#N/A,FALSE,"C4";#N/A,#N/A,FALSE,"D1";#N/A,#N/A,FALSE,"D2";#N/A,#N/A,FALSE,"D3";#N/A,#N/A,FALSE,"E1A";#N/A,#N/A,FALSE,"E1B";#N/A,#N/A,FALSE,"E2";#N/A,#N/A,FALSE,"E3A ";#N/A,#N/A,FALSE,"E3B";#N/A,#N/A,FALSE,"E4";#N/A,#N/A,FALSE,"F1"}</definedName>
    <definedName name="wrn.Dossier._.Sénat." localSheetId="16" hidden="1">{#N/A,#N/A,FALSE,"c_sénat";#N/A,#N/A,FALSE,"A1";#N/A,#N/A,FALSE,"B1";#N/A,#N/A,FALSE,"B2";#N/A,#N/A,FALSE,"C1";#N/A,#N/A,FALSE,"C3";#N/A,#N/A,FALSE,"C4";#N/A,#N/A,FALSE,"D1";#N/A,#N/A,FALSE,"D2";#N/A,#N/A,FALSE,"D3";#N/A,#N/A,FALSE,"E1A";#N/A,#N/A,FALSE,"E1B";#N/A,#N/A,FALSE,"E2";#N/A,#N/A,FALSE,"E3A ";#N/A,#N/A,FALSE,"E3B";#N/A,#N/A,FALSE,"E4";#N/A,#N/A,FALSE,"F1"}</definedName>
    <definedName name="wrn.Dossier._.Sénat." localSheetId="14" hidden="1">{#N/A,#N/A,FALSE,"c_sénat";#N/A,#N/A,FALSE,"A1";#N/A,#N/A,FALSE,"B1";#N/A,#N/A,FALSE,"B2";#N/A,#N/A,FALSE,"C1";#N/A,#N/A,FALSE,"C3";#N/A,#N/A,FALSE,"C4";#N/A,#N/A,FALSE,"D1";#N/A,#N/A,FALSE,"D2";#N/A,#N/A,FALSE,"D3";#N/A,#N/A,FALSE,"E1A";#N/A,#N/A,FALSE,"E1B";#N/A,#N/A,FALSE,"E2";#N/A,#N/A,FALSE,"E3A ";#N/A,#N/A,FALSE,"E3B";#N/A,#N/A,FALSE,"E4";#N/A,#N/A,FALSE,"F1"}</definedName>
    <definedName name="wrn.Dossier._.Sénat." hidden="1">{#N/A,#N/A,FALSE,"c_sénat";#N/A,#N/A,FALSE,"A1";#N/A,#N/A,FALSE,"B1";#N/A,#N/A,FALSE,"B2";#N/A,#N/A,FALSE,"C1";#N/A,#N/A,FALSE,"C3";#N/A,#N/A,FALSE,"C4";#N/A,#N/A,FALSE,"D1";#N/A,#N/A,FALSE,"D2";#N/A,#N/A,FALSE,"D3";#N/A,#N/A,FALSE,"E1A";#N/A,#N/A,FALSE,"E1B";#N/A,#N/A,FALSE,"E2";#N/A,#N/A,FALSE,"E3A ";#N/A,#N/A,FALSE,"E3B";#N/A,#N/A,FALSE,"E4";#N/A,#N/A,FALSE,"F1"}</definedName>
    <definedName name="wrn.sh_coul." localSheetId="16" hidden="1">{#N/A,#N/A,FALSE,"A2C";#N/A,#N/A,FALSE,"A3C";#N/A,#N/A,FALSE,"A4C";#N/A,#N/A,FALSE,"A5C";#N/A,#N/A,FALSE,"A3PRIVAT";#N/A,#N/A,FALSE,"A4LFI";#N/A,#N/A,FALSE,"A5LFI";#N/A,#N/A,FALSE,"C2C"}</definedName>
    <definedName name="wrn.sh_coul." localSheetId="14" hidden="1">{#N/A,#N/A,FALSE,"A2C";#N/A,#N/A,FALSE,"A3C";#N/A,#N/A,FALSE,"A4C";#N/A,#N/A,FALSE,"A5C";#N/A,#N/A,FALSE,"A3PRIVAT";#N/A,#N/A,FALSE,"A4LFI";#N/A,#N/A,FALSE,"A5LFI";#N/A,#N/A,FALSE,"C2C"}</definedName>
    <definedName name="wrn.sh_coul." hidden="1">{#N/A,#N/A,FALSE,"A2C";#N/A,#N/A,FALSE,"A3C";#N/A,#N/A,FALSE,"A4C";#N/A,#N/A,FALSE,"A5C";#N/A,#N/A,FALSE,"A3PRIVAT";#N/A,#N/A,FALSE,"A4LFI";#N/A,#N/A,FALSE,"A5LFI";#N/A,#N/A,FALSE,"C2C"}</definedName>
    <definedName name="wrn.sh_nb." localSheetId="16" hidden="1">{#N/A,#N/A,FALSE,"A2";#N/A,#N/A,FALSE,"A3";#N/A,#N/A,FALSE,"A4";#N/A,#N/A,FALSE,"A5";#N/A,#N/A,FALSE,"C2"}</definedName>
    <definedName name="wrn.sh_nb." localSheetId="14" hidden="1">{#N/A,#N/A,FALSE,"A2";#N/A,#N/A,FALSE,"A3";#N/A,#N/A,FALSE,"A4";#N/A,#N/A,FALSE,"A5";#N/A,#N/A,FALSE,"C2"}</definedName>
    <definedName name="wrn.sh_nb." hidden="1">{#N/A,#N/A,FALSE,"A2";#N/A,#N/A,FALSE,"A3";#N/A,#N/A,FALSE,"A4";#N/A,#N/A,FALSE,"A5";#N/A,#N/A,FALSE,"C2"}</definedName>
    <definedName name="wrn.Suivi._.mensuel." localSheetId="16" hidden="1">{#N/A,#N/A,FALSE,"Synthèse";#N/A,#N/A,FALSE,"Evolution de la TVA";#N/A,#N/A,FALSE,"Ventilation DGI-Douanes";#N/A,#N/A,FALSE,"prévision hors constaté ";#N/A,#N/A,FALSE,"recettes et écart à la prévisio"}</definedName>
    <definedName name="wrn.Suivi._.mensuel." localSheetId="14" hidden="1">{#N/A,#N/A,FALSE,"Synthèse";#N/A,#N/A,FALSE,"Evolution de la TVA";#N/A,#N/A,FALSE,"Ventilation DGI-Douanes";#N/A,#N/A,FALSE,"prévision hors constaté ";#N/A,#N/A,FALSE,"recettes et écart à la prévisio"}</definedName>
    <definedName name="wrn.Suivi._.mensuel." hidden="1">{#N/A,#N/A,FALSE,"Synthèse";#N/A,#N/A,FALSE,"Evolution de la TVA";#N/A,#N/A,FALSE,"Ventilation DGI-Douanes";#N/A,#N/A,FALSE,"prévision hors constaté ";#N/A,#N/A,FALSE,"recettes et écart à la prévisio"}</definedName>
    <definedName name="x">"Chart 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 i="35" l="1"/>
  <c r="E18" i="35" s="1"/>
  <c r="E19" i="35" s="1"/>
  <c r="D22" i="35"/>
  <c r="E22" i="35"/>
  <c r="D23" i="35"/>
  <c r="E23" i="35"/>
  <c r="D24" i="35"/>
  <c r="E24" i="35"/>
  <c r="D25" i="35"/>
  <c r="E25" i="35"/>
  <c r="D26" i="35"/>
  <c r="E26" i="35"/>
  <c r="D27" i="35"/>
  <c r="E27" i="35"/>
  <c r="D28" i="35"/>
  <c r="E28" i="35"/>
  <c r="E39" i="35"/>
  <c r="E40" i="35" s="1"/>
  <c r="E44" i="35"/>
  <c r="E45" i="35"/>
  <c r="E46" i="35"/>
  <c r="E51" i="35"/>
  <c r="E52" i="35"/>
  <c r="E53" i="35"/>
  <c r="E54" i="35"/>
  <c r="E59" i="35"/>
  <c r="D62" i="35"/>
  <c r="E62" i="35"/>
  <c r="D63" i="35"/>
  <c r="E63" i="35"/>
  <c r="E69" i="35"/>
  <c r="E70" i="35"/>
  <c r="E71" i="35"/>
  <c r="E72" i="35"/>
  <c r="E73" i="35"/>
  <c r="H69" i="49"/>
  <c r="M256" i="40" l="1"/>
  <c r="H254" i="49"/>
  <c r="AE15" i="10"/>
  <c r="AG79" i="10"/>
  <c r="AG77" i="10" l="1"/>
  <c r="AF79" i="10"/>
  <c r="K65" i="2" l="1"/>
  <c r="I65" i="2"/>
  <c r="J65" i="2" s="1"/>
  <c r="D155" i="40" l="1"/>
  <c r="D154" i="40"/>
  <c r="D153" i="40"/>
  <c r="D152" i="40"/>
  <c r="H36" i="40"/>
  <c r="M18" i="12"/>
  <c r="M61" i="12" s="1"/>
  <c r="L61" i="12"/>
  <c r="F78" i="36" l="1"/>
  <c r="V52" i="12" l="1"/>
  <c r="W724" i="34" l="1"/>
  <c r="T709" i="34"/>
  <c r="U709" i="34"/>
  <c r="V709" i="34"/>
  <c r="W709" i="34"/>
  <c r="V708" i="34"/>
  <c r="W708" i="34"/>
  <c r="V661" i="34"/>
  <c r="W661" i="34"/>
  <c r="V660" i="34"/>
  <c r="W660" i="34"/>
  <c r="V662" i="34"/>
  <c r="W662" i="34"/>
  <c r="W652" i="34"/>
  <c r="V649" i="34"/>
  <c r="W649" i="34"/>
  <c r="V648" i="34"/>
  <c r="W648" i="34"/>
  <c r="V647" i="34"/>
  <c r="W647" i="34"/>
  <c r="V623" i="34"/>
  <c r="W623" i="34"/>
  <c r="V625" i="34"/>
  <c r="W625" i="34"/>
  <c r="V624" i="34"/>
  <c r="W624" i="34"/>
  <c r="U165" i="34"/>
  <c r="U167" i="34"/>
  <c r="U171" i="34"/>
  <c r="U140" i="34"/>
  <c r="U141" i="34"/>
  <c r="U144" i="34"/>
  <c r="U156" i="34"/>
  <c r="U85" i="34"/>
  <c r="U92" i="34"/>
  <c r="U93" i="34"/>
  <c r="U102" i="34"/>
  <c r="U108" i="34"/>
  <c r="U117" i="34"/>
  <c r="U119" i="34"/>
  <c r="U123" i="34"/>
  <c r="U124" i="34"/>
  <c r="U125" i="34"/>
  <c r="U126" i="34"/>
  <c r="U128" i="34"/>
  <c r="U40" i="34"/>
  <c r="U44" i="34"/>
  <c r="U45" i="34"/>
  <c r="U54" i="34"/>
  <c r="U60" i="34"/>
  <c r="U69" i="34"/>
  <c r="U75" i="34"/>
  <c r="U78" i="34"/>
  <c r="U81" i="34"/>
  <c r="U23" i="34"/>
  <c r="U24" i="34"/>
  <c r="U37" i="34"/>
  <c r="D28" i="37"/>
  <c r="E28" i="37"/>
  <c r="V68" i="2" l="1"/>
  <c r="V68" i="10" s="1"/>
  <c r="V12" i="2"/>
  <c r="V13" i="2"/>
  <c r="V15" i="2"/>
  <c r="V16" i="2"/>
  <c r="V17" i="2"/>
  <c r="V22" i="2"/>
  <c r="V23" i="2"/>
  <c r="V24" i="2"/>
  <c r="V25" i="2"/>
  <c r="V26" i="2"/>
  <c r="V27" i="2"/>
  <c r="V29" i="2"/>
  <c r="V36" i="2"/>
  <c r="V38" i="2"/>
  <c r="V47" i="2"/>
  <c r="V52" i="2"/>
  <c r="V60" i="2"/>
  <c r="V64" i="11"/>
  <c r="V64" i="10" s="1"/>
  <c r="V42" i="11"/>
  <c r="V39" i="11"/>
  <c r="V18" i="11"/>
  <c r="V57" i="10"/>
  <c r="V42" i="10"/>
  <c r="V39" i="10"/>
  <c r="V64" i="12"/>
  <c r="V51" i="12"/>
  <c r="V51" i="2" s="1"/>
  <c r="V50" i="12"/>
  <c r="V42" i="12"/>
  <c r="V39" i="12"/>
  <c r="U71" i="34"/>
  <c r="V31" i="12"/>
  <c r="V18" i="12"/>
  <c r="U155" i="34" l="1"/>
  <c r="E39" i="38"/>
  <c r="U154" i="34"/>
  <c r="V30" i="10"/>
  <c r="U145" i="34" s="1"/>
  <c r="U149" i="34"/>
  <c r="U142" i="34"/>
  <c r="U143" i="34"/>
  <c r="U146" i="34"/>
  <c r="U168" i="34"/>
  <c r="U169" i="34"/>
  <c r="U162" i="34"/>
  <c r="U170" i="34"/>
  <c r="U163" i="34"/>
  <c r="U164" i="34"/>
  <c r="U166" i="34"/>
  <c r="V41" i="10"/>
  <c r="U160" i="34" s="1"/>
  <c r="U120" i="34"/>
  <c r="U118" i="34"/>
  <c r="U122" i="34"/>
  <c r="U121" i="34"/>
  <c r="U114" i="34"/>
  <c r="U115" i="34"/>
  <c r="U116" i="34"/>
  <c r="V41" i="11"/>
  <c r="U129" i="34" s="1"/>
  <c r="V39" i="2"/>
  <c r="V41" i="2" s="1"/>
  <c r="V28" i="11"/>
  <c r="U90" i="34"/>
  <c r="U83" i="34"/>
  <c r="U84" i="34"/>
  <c r="U106" i="34"/>
  <c r="U107" i="34"/>
  <c r="U58" i="34"/>
  <c r="U59" i="34"/>
  <c r="V32" i="12"/>
  <c r="U43" i="34"/>
  <c r="U38" i="34"/>
  <c r="U39" i="34"/>
  <c r="U76" i="34"/>
  <c r="U77" i="34"/>
  <c r="V50" i="2"/>
  <c r="U79" i="34"/>
  <c r="U80" i="34"/>
  <c r="V61" i="12"/>
  <c r="U41" i="34"/>
  <c r="U42" i="34"/>
  <c r="U35" i="34"/>
  <c r="U36" i="34"/>
  <c r="U65" i="34"/>
  <c r="U73" i="34"/>
  <c r="U66" i="34"/>
  <c r="U74" i="34"/>
  <c r="U67" i="34"/>
  <c r="U68" i="34"/>
  <c r="U70" i="34"/>
  <c r="U64" i="34"/>
  <c r="U72" i="34"/>
  <c r="V37" i="2"/>
  <c r="E24" i="38"/>
  <c r="V57" i="2"/>
  <c r="V68" i="12"/>
  <c r="V68" i="11"/>
  <c r="V69" i="2"/>
  <c r="V61" i="11"/>
  <c r="V19" i="12"/>
  <c r="F76" i="35"/>
  <c r="E76" i="35"/>
  <c r="T594" i="34"/>
  <c r="U591" i="34"/>
  <c r="V591" i="34"/>
  <c r="W591" i="34"/>
  <c r="S552" i="34"/>
  <c r="T552" i="34"/>
  <c r="W564" i="34"/>
  <c r="M250" i="39"/>
  <c r="L250" i="39"/>
  <c r="K250" i="39"/>
  <c r="J250" i="39"/>
  <c r="I250" i="39"/>
  <c r="H250" i="39"/>
  <c r="G250" i="39"/>
  <c r="F250" i="39"/>
  <c r="E250" i="39"/>
  <c r="D250" i="39"/>
  <c r="M249" i="39"/>
  <c r="L249" i="39"/>
  <c r="K249" i="39"/>
  <c r="J249" i="39"/>
  <c r="I249" i="39"/>
  <c r="H249" i="39"/>
  <c r="G249" i="39"/>
  <c r="F249" i="39"/>
  <c r="E249" i="39"/>
  <c r="D249" i="39"/>
  <c r="M248" i="39"/>
  <c r="L248" i="39"/>
  <c r="K248" i="39"/>
  <c r="J248" i="39"/>
  <c r="I248" i="39"/>
  <c r="H248" i="39"/>
  <c r="G248" i="39"/>
  <c r="F248" i="39"/>
  <c r="E248" i="39"/>
  <c r="D248" i="39"/>
  <c r="M247" i="39"/>
  <c r="L247" i="39"/>
  <c r="K247" i="39"/>
  <c r="J247" i="39"/>
  <c r="I247" i="39"/>
  <c r="H247" i="39"/>
  <c r="G247" i="39"/>
  <c r="F247" i="39"/>
  <c r="E247" i="39"/>
  <c r="D247" i="39"/>
  <c r="M246" i="39"/>
  <c r="L246" i="39"/>
  <c r="K246" i="39"/>
  <c r="J246" i="39"/>
  <c r="I246" i="39"/>
  <c r="H246" i="39"/>
  <c r="G246" i="39"/>
  <c r="F246" i="39"/>
  <c r="E246" i="39"/>
  <c r="D246" i="39"/>
  <c r="M245" i="39"/>
  <c r="L245" i="39"/>
  <c r="K245" i="39"/>
  <c r="J245" i="39"/>
  <c r="I245" i="39"/>
  <c r="H245" i="39"/>
  <c r="G245" i="39"/>
  <c r="F245" i="39"/>
  <c r="E245" i="39"/>
  <c r="D245" i="39"/>
  <c r="M244" i="39"/>
  <c r="L244" i="39"/>
  <c r="K244" i="39"/>
  <c r="J244" i="39"/>
  <c r="I244" i="39"/>
  <c r="H244" i="39"/>
  <c r="G244" i="39"/>
  <c r="F244" i="39"/>
  <c r="E244" i="39"/>
  <c r="D244" i="39"/>
  <c r="M243" i="39"/>
  <c r="L243" i="39"/>
  <c r="K243" i="39"/>
  <c r="J243" i="39"/>
  <c r="I243" i="39"/>
  <c r="H243" i="39"/>
  <c r="G243" i="39"/>
  <c r="F243" i="39"/>
  <c r="E243" i="39"/>
  <c r="D243" i="39"/>
  <c r="M242" i="39"/>
  <c r="L242" i="39"/>
  <c r="K242" i="39"/>
  <c r="J242" i="39"/>
  <c r="I242" i="39"/>
  <c r="H242" i="39"/>
  <c r="G242" i="39"/>
  <c r="F242" i="39"/>
  <c r="E242" i="39"/>
  <c r="D242" i="39"/>
  <c r="M241" i="39"/>
  <c r="L241" i="39"/>
  <c r="K241" i="39"/>
  <c r="J241" i="39"/>
  <c r="I241" i="39"/>
  <c r="H241" i="39"/>
  <c r="G241" i="39"/>
  <c r="F241" i="39"/>
  <c r="E241" i="39"/>
  <c r="D241" i="39"/>
  <c r="M240" i="39"/>
  <c r="L240" i="39"/>
  <c r="K240" i="39"/>
  <c r="J240" i="39"/>
  <c r="I240" i="39"/>
  <c r="H240" i="39"/>
  <c r="G240" i="39"/>
  <c r="F240" i="39"/>
  <c r="E240" i="39"/>
  <c r="D240" i="39"/>
  <c r="M239" i="39"/>
  <c r="L239" i="39"/>
  <c r="K239" i="39"/>
  <c r="J239" i="39"/>
  <c r="I239" i="39"/>
  <c r="H239" i="39"/>
  <c r="G239" i="39"/>
  <c r="F239" i="39"/>
  <c r="E239" i="39"/>
  <c r="D239" i="39"/>
  <c r="L236" i="39"/>
  <c r="K236" i="39"/>
  <c r="J236" i="39"/>
  <c r="I236" i="39"/>
  <c r="H236" i="39"/>
  <c r="G236" i="39"/>
  <c r="F236" i="39"/>
  <c r="E236" i="39"/>
  <c r="L235" i="39"/>
  <c r="K235" i="39"/>
  <c r="J235" i="39"/>
  <c r="I235" i="39"/>
  <c r="H235" i="39"/>
  <c r="G235" i="39"/>
  <c r="F235" i="39"/>
  <c r="E235" i="39"/>
  <c r="L234" i="39"/>
  <c r="K234" i="39"/>
  <c r="J234" i="39"/>
  <c r="I234" i="39"/>
  <c r="H234" i="39"/>
  <c r="G234" i="39"/>
  <c r="F234" i="39"/>
  <c r="E234" i="39"/>
  <c r="L233" i="39"/>
  <c r="K233" i="39"/>
  <c r="J233" i="39"/>
  <c r="I233" i="39"/>
  <c r="H233" i="39"/>
  <c r="G233" i="39"/>
  <c r="F233" i="39"/>
  <c r="E233" i="39"/>
  <c r="L232" i="39"/>
  <c r="K232" i="39"/>
  <c r="J232" i="39"/>
  <c r="I232" i="39"/>
  <c r="H232" i="39"/>
  <c r="G232" i="39"/>
  <c r="F232" i="39"/>
  <c r="E232" i="39"/>
  <c r="M231" i="39"/>
  <c r="L231" i="39"/>
  <c r="K231" i="39"/>
  <c r="J231" i="39"/>
  <c r="L230" i="39"/>
  <c r="K230" i="39"/>
  <c r="J230" i="39"/>
  <c r="H230" i="39"/>
  <c r="G230" i="39"/>
  <c r="F230" i="39"/>
  <c r="E230" i="39"/>
  <c r="L229" i="39"/>
  <c r="K229" i="39"/>
  <c r="J229" i="39"/>
  <c r="I229" i="39"/>
  <c r="G229" i="39"/>
  <c r="F229" i="39"/>
  <c r="E229" i="39"/>
  <c r="L228" i="39"/>
  <c r="K228" i="39"/>
  <c r="J228" i="39"/>
  <c r="I228" i="39"/>
  <c r="H228" i="39"/>
  <c r="F228" i="39"/>
  <c r="E228" i="39"/>
  <c r="M226" i="39"/>
  <c r="L226" i="39"/>
  <c r="K226" i="39"/>
  <c r="J226" i="39"/>
  <c r="I226" i="39"/>
  <c r="H226" i="39"/>
  <c r="G226" i="39"/>
  <c r="F226" i="39"/>
  <c r="E226" i="39"/>
  <c r="D226" i="39"/>
  <c r="M225" i="39"/>
  <c r="L225" i="39"/>
  <c r="K225" i="39"/>
  <c r="J225" i="39"/>
  <c r="I225" i="39"/>
  <c r="H225" i="39"/>
  <c r="G225" i="39"/>
  <c r="F225" i="39"/>
  <c r="E225" i="39"/>
  <c r="D225" i="39"/>
  <c r="M224" i="39"/>
  <c r="L224" i="39"/>
  <c r="K224" i="39"/>
  <c r="J224" i="39"/>
  <c r="I224" i="39"/>
  <c r="H224" i="39"/>
  <c r="G224" i="39"/>
  <c r="F224" i="39"/>
  <c r="E224" i="39"/>
  <c r="D224" i="39"/>
  <c r="M223" i="39"/>
  <c r="L223" i="39"/>
  <c r="K223" i="39"/>
  <c r="J223" i="39"/>
  <c r="I223" i="39"/>
  <c r="H223" i="39"/>
  <c r="G223" i="39"/>
  <c r="F223" i="39"/>
  <c r="E223" i="39"/>
  <c r="D223" i="39"/>
  <c r="M222" i="39"/>
  <c r="L222" i="39"/>
  <c r="K222" i="39"/>
  <c r="J222" i="39"/>
  <c r="I222" i="39"/>
  <c r="H222" i="39"/>
  <c r="G222" i="39"/>
  <c r="F222" i="39"/>
  <c r="E222" i="39"/>
  <c r="D222" i="39"/>
  <c r="M221" i="39"/>
  <c r="L221" i="39"/>
  <c r="K221" i="39"/>
  <c r="J221" i="39"/>
  <c r="I221" i="39"/>
  <c r="H221" i="39"/>
  <c r="G221" i="39"/>
  <c r="F221" i="39"/>
  <c r="E221" i="39"/>
  <c r="D221" i="39"/>
  <c r="M220" i="39"/>
  <c r="L220" i="39"/>
  <c r="K220" i="39"/>
  <c r="J220" i="39"/>
  <c r="I220" i="39"/>
  <c r="H220" i="39"/>
  <c r="G220" i="39"/>
  <c r="F220" i="39"/>
  <c r="E220" i="39"/>
  <c r="D220" i="39"/>
  <c r="M219" i="39"/>
  <c r="L219" i="39"/>
  <c r="K219" i="39"/>
  <c r="J219" i="39"/>
  <c r="I219" i="39"/>
  <c r="H219" i="39"/>
  <c r="G219" i="39"/>
  <c r="F219" i="39"/>
  <c r="E219" i="39"/>
  <c r="D219" i="39"/>
  <c r="M218" i="39"/>
  <c r="L218" i="39"/>
  <c r="K218" i="39"/>
  <c r="J218" i="39"/>
  <c r="I218" i="39"/>
  <c r="H218" i="39"/>
  <c r="G218" i="39"/>
  <c r="F218" i="39"/>
  <c r="E218" i="39"/>
  <c r="D218" i="39"/>
  <c r="M217" i="39"/>
  <c r="L217" i="39"/>
  <c r="K217" i="39"/>
  <c r="J217" i="39"/>
  <c r="I217" i="39"/>
  <c r="H217" i="39"/>
  <c r="G217" i="39"/>
  <c r="F217" i="39"/>
  <c r="E217" i="39"/>
  <c r="D217" i="39"/>
  <c r="M216" i="39"/>
  <c r="L216" i="39"/>
  <c r="K216" i="39"/>
  <c r="J216" i="39"/>
  <c r="I216" i="39"/>
  <c r="H216" i="39"/>
  <c r="G216" i="39"/>
  <c r="F216" i="39"/>
  <c r="E216" i="39"/>
  <c r="D216" i="39"/>
  <c r="M215" i="39"/>
  <c r="L215" i="39"/>
  <c r="K215" i="39"/>
  <c r="J215" i="39"/>
  <c r="I215" i="39"/>
  <c r="H215" i="39"/>
  <c r="G215" i="39"/>
  <c r="F215" i="39"/>
  <c r="E215" i="39"/>
  <c r="D215" i="39"/>
  <c r="M214" i="39"/>
  <c r="L214" i="39"/>
  <c r="K214" i="39"/>
  <c r="J214" i="39"/>
  <c r="I214" i="39"/>
  <c r="H214" i="39"/>
  <c r="G214" i="39"/>
  <c r="F214" i="39"/>
  <c r="E214" i="39"/>
  <c r="D214" i="39"/>
  <c r="M213" i="39"/>
  <c r="L213" i="39"/>
  <c r="K213" i="39"/>
  <c r="J213" i="39"/>
  <c r="I213" i="39"/>
  <c r="H213" i="39"/>
  <c r="G213" i="39"/>
  <c r="F213" i="39"/>
  <c r="E213" i="39"/>
  <c r="D213" i="39"/>
  <c r="L210" i="39"/>
  <c r="K210" i="39"/>
  <c r="J210" i="39"/>
  <c r="I210" i="39"/>
  <c r="H210" i="39"/>
  <c r="G210" i="39"/>
  <c r="F210" i="39"/>
  <c r="E210" i="39"/>
  <c r="L209" i="39"/>
  <c r="K209" i="39"/>
  <c r="J209" i="39"/>
  <c r="I209" i="39"/>
  <c r="H209" i="39"/>
  <c r="G209" i="39"/>
  <c r="F209" i="39"/>
  <c r="E209" i="39"/>
  <c r="L208" i="39"/>
  <c r="K208" i="39"/>
  <c r="J208" i="39"/>
  <c r="I208" i="39"/>
  <c r="H208" i="39"/>
  <c r="G208" i="39"/>
  <c r="F208" i="39"/>
  <c r="E208" i="39"/>
  <c r="L207" i="39"/>
  <c r="K207" i="39"/>
  <c r="J207" i="39"/>
  <c r="I207" i="39"/>
  <c r="H207" i="39"/>
  <c r="G207" i="39"/>
  <c r="F207" i="39"/>
  <c r="E207" i="39"/>
  <c r="L206" i="39"/>
  <c r="K206" i="39"/>
  <c r="J206" i="39"/>
  <c r="I206" i="39"/>
  <c r="H206" i="39"/>
  <c r="G206" i="39"/>
  <c r="F206" i="39"/>
  <c r="E206" i="39"/>
  <c r="L204" i="39"/>
  <c r="K204" i="39"/>
  <c r="J204" i="39"/>
  <c r="I204" i="39"/>
  <c r="H204" i="39"/>
  <c r="G204" i="39"/>
  <c r="F204" i="39"/>
  <c r="E204" i="39"/>
  <c r="L203" i="39"/>
  <c r="K203" i="39"/>
  <c r="J203" i="39"/>
  <c r="I203" i="39"/>
  <c r="H203" i="39"/>
  <c r="G203" i="39"/>
  <c r="E203" i="39"/>
  <c r="L202" i="39"/>
  <c r="K202" i="39"/>
  <c r="J202" i="39"/>
  <c r="I202" i="39"/>
  <c r="H202" i="39"/>
  <c r="G202" i="39"/>
  <c r="F202" i="39"/>
  <c r="L201" i="39"/>
  <c r="K201" i="39"/>
  <c r="J201" i="39"/>
  <c r="L200" i="39"/>
  <c r="K200" i="39"/>
  <c r="J200" i="39"/>
  <c r="I200" i="39"/>
  <c r="H200" i="39"/>
  <c r="G200" i="39"/>
  <c r="F200" i="39"/>
  <c r="E200" i="39"/>
  <c r="D200" i="39"/>
  <c r="L199" i="39"/>
  <c r="K199" i="39"/>
  <c r="J199" i="39"/>
  <c r="I199" i="39"/>
  <c r="H199" i="39"/>
  <c r="G199" i="39"/>
  <c r="F199" i="39"/>
  <c r="E199" i="39"/>
  <c r="D199" i="39"/>
  <c r="L198" i="39"/>
  <c r="K198" i="39"/>
  <c r="J198" i="39"/>
  <c r="I198" i="39"/>
  <c r="H198" i="39"/>
  <c r="G198" i="39"/>
  <c r="F198" i="39"/>
  <c r="E198" i="39"/>
  <c r="D198" i="39"/>
  <c r="L195" i="39"/>
  <c r="K195" i="39"/>
  <c r="J195" i="39"/>
  <c r="I195" i="39"/>
  <c r="H195" i="39"/>
  <c r="G195" i="39"/>
  <c r="F195" i="39"/>
  <c r="E195" i="39"/>
  <c r="L194" i="39"/>
  <c r="K194" i="39"/>
  <c r="J194" i="39"/>
  <c r="I194" i="39"/>
  <c r="H194" i="39"/>
  <c r="G194" i="39"/>
  <c r="F194" i="39"/>
  <c r="E194" i="39"/>
  <c r="L193" i="39"/>
  <c r="K193" i="39"/>
  <c r="J193" i="39"/>
  <c r="I193" i="39"/>
  <c r="H193" i="39"/>
  <c r="G193" i="39"/>
  <c r="F193" i="39"/>
  <c r="E193" i="39"/>
  <c r="L192" i="39"/>
  <c r="K192" i="39"/>
  <c r="J192" i="39"/>
  <c r="I192" i="39"/>
  <c r="H192" i="39"/>
  <c r="G192" i="39"/>
  <c r="F192" i="39"/>
  <c r="E192" i="39"/>
  <c r="L191" i="39"/>
  <c r="K191" i="39"/>
  <c r="J191" i="39"/>
  <c r="I191" i="39"/>
  <c r="H191" i="39"/>
  <c r="G191" i="39"/>
  <c r="F191" i="39"/>
  <c r="E191" i="39"/>
  <c r="L189" i="39"/>
  <c r="K189" i="39"/>
  <c r="J189" i="39"/>
  <c r="I189" i="39"/>
  <c r="H189" i="39"/>
  <c r="G189" i="39"/>
  <c r="F189" i="39"/>
  <c r="E189" i="39"/>
  <c r="L188" i="39"/>
  <c r="K188" i="39"/>
  <c r="J188" i="39"/>
  <c r="I188" i="39"/>
  <c r="H188" i="39"/>
  <c r="G188" i="39"/>
  <c r="F188" i="39"/>
  <c r="E188" i="39"/>
  <c r="L187" i="39"/>
  <c r="K187" i="39"/>
  <c r="J187" i="39"/>
  <c r="I187" i="39"/>
  <c r="H187" i="39"/>
  <c r="G187" i="39"/>
  <c r="F187" i="39"/>
  <c r="E187" i="39"/>
  <c r="L185" i="39"/>
  <c r="K185" i="39"/>
  <c r="J185" i="39"/>
  <c r="I185" i="39"/>
  <c r="H185" i="39"/>
  <c r="G185" i="39"/>
  <c r="F185" i="39"/>
  <c r="E185" i="39"/>
  <c r="D185" i="39"/>
  <c r="L184" i="39"/>
  <c r="K184" i="39"/>
  <c r="J184" i="39"/>
  <c r="I184" i="39"/>
  <c r="H184" i="39"/>
  <c r="G184" i="39"/>
  <c r="F184" i="39"/>
  <c r="E184" i="39"/>
  <c r="D184" i="39"/>
  <c r="L183" i="39"/>
  <c r="K183" i="39"/>
  <c r="J183" i="39"/>
  <c r="I183" i="39"/>
  <c r="H183" i="39"/>
  <c r="G183" i="39"/>
  <c r="F183" i="39"/>
  <c r="E183" i="39"/>
  <c r="D183" i="39"/>
  <c r="K180" i="39"/>
  <c r="J180" i="39"/>
  <c r="I180" i="39"/>
  <c r="H180" i="39"/>
  <c r="G180" i="39"/>
  <c r="F180" i="39"/>
  <c r="E180" i="39"/>
  <c r="L179" i="39"/>
  <c r="J179" i="39"/>
  <c r="I179" i="39"/>
  <c r="H179" i="39"/>
  <c r="G179" i="39"/>
  <c r="F179" i="39"/>
  <c r="E179" i="39"/>
  <c r="L178" i="39"/>
  <c r="K178" i="39"/>
  <c r="I178" i="39"/>
  <c r="H178" i="39"/>
  <c r="G178" i="39"/>
  <c r="F178" i="39"/>
  <c r="E178" i="39"/>
  <c r="L177" i="39"/>
  <c r="K177" i="39"/>
  <c r="J177" i="39"/>
  <c r="H177" i="39"/>
  <c r="G177" i="39"/>
  <c r="F177" i="39"/>
  <c r="E177" i="39"/>
  <c r="L176" i="39"/>
  <c r="K176" i="39"/>
  <c r="J176" i="39"/>
  <c r="I176" i="39"/>
  <c r="G176" i="39"/>
  <c r="F176" i="39"/>
  <c r="E176" i="39"/>
  <c r="M175" i="39"/>
  <c r="L175" i="39"/>
  <c r="K175" i="39"/>
  <c r="J175" i="39"/>
  <c r="L174" i="39"/>
  <c r="K174" i="39"/>
  <c r="J174" i="39"/>
  <c r="I174" i="39"/>
  <c r="H174" i="39"/>
  <c r="F174" i="39"/>
  <c r="E174" i="39"/>
  <c r="L173" i="39"/>
  <c r="K173" i="39"/>
  <c r="J173" i="39"/>
  <c r="I173" i="39"/>
  <c r="H173" i="39"/>
  <c r="G173" i="39"/>
  <c r="E173" i="39"/>
  <c r="L172" i="39"/>
  <c r="K172" i="39"/>
  <c r="J172" i="39"/>
  <c r="I172" i="39"/>
  <c r="H172" i="39"/>
  <c r="G172" i="39"/>
  <c r="F172" i="39"/>
  <c r="L171" i="39"/>
  <c r="K171" i="39"/>
  <c r="J171" i="39"/>
  <c r="M170" i="39"/>
  <c r="L170" i="39"/>
  <c r="K170" i="39"/>
  <c r="J170" i="39"/>
  <c r="I170" i="39"/>
  <c r="H170" i="39"/>
  <c r="G170" i="39"/>
  <c r="F170" i="39"/>
  <c r="E170" i="39"/>
  <c r="D170" i="39"/>
  <c r="L169" i="39"/>
  <c r="K169" i="39"/>
  <c r="J169" i="39"/>
  <c r="I169" i="39"/>
  <c r="H169" i="39"/>
  <c r="G169" i="39"/>
  <c r="F169" i="39"/>
  <c r="D169" i="39"/>
  <c r="L168" i="39"/>
  <c r="K168" i="39"/>
  <c r="J168" i="39"/>
  <c r="I168" i="39"/>
  <c r="H168" i="39"/>
  <c r="G168" i="39"/>
  <c r="F168" i="39"/>
  <c r="E168" i="39"/>
  <c r="D168" i="39"/>
  <c r="E111" i="49"/>
  <c r="F111" i="49"/>
  <c r="G111" i="49"/>
  <c r="H111" i="49"/>
  <c r="I111" i="49"/>
  <c r="J111" i="49"/>
  <c r="K111" i="49"/>
  <c r="L111" i="49"/>
  <c r="M111" i="49"/>
  <c r="D111" i="49"/>
  <c r="U113" i="34" l="1"/>
  <c r="U112" i="34"/>
  <c r="E39" i="37"/>
  <c r="U101" i="34"/>
  <c r="U100" i="34"/>
  <c r="U52" i="34"/>
  <c r="U53" i="34"/>
  <c r="U136" i="34"/>
  <c r="U147" i="34"/>
  <c r="V31" i="10"/>
  <c r="V30" i="2"/>
  <c r="U161" i="34"/>
  <c r="U127" i="34"/>
  <c r="V31" i="11"/>
  <c r="U88" i="34"/>
  <c r="V28" i="2"/>
  <c r="G30" i="40"/>
  <c r="G30" i="39" s="1"/>
  <c r="K126" i="40"/>
  <c r="K126" i="39" s="1"/>
  <c r="D116" i="40"/>
  <c r="D111" i="48"/>
  <c r="W252" i="34"/>
  <c r="V252" i="34"/>
  <c r="U252" i="34"/>
  <c r="T252" i="34"/>
  <c r="S252" i="34"/>
  <c r="S219" i="39"/>
  <c r="L165" i="39"/>
  <c r="K165" i="39"/>
  <c r="J165" i="39"/>
  <c r="I165" i="39"/>
  <c r="H165" i="39"/>
  <c r="G165" i="39"/>
  <c r="F165" i="39"/>
  <c r="E165" i="39"/>
  <c r="L164" i="39"/>
  <c r="K164" i="39"/>
  <c r="J164" i="39"/>
  <c r="I164" i="39"/>
  <c r="H164" i="39"/>
  <c r="G164" i="39"/>
  <c r="F164" i="39"/>
  <c r="E164" i="39"/>
  <c r="M163" i="39"/>
  <c r="K163" i="39"/>
  <c r="J163" i="39"/>
  <c r="I163" i="39"/>
  <c r="H163" i="39"/>
  <c r="G163" i="39"/>
  <c r="F163" i="39"/>
  <c r="E163" i="39"/>
  <c r="M162" i="39"/>
  <c r="L162" i="39"/>
  <c r="J162" i="39"/>
  <c r="I162" i="39"/>
  <c r="H162" i="39"/>
  <c r="G162" i="39"/>
  <c r="F162" i="39"/>
  <c r="E162" i="39"/>
  <c r="M161" i="39"/>
  <c r="L161" i="39"/>
  <c r="K161" i="39"/>
  <c r="I161" i="39"/>
  <c r="H161" i="39"/>
  <c r="G161" i="39"/>
  <c r="F161" i="39"/>
  <c r="E161" i="39"/>
  <c r="M160" i="39"/>
  <c r="L160" i="39"/>
  <c r="K160" i="39"/>
  <c r="J160" i="39"/>
  <c r="F160" i="39"/>
  <c r="E160" i="39"/>
  <c r="M159" i="39"/>
  <c r="L159" i="39"/>
  <c r="K159" i="39"/>
  <c r="J159" i="39"/>
  <c r="H159" i="39"/>
  <c r="G159" i="39"/>
  <c r="F159" i="39"/>
  <c r="E159" i="39"/>
  <c r="M158" i="39"/>
  <c r="L158" i="39"/>
  <c r="K158" i="39"/>
  <c r="J158" i="39"/>
  <c r="I158" i="39"/>
  <c r="G158" i="39"/>
  <c r="F158" i="39"/>
  <c r="E158" i="39"/>
  <c r="M157" i="39"/>
  <c r="L157" i="39"/>
  <c r="K157" i="39"/>
  <c r="J157" i="39"/>
  <c r="I157" i="39"/>
  <c r="H157" i="39"/>
  <c r="F157" i="39"/>
  <c r="E157" i="39"/>
  <c r="L155" i="39"/>
  <c r="K155" i="39"/>
  <c r="J155" i="39"/>
  <c r="I155" i="39"/>
  <c r="H155" i="39"/>
  <c r="G155" i="39"/>
  <c r="F155" i="39"/>
  <c r="E155" i="39"/>
  <c r="L154" i="39"/>
  <c r="K154" i="39"/>
  <c r="J154" i="39"/>
  <c r="I154" i="39"/>
  <c r="H154" i="39"/>
  <c r="G154" i="39"/>
  <c r="F154" i="39"/>
  <c r="E154" i="39"/>
  <c r="M153" i="39"/>
  <c r="K153" i="39"/>
  <c r="J153" i="39"/>
  <c r="I153" i="39"/>
  <c r="H153" i="39"/>
  <c r="G153" i="39"/>
  <c r="F153" i="39"/>
  <c r="E153" i="39"/>
  <c r="M152" i="39"/>
  <c r="L152" i="39"/>
  <c r="J152" i="39"/>
  <c r="I152" i="39"/>
  <c r="H152" i="39"/>
  <c r="G152" i="39"/>
  <c r="F152" i="39"/>
  <c r="E152" i="39"/>
  <c r="M151" i="39"/>
  <c r="L151" i="39"/>
  <c r="K151" i="39"/>
  <c r="I151" i="39"/>
  <c r="H151" i="39"/>
  <c r="G151" i="39"/>
  <c r="F151" i="39"/>
  <c r="E151" i="39"/>
  <c r="M150" i="39"/>
  <c r="L150" i="39"/>
  <c r="K150" i="39"/>
  <c r="J150" i="39"/>
  <c r="F150" i="39"/>
  <c r="E150" i="39"/>
  <c r="L149" i="39"/>
  <c r="K149" i="39"/>
  <c r="J149" i="39"/>
  <c r="H149" i="39"/>
  <c r="G149" i="39"/>
  <c r="F149" i="39"/>
  <c r="E149" i="39"/>
  <c r="L148" i="39"/>
  <c r="K148" i="39"/>
  <c r="J148" i="39"/>
  <c r="I148" i="39"/>
  <c r="G148" i="39"/>
  <c r="F148" i="39"/>
  <c r="E148" i="39"/>
  <c r="L147" i="39"/>
  <c r="K147" i="39"/>
  <c r="J147" i="39"/>
  <c r="I147" i="39"/>
  <c r="H147" i="39"/>
  <c r="F147" i="39"/>
  <c r="E147" i="39"/>
  <c r="L145" i="39"/>
  <c r="K145" i="39"/>
  <c r="J145" i="39"/>
  <c r="I145" i="39"/>
  <c r="H145" i="39"/>
  <c r="G145" i="39"/>
  <c r="E145" i="39"/>
  <c r="L144" i="39"/>
  <c r="K144" i="39"/>
  <c r="J144" i="39"/>
  <c r="I144" i="39"/>
  <c r="H144" i="39"/>
  <c r="G144" i="39"/>
  <c r="F144" i="39"/>
  <c r="D144" i="39"/>
  <c r="L143" i="39"/>
  <c r="K143" i="39"/>
  <c r="J143" i="39"/>
  <c r="I143" i="39"/>
  <c r="H143" i="39"/>
  <c r="G143" i="39"/>
  <c r="F143" i="39"/>
  <c r="E143" i="39"/>
  <c r="D143" i="39"/>
  <c r="L140" i="39"/>
  <c r="K140" i="39"/>
  <c r="J140" i="39"/>
  <c r="I140" i="39"/>
  <c r="H140" i="39"/>
  <c r="G140" i="39"/>
  <c r="F140" i="39"/>
  <c r="E140" i="39"/>
  <c r="L139" i="39"/>
  <c r="K139" i="39"/>
  <c r="J139" i="39"/>
  <c r="I139" i="39"/>
  <c r="H139" i="39"/>
  <c r="G139" i="39"/>
  <c r="F139" i="39"/>
  <c r="E139" i="39"/>
  <c r="M138" i="39"/>
  <c r="K138" i="39"/>
  <c r="J138" i="39"/>
  <c r="I138" i="39"/>
  <c r="H138" i="39"/>
  <c r="G138" i="39"/>
  <c r="F138" i="39"/>
  <c r="E138" i="39"/>
  <c r="M137" i="39"/>
  <c r="L137" i="39"/>
  <c r="J137" i="39"/>
  <c r="I137" i="39"/>
  <c r="H137" i="39"/>
  <c r="G137" i="39"/>
  <c r="F137" i="39"/>
  <c r="E137" i="39"/>
  <c r="M136" i="39"/>
  <c r="L136" i="39"/>
  <c r="K136" i="39"/>
  <c r="I136" i="39"/>
  <c r="H136" i="39"/>
  <c r="G136" i="39"/>
  <c r="F136" i="39"/>
  <c r="E136" i="39"/>
  <c r="M135" i="39"/>
  <c r="L135" i="39"/>
  <c r="K135" i="39"/>
  <c r="J135" i="39"/>
  <c r="F135" i="39"/>
  <c r="E135" i="39"/>
  <c r="M134" i="39"/>
  <c r="L134" i="39"/>
  <c r="K134" i="39"/>
  <c r="J134" i="39"/>
  <c r="H134" i="39"/>
  <c r="G134" i="39"/>
  <c r="F134" i="39"/>
  <c r="E134" i="39"/>
  <c r="M133" i="39"/>
  <c r="L133" i="39"/>
  <c r="K133" i="39"/>
  <c r="J133" i="39"/>
  <c r="I133" i="39"/>
  <c r="G133" i="39"/>
  <c r="F133" i="39"/>
  <c r="E133" i="39"/>
  <c r="M132" i="39"/>
  <c r="L132" i="39"/>
  <c r="K132" i="39"/>
  <c r="J132" i="39"/>
  <c r="I132" i="39"/>
  <c r="H132" i="39"/>
  <c r="F132" i="39"/>
  <c r="E132" i="39"/>
  <c r="M131" i="39"/>
  <c r="M130" i="39"/>
  <c r="L130" i="39"/>
  <c r="K130" i="39"/>
  <c r="J130" i="39"/>
  <c r="I130" i="39"/>
  <c r="H130" i="39"/>
  <c r="G130" i="39"/>
  <c r="F130" i="39"/>
  <c r="E130" i="39"/>
  <c r="D130" i="39"/>
  <c r="M129" i="39"/>
  <c r="L129" i="39"/>
  <c r="K129" i="39"/>
  <c r="J129" i="39"/>
  <c r="I129" i="39"/>
  <c r="H129" i="39"/>
  <c r="G129" i="39"/>
  <c r="F129" i="39"/>
  <c r="E129" i="39"/>
  <c r="D129" i="39"/>
  <c r="M128" i="39"/>
  <c r="L128" i="39"/>
  <c r="K128" i="39"/>
  <c r="J128" i="39"/>
  <c r="I128" i="39"/>
  <c r="H128" i="39"/>
  <c r="G128" i="39"/>
  <c r="F128" i="39"/>
  <c r="E128" i="39"/>
  <c r="D128" i="39"/>
  <c r="M125" i="39"/>
  <c r="L125" i="39"/>
  <c r="K125" i="39"/>
  <c r="J125" i="39"/>
  <c r="I125" i="39"/>
  <c r="H125" i="39"/>
  <c r="G125" i="39"/>
  <c r="F125" i="39"/>
  <c r="E125" i="39"/>
  <c r="M124" i="39"/>
  <c r="L124" i="39"/>
  <c r="K124" i="39"/>
  <c r="J124" i="39"/>
  <c r="I124" i="39"/>
  <c r="H124" i="39"/>
  <c r="G124" i="39"/>
  <c r="F124" i="39"/>
  <c r="E124" i="39"/>
  <c r="M123" i="39"/>
  <c r="L123" i="39"/>
  <c r="K123" i="39"/>
  <c r="J123" i="39"/>
  <c r="I123" i="39"/>
  <c r="H123" i="39"/>
  <c r="G123" i="39"/>
  <c r="F123" i="39"/>
  <c r="E123" i="39"/>
  <c r="M122" i="39"/>
  <c r="L122" i="39"/>
  <c r="K122" i="39"/>
  <c r="J122" i="39"/>
  <c r="I122" i="39"/>
  <c r="H122" i="39"/>
  <c r="G122" i="39"/>
  <c r="F122" i="39"/>
  <c r="E122" i="39"/>
  <c r="M121" i="39"/>
  <c r="L121" i="39"/>
  <c r="K121" i="39"/>
  <c r="J121" i="39"/>
  <c r="I121" i="39"/>
  <c r="H121" i="39"/>
  <c r="G121" i="39"/>
  <c r="F121" i="39"/>
  <c r="E121" i="39"/>
  <c r="M120" i="39"/>
  <c r="L120" i="39"/>
  <c r="K120" i="39"/>
  <c r="J120" i="39"/>
  <c r="F120" i="39"/>
  <c r="E120" i="39"/>
  <c r="M119" i="39"/>
  <c r="L119" i="39"/>
  <c r="K119" i="39"/>
  <c r="J119" i="39"/>
  <c r="H119" i="39"/>
  <c r="G119" i="39"/>
  <c r="F119" i="39"/>
  <c r="E119" i="39"/>
  <c r="M118" i="39"/>
  <c r="L118" i="39"/>
  <c r="K118" i="39"/>
  <c r="J118" i="39"/>
  <c r="I118" i="39"/>
  <c r="G118" i="39"/>
  <c r="F118" i="39"/>
  <c r="E118" i="39"/>
  <c r="M117" i="39"/>
  <c r="L117" i="39"/>
  <c r="K117" i="39"/>
  <c r="J117" i="39"/>
  <c r="I117" i="39"/>
  <c r="H117" i="39"/>
  <c r="F117" i="39"/>
  <c r="E117" i="39"/>
  <c r="L116" i="39"/>
  <c r="K116" i="39"/>
  <c r="J116" i="39"/>
  <c r="M115" i="39"/>
  <c r="L115" i="39"/>
  <c r="K115" i="39"/>
  <c r="J115" i="39"/>
  <c r="I115" i="39"/>
  <c r="H115" i="39"/>
  <c r="G115" i="39"/>
  <c r="E115" i="39"/>
  <c r="D115" i="39"/>
  <c r="M114" i="39"/>
  <c r="L114" i="39"/>
  <c r="K114" i="39"/>
  <c r="J114" i="39"/>
  <c r="I114" i="39"/>
  <c r="H114" i="39"/>
  <c r="G114" i="39"/>
  <c r="F114" i="39"/>
  <c r="D114" i="39"/>
  <c r="L113" i="39"/>
  <c r="K113" i="39"/>
  <c r="J113" i="39"/>
  <c r="I113" i="39"/>
  <c r="H113" i="39"/>
  <c r="G113" i="39"/>
  <c r="F113" i="39"/>
  <c r="E113" i="39"/>
  <c r="D113" i="39"/>
  <c r="L110" i="39"/>
  <c r="K110" i="39"/>
  <c r="J110" i="39"/>
  <c r="H110" i="39"/>
  <c r="G110" i="39"/>
  <c r="F110" i="39"/>
  <c r="E110" i="39"/>
  <c r="D110" i="39"/>
  <c r="L109" i="39"/>
  <c r="K109" i="39"/>
  <c r="J109" i="39"/>
  <c r="I109" i="39"/>
  <c r="G109" i="39"/>
  <c r="F109" i="39"/>
  <c r="E109" i="39"/>
  <c r="D109" i="39"/>
  <c r="F108" i="39"/>
  <c r="E108" i="39"/>
  <c r="L106" i="39"/>
  <c r="K106" i="39"/>
  <c r="J106" i="39"/>
  <c r="I106" i="39"/>
  <c r="H106" i="39"/>
  <c r="G106" i="39"/>
  <c r="E106" i="39"/>
  <c r="D106" i="39"/>
  <c r="L105" i="39"/>
  <c r="K105" i="39"/>
  <c r="J105" i="39"/>
  <c r="I105" i="39"/>
  <c r="H105" i="39"/>
  <c r="G105" i="39"/>
  <c r="E105" i="39"/>
  <c r="D105" i="39"/>
  <c r="L104" i="39"/>
  <c r="K104" i="39"/>
  <c r="J104" i="39"/>
  <c r="I104" i="39"/>
  <c r="H104" i="39"/>
  <c r="G104" i="39"/>
  <c r="E104" i="39"/>
  <c r="D104" i="39"/>
  <c r="F102" i="39"/>
  <c r="E102" i="39"/>
  <c r="L101" i="39"/>
  <c r="K101" i="39"/>
  <c r="J101" i="39"/>
  <c r="I101" i="39"/>
  <c r="H101" i="39"/>
  <c r="G101" i="39"/>
  <c r="F101" i="39"/>
  <c r="E101" i="39"/>
  <c r="L100" i="39"/>
  <c r="K100" i="39"/>
  <c r="J100" i="39"/>
  <c r="I100" i="39"/>
  <c r="H100" i="39"/>
  <c r="G100" i="39"/>
  <c r="F100" i="39"/>
  <c r="E100" i="39"/>
  <c r="M99" i="39"/>
  <c r="K99" i="39"/>
  <c r="J99" i="39"/>
  <c r="I99" i="39"/>
  <c r="H99" i="39"/>
  <c r="G99" i="39"/>
  <c r="F99" i="39"/>
  <c r="E99" i="39"/>
  <c r="M98" i="39"/>
  <c r="L98" i="39"/>
  <c r="J98" i="39"/>
  <c r="I98" i="39"/>
  <c r="H98" i="39"/>
  <c r="G98" i="39"/>
  <c r="F98" i="39"/>
  <c r="E98" i="39"/>
  <c r="M97" i="39"/>
  <c r="L97" i="39"/>
  <c r="K97" i="39"/>
  <c r="I97" i="39"/>
  <c r="H97" i="39"/>
  <c r="G97" i="39"/>
  <c r="F97" i="39"/>
  <c r="E97" i="39"/>
  <c r="M96" i="39"/>
  <c r="L96" i="39"/>
  <c r="K96" i="39"/>
  <c r="J96" i="39"/>
  <c r="F96" i="39"/>
  <c r="E96" i="39"/>
  <c r="L95" i="39"/>
  <c r="K95" i="39"/>
  <c r="J95" i="39"/>
  <c r="H95" i="39"/>
  <c r="G95" i="39"/>
  <c r="F95" i="39"/>
  <c r="E95" i="39"/>
  <c r="L94" i="39"/>
  <c r="K94" i="39"/>
  <c r="J94" i="39"/>
  <c r="I94" i="39"/>
  <c r="G94" i="39"/>
  <c r="F94" i="39"/>
  <c r="E94" i="39"/>
  <c r="L93" i="39"/>
  <c r="K93" i="39"/>
  <c r="J93" i="39"/>
  <c r="I93" i="39"/>
  <c r="H93" i="39"/>
  <c r="F93" i="39"/>
  <c r="E93" i="39"/>
  <c r="F91" i="39"/>
  <c r="E91" i="39"/>
  <c r="L90" i="39"/>
  <c r="K90" i="39"/>
  <c r="J90" i="39"/>
  <c r="I90" i="39"/>
  <c r="H90" i="39"/>
  <c r="G90" i="39"/>
  <c r="F90" i="39"/>
  <c r="E90" i="39"/>
  <c r="L89" i="39"/>
  <c r="K89" i="39"/>
  <c r="J89" i="39"/>
  <c r="I89" i="39"/>
  <c r="H89" i="39"/>
  <c r="G89" i="39"/>
  <c r="F89" i="39"/>
  <c r="E89" i="39"/>
  <c r="M88" i="39"/>
  <c r="K88" i="39"/>
  <c r="J88" i="39"/>
  <c r="I88" i="39"/>
  <c r="H88" i="39"/>
  <c r="G88" i="39"/>
  <c r="F88" i="39"/>
  <c r="E88" i="39"/>
  <c r="M87" i="39"/>
  <c r="L87" i="39"/>
  <c r="J87" i="39"/>
  <c r="I87" i="39"/>
  <c r="H87" i="39"/>
  <c r="G87" i="39"/>
  <c r="F87" i="39"/>
  <c r="E87" i="39"/>
  <c r="M86" i="39"/>
  <c r="L86" i="39"/>
  <c r="K86" i="39"/>
  <c r="I86" i="39"/>
  <c r="H86" i="39"/>
  <c r="G86" i="39"/>
  <c r="F86" i="39"/>
  <c r="E86" i="39"/>
  <c r="M85" i="39"/>
  <c r="L85" i="39"/>
  <c r="K85" i="39"/>
  <c r="J85" i="39"/>
  <c r="F85" i="39"/>
  <c r="E85" i="39"/>
  <c r="L84" i="39"/>
  <c r="K84" i="39"/>
  <c r="J84" i="39"/>
  <c r="H84" i="39"/>
  <c r="G84" i="39"/>
  <c r="F84" i="39"/>
  <c r="E84" i="39"/>
  <c r="L83" i="39"/>
  <c r="K83" i="39"/>
  <c r="J83" i="39"/>
  <c r="I83" i="39"/>
  <c r="G83" i="39"/>
  <c r="F83" i="39"/>
  <c r="E83" i="39"/>
  <c r="L82" i="39"/>
  <c r="K82" i="39"/>
  <c r="J82" i="39"/>
  <c r="I82" i="39"/>
  <c r="H82" i="39"/>
  <c r="F82" i="39"/>
  <c r="E82" i="39"/>
  <c r="F80" i="39"/>
  <c r="E80" i="39"/>
  <c r="L79" i="39"/>
  <c r="K79" i="39"/>
  <c r="J79" i="39"/>
  <c r="I79" i="39"/>
  <c r="H79" i="39"/>
  <c r="G79" i="39"/>
  <c r="F79" i="39"/>
  <c r="E79" i="39"/>
  <c r="L78" i="39"/>
  <c r="K78" i="39"/>
  <c r="J78" i="39"/>
  <c r="I78" i="39"/>
  <c r="H78" i="39"/>
  <c r="G78" i="39"/>
  <c r="F78" i="39"/>
  <c r="E78" i="39"/>
  <c r="M77" i="39"/>
  <c r="K77" i="39"/>
  <c r="J77" i="39"/>
  <c r="I77" i="39"/>
  <c r="H77" i="39"/>
  <c r="G77" i="39"/>
  <c r="F77" i="39"/>
  <c r="E77" i="39"/>
  <c r="M76" i="39"/>
  <c r="L76" i="39"/>
  <c r="J76" i="39"/>
  <c r="I76" i="39"/>
  <c r="H76" i="39"/>
  <c r="G76" i="39"/>
  <c r="F76" i="39"/>
  <c r="E76" i="39"/>
  <c r="M75" i="39"/>
  <c r="L75" i="39"/>
  <c r="K75" i="39"/>
  <c r="I75" i="39"/>
  <c r="H75" i="39"/>
  <c r="G75" i="39"/>
  <c r="F75" i="39"/>
  <c r="E75" i="39"/>
  <c r="M74" i="39"/>
  <c r="L74" i="39"/>
  <c r="K74" i="39"/>
  <c r="J74" i="39"/>
  <c r="F74" i="39"/>
  <c r="E74" i="39"/>
  <c r="L73" i="39"/>
  <c r="K73" i="39"/>
  <c r="J73" i="39"/>
  <c r="H73" i="39"/>
  <c r="G73" i="39"/>
  <c r="F73" i="39"/>
  <c r="E73" i="39"/>
  <c r="L72" i="39"/>
  <c r="K72" i="39"/>
  <c r="J72" i="39"/>
  <c r="I72" i="39"/>
  <c r="G72" i="39"/>
  <c r="F72" i="39"/>
  <c r="E72" i="39"/>
  <c r="L71" i="39"/>
  <c r="K71" i="39"/>
  <c r="J71" i="39"/>
  <c r="I71" i="39"/>
  <c r="H71" i="39"/>
  <c r="F71" i="39"/>
  <c r="E71" i="39"/>
  <c r="F69" i="39"/>
  <c r="E69" i="39"/>
  <c r="L68" i="39"/>
  <c r="K68" i="39"/>
  <c r="J68" i="39"/>
  <c r="I68" i="39"/>
  <c r="H68" i="39"/>
  <c r="G68" i="39"/>
  <c r="F68" i="39"/>
  <c r="E68" i="39"/>
  <c r="L67" i="39"/>
  <c r="K67" i="39"/>
  <c r="J67" i="39"/>
  <c r="I67" i="39"/>
  <c r="H67" i="39"/>
  <c r="G67" i="39"/>
  <c r="F67" i="39"/>
  <c r="E67" i="39"/>
  <c r="M66" i="39"/>
  <c r="K66" i="39"/>
  <c r="J66" i="39"/>
  <c r="I66" i="39"/>
  <c r="H66" i="39"/>
  <c r="G66" i="39"/>
  <c r="F66" i="39"/>
  <c r="E66" i="39"/>
  <c r="M65" i="39"/>
  <c r="L65" i="39"/>
  <c r="J65" i="39"/>
  <c r="I65" i="39"/>
  <c r="H65" i="39"/>
  <c r="G65" i="39"/>
  <c r="F65" i="39"/>
  <c r="E65" i="39"/>
  <c r="M64" i="39"/>
  <c r="L64" i="39"/>
  <c r="K64" i="39"/>
  <c r="I64" i="39"/>
  <c r="H64" i="39"/>
  <c r="G64" i="39"/>
  <c r="F64" i="39"/>
  <c r="E64" i="39"/>
  <c r="M63" i="39"/>
  <c r="L63" i="39"/>
  <c r="K63" i="39"/>
  <c r="J63" i="39"/>
  <c r="F63" i="39"/>
  <c r="E63" i="39"/>
  <c r="M62" i="39"/>
  <c r="L62" i="39"/>
  <c r="K62" i="39"/>
  <c r="J62" i="39"/>
  <c r="H62" i="39"/>
  <c r="G62" i="39"/>
  <c r="F62" i="39"/>
  <c r="E62" i="39"/>
  <c r="M61" i="39"/>
  <c r="L61" i="39"/>
  <c r="K61" i="39"/>
  <c r="J61" i="39"/>
  <c r="I61" i="39"/>
  <c r="G61" i="39"/>
  <c r="F61" i="39"/>
  <c r="E61" i="39"/>
  <c r="M60" i="39"/>
  <c r="L60" i="39"/>
  <c r="K60" i="39"/>
  <c r="J60" i="39"/>
  <c r="I60" i="39"/>
  <c r="H60" i="39"/>
  <c r="F60" i="39"/>
  <c r="E60" i="39"/>
  <c r="F58" i="39"/>
  <c r="E58" i="39"/>
  <c r="L57" i="39"/>
  <c r="K57" i="39"/>
  <c r="J57" i="39"/>
  <c r="I57" i="39"/>
  <c r="H57" i="39"/>
  <c r="G57" i="39"/>
  <c r="F57" i="39"/>
  <c r="E57" i="39"/>
  <c r="L56" i="39"/>
  <c r="K56" i="39"/>
  <c r="J56" i="39"/>
  <c r="I56" i="39"/>
  <c r="H56" i="39"/>
  <c r="G56" i="39"/>
  <c r="F56" i="39"/>
  <c r="E56" i="39"/>
  <c r="M55" i="39"/>
  <c r="K55" i="39"/>
  <c r="J55" i="39"/>
  <c r="I55" i="39"/>
  <c r="H55" i="39"/>
  <c r="G55" i="39"/>
  <c r="F55" i="39"/>
  <c r="E55" i="39"/>
  <c r="M54" i="39"/>
  <c r="L54" i="39"/>
  <c r="J54" i="39"/>
  <c r="I54" i="39"/>
  <c r="H54" i="39"/>
  <c r="G54" i="39"/>
  <c r="F54" i="39"/>
  <c r="E54" i="39"/>
  <c r="M53" i="39"/>
  <c r="L53" i="39"/>
  <c r="K53" i="39"/>
  <c r="I53" i="39"/>
  <c r="H53" i="39"/>
  <c r="G53" i="39"/>
  <c r="F53" i="39"/>
  <c r="E53" i="39"/>
  <c r="M52" i="39"/>
  <c r="L52" i="39"/>
  <c r="K52" i="39"/>
  <c r="J52" i="39"/>
  <c r="F52" i="39"/>
  <c r="E52" i="39"/>
  <c r="M51" i="39"/>
  <c r="L51" i="39"/>
  <c r="K51" i="39"/>
  <c r="J51" i="39"/>
  <c r="H51" i="39"/>
  <c r="G51" i="39"/>
  <c r="F51" i="39"/>
  <c r="E51" i="39"/>
  <c r="M50" i="39"/>
  <c r="L50" i="39"/>
  <c r="K50" i="39"/>
  <c r="J50" i="39"/>
  <c r="I50" i="39"/>
  <c r="G50" i="39"/>
  <c r="F50" i="39"/>
  <c r="E50" i="39"/>
  <c r="M49" i="39"/>
  <c r="L49" i="39"/>
  <c r="K49" i="39"/>
  <c r="J49" i="39"/>
  <c r="I49" i="39"/>
  <c r="H49" i="39"/>
  <c r="F49" i="39"/>
  <c r="E49" i="39"/>
  <c r="F47" i="39"/>
  <c r="E47" i="39"/>
  <c r="L46" i="39"/>
  <c r="K46" i="39"/>
  <c r="J46" i="39"/>
  <c r="I46" i="39"/>
  <c r="H46" i="39"/>
  <c r="G46" i="39"/>
  <c r="F46" i="39"/>
  <c r="E46" i="39"/>
  <c r="L45" i="39"/>
  <c r="K45" i="39"/>
  <c r="J45" i="39"/>
  <c r="I45" i="39"/>
  <c r="H45" i="39"/>
  <c r="G45" i="39"/>
  <c r="F45" i="39"/>
  <c r="E45" i="39"/>
  <c r="M44" i="39"/>
  <c r="K44" i="39"/>
  <c r="J44" i="39"/>
  <c r="I44" i="39"/>
  <c r="H44" i="39"/>
  <c r="G44" i="39"/>
  <c r="F44" i="39"/>
  <c r="E44" i="39"/>
  <c r="M43" i="39"/>
  <c r="L43" i="39"/>
  <c r="J43" i="39"/>
  <c r="I43" i="39"/>
  <c r="H43" i="39"/>
  <c r="G43" i="39"/>
  <c r="F43" i="39"/>
  <c r="E43" i="39"/>
  <c r="M42" i="39"/>
  <c r="L42" i="39"/>
  <c r="K42" i="39"/>
  <c r="I42" i="39"/>
  <c r="H42" i="39"/>
  <c r="G42" i="39"/>
  <c r="F42" i="39"/>
  <c r="E42" i="39"/>
  <c r="M41" i="39"/>
  <c r="L41" i="39"/>
  <c r="K41" i="39"/>
  <c r="J41" i="39"/>
  <c r="F41" i="39"/>
  <c r="E41" i="39"/>
  <c r="M40" i="39"/>
  <c r="L40" i="39"/>
  <c r="K40" i="39"/>
  <c r="J40" i="39"/>
  <c r="H40" i="39"/>
  <c r="G40" i="39"/>
  <c r="F40" i="39"/>
  <c r="E40" i="39"/>
  <c r="M39" i="39"/>
  <c r="L39" i="39"/>
  <c r="K39" i="39"/>
  <c r="J39" i="39"/>
  <c r="I39" i="39"/>
  <c r="G39" i="39"/>
  <c r="F39" i="39"/>
  <c r="E39" i="39"/>
  <c r="M38" i="39"/>
  <c r="L38" i="39"/>
  <c r="K38" i="39"/>
  <c r="J38" i="39"/>
  <c r="I38" i="39"/>
  <c r="H38" i="39"/>
  <c r="F38" i="39"/>
  <c r="E38" i="39"/>
  <c r="L35" i="39"/>
  <c r="K35" i="39"/>
  <c r="J35" i="39"/>
  <c r="I35" i="39"/>
  <c r="H35" i="39"/>
  <c r="G35" i="39"/>
  <c r="F35" i="39"/>
  <c r="E35" i="39"/>
  <c r="L34" i="39"/>
  <c r="K34" i="39"/>
  <c r="J34" i="39"/>
  <c r="I34" i="39"/>
  <c r="H34" i="39"/>
  <c r="G34" i="39"/>
  <c r="F34" i="39"/>
  <c r="E34" i="39"/>
  <c r="M33" i="39"/>
  <c r="K33" i="39"/>
  <c r="J33" i="39"/>
  <c r="I33" i="39"/>
  <c r="H33" i="39"/>
  <c r="G33" i="39"/>
  <c r="F33" i="39"/>
  <c r="E33" i="39"/>
  <c r="M32" i="39"/>
  <c r="L32" i="39"/>
  <c r="J32" i="39"/>
  <c r="I32" i="39"/>
  <c r="H32" i="39"/>
  <c r="G32" i="39"/>
  <c r="F32" i="39"/>
  <c r="E32" i="39"/>
  <c r="M31" i="39"/>
  <c r="L31" i="39"/>
  <c r="K31" i="39"/>
  <c r="I31" i="39"/>
  <c r="H31" i="39"/>
  <c r="G31" i="39"/>
  <c r="F31" i="39"/>
  <c r="E31" i="39"/>
  <c r="M30" i="39"/>
  <c r="L30" i="39"/>
  <c r="K30" i="39"/>
  <c r="J30" i="39"/>
  <c r="F30" i="39"/>
  <c r="E30" i="39"/>
  <c r="M29" i="39"/>
  <c r="L29" i="39"/>
  <c r="K29" i="39"/>
  <c r="J29" i="39"/>
  <c r="I29" i="39"/>
  <c r="H29" i="39"/>
  <c r="G29" i="39"/>
  <c r="F29" i="39"/>
  <c r="E29" i="39"/>
  <c r="M28" i="39"/>
  <c r="L28" i="39"/>
  <c r="K28" i="39"/>
  <c r="J28" i="39"/>
  <c r="I28" i="39"/>
  <c r="H28" i="39"/>
  <c r="G28" i="39"/>
  <c r="F28" i="39"/>
  <c r="E28" i="39"/>
  <c r="D28" i="39"/>
  <c r="M27" i="39"/>
  <c r="L27" i="39"/>
  <c r="K27" i="39"/>
  <c r="J27" i="39"/>
  <c r="I27" i="39"/>
  <c r="H27" i="39"/>
  <c r="G27" i="39"/>
  <c r="F27" i="39"/>
  <c r="E27" i="39"/>
  <c r="D27" i="39"/>
  <c r="M26" i="39"/>
  <c r="L26" i="39"/>
  <c r="K26" i="39"/>
  <c r="J26" i="39"/>
  <c r="I26" i="39"/>
  <c r="H26" i="39"/>
  <c r="G26" i="39"/>
  <c r="M25" i="39"/>
  <c r="L25" i="39"/>
  <c r="K25" i="39"/>
  <c r="J25" i="39"/>
  <c r="I25" i="39"/>
  <c r="H25" i="39"/>
  <c r="G25" i="39"/>
  <c r="E25" i="39"/>
  <c r="D25" i="39"/>
  <c r="M24" i="39"/>
  <c r="L24" i="39"/>
  <c r="K24" i="39"/>
  <c r="J24" i="39"/>
  <c r="I24" i="39"/>
  <c r="H24" i="39"/>
  <c r="G24" i="39"/>
  <c r="F24" i="39"/>
  <c r="D24" i="39"/>
  <c r="M23" i="39"/>
  <c r="L23" i="39"/>
  <c r="K23" i="39"/>
  <c r="J23" i="39"/>
  <c r="I23" i="39"/>
  <c r="H23" i="39"/>
  <c r="G23" i="39"/>
  <c r="F23" i="39"/>
  <c r="E23" i="39"/>
  <c r="D23" i="39"/>
  <c r="L20" i="39"/>
  <c r="K20" i="39"/>
  <c r="J20" i="39"/>
  <c r="I20" i="39"/>
  <c r="H20" i="39"/>
  <c r="G20" i="39"/>
  <c r="F20" i="39"/>
  <c r="E20" i="39"/>
  <c r="L19" i="39"/>
  <c r="K19" i="39"/>
  <c r="J19" i="39"/>
  <c r="I19" i="39"/>
  <c r="H19" i="39"/>
  <c r="G19" i="39"/>
  <c r="F19" i="39"/>
  <c r="E19" i="39"/>
  <c r="M18" i="39"/>
  <c r="K18" i="39"/>
  <c r="J18" i="39"/>
  <c r="I18" i="39"/>
  <c r="H18" i="39"/>
  <c r="G18" i="39"/>
  <c r="F18" i="39"/>
  <c r="E18" i="39"/>
  <c r="M17" i="39"/>
  <c r="L17" i="39"/>
  <c r="J17" i="39"/>
  <c r="I17" i="39"/>
  <c r="H17" i="39"/>
  <c r="G17" i="39"/>
  <c r="F17" i="39"/>
  <c r="E17" i="39"/>
  <c r="M16" i="39"/>
  <c r="L16" i="39"/>
  <c r="K16" i="39"/>
  <c r="I16" i="39"/>
  <c r="H16" i="39"/>
  <c r="G16" i="39"/>
  <c r="F16" i="39"/>
  <c r="E16" i="39"/>
  <c r="M15" i="39"/>
  <c r="L15" i="39"/>
  <c r="K15" i="39"/>
  <c r="J15" i="39"/>
  <c r="F15" i="39"/>
  <c r="E15" i="39"/>
  <c r="M14" i="39"/>
  <c r="L14" i="39"/>
  <c r="K14" i="39"/>
  <c r="J14" i="39"/>
  <c r="H14" i="39"/>
  <c r="G14" i="39"/>
  <c r="F14" i="39"/>
  <c r="E14" i="39"/>
  <c r="M13" i="39"/>
  <c r="L13" i="39"/>
  <c r="K13" i="39"/>
  <c r="J13" i="39"/>
  <c r="I13" i="39"/>
  <c r="G13" i="39"/>
  <c r="F13" i="39"/>
  <c r="E13" i="39"/>
  <c r="M12" i="39"/>
  <c r="L12" i="39"/>
  <c r="K12" i="39"/>
  <c r="J12" i="39"/>
  <c r="I12" i="39"/>
  <c r="H12" i="39"/>
  <c r="W590" i="34" s="1"/>
  <c r="F12" i="39"/>
  <c r="U590" i="34" s="1"/>
  <c r="E12" i="39"/>
  <c r="M11" i="39"/>
  <c r="L11" i="39"/>
  <c r="K11" i="39"/>
  <c r="J11" i="39"/>
  <c r="I11" i="39"/>
  <c r="H11" i="39"/>
  <c r="G11" i="39"/>
  <c r="M10" i="39"/>
  <c r="L10" i="39"/>
  <c r="K10" i="39"/>
  <c r="J10" i="39"/>
  <c r="I10" i="39"/>
  <c r="H10" i="39"/>
  <c r="G10" i="39"/>
  <c r="E10" i="39"/>
  <c r="D10" i="39"/>
  <c r="M9" i="39"/>
  <c r="L9" i="39"/>
  <c r="K9" i="39"/>
  <c r="J9" i="39"/>
  <c r="I9" i="39"/>
  <c r="H9" i="39"/>
  <c r="G9" i="39"/>
  <c r="F9" i="39"/>
  <c r="E9" i="39"/>
  <c r="D9" i="39"/>
  <c r="U134" i="34" l="1"/>
  <c r="U135" i="34"/>
  <c r="U139" i="34"/>
  <c r="V32" i="10"/>
  <c r="U86" i="34"/>
  <c r="U87" i="34"/>
  <c r="U91" i="34"/>
  <c r="V31" i="2"/>
  <c r="U89" i="34"/>
  <c r="D116" i="39"/>
  <c r="G36" i="40"/>
  <c r="U18" i="34" l="1"/>
  <c r="U17" i="34"/>
  <c r="U22" i="34"/>
  <c r="D258" i="40"/>
  <c r="D260" i="40"/>
  <c r="H260" i="40"/>
  <c r="I260" i="40"/>
  <c r="J260" i="40"/>
  <c r="K260" i="40"/>
  <c r="L260" i="40"/>
  <c r="M163" i="46"/>
  <c r="F41" i="35" l="1"/>
  <c r="G41" i="35"/>
  <c r="H41" i="35"/>
  <c r="I41" i="35"/>
  <c r="J41" i="35"/>
  <c r="J78" i="35"/>
  <c r="F78" i="35"/>
  <c r="G78" i="35"/>
  <c r="H78" i="35"/>
  <c r="I78" i="35"/>
  <c r="O56" i="2" l="1"/>
  <c r="P56" i="2"/>
  <c r="Q56" i="2"/>
  <c r="R56" i="2"/>
  <c r="N56" i="2"/>
  <c r="Q57" i="10"/>
  <c r="L65" i="2" l="1"/>
  <c r="G89" i="36" l="1"/>
  <c r="H89" i="36"/>
  <c r="I89" i="36"/>
  <c r="J89" i="36"/>
  <c r="Q170" i="46"/>
  <c r="R170" i="46"/>
  <c r="P170" i="46"/>
  <c r="F89" i="36"/>
  <c r="F87" i="36" l="1"/>
  <c r="U69" i="2" l="1"/>
  <c r="T69" i="2"/>
  <c r="M69" i="2"/>
  <c r="L69" i="2"/>
  <c r="K69" i="2"/>
  <c r="J69" i="2"/>
  <c r="I69" i="2"/>
  <c r="H69" i="2"/>
  <c r="G69" i="2"/>
  <c r="F69" i="2"/>
  <c r="E69" i="2"/>
  <c r="D69" i="2"/>
  <c r="F25" i="40" l="1"/>
  <c r="F25" i="39" s="1"/>
  <c r="E24" i="40"/>
  <c r="E24" i="39" s="1"/>
  <c r="R69" i="2" l="1"/>
  <c r="Q69" i="2"/>
  <c r="P69" i="2"/>
  <c r="N69" i="2"/>
  <c r="O69" i="2" l="1"/>
  <c r="S692" i="34" l="1"/>
  <c r="S691" i="34"/>
  <c r="V685" i="34"/>
  <c r="U685" i="34"/>
  <c r="T685" i="34"/>
  <c r="S685" i="34"/>
  <c r="V683" i="34"/>
  <c r="U683" i="34"/>
  <c r="T683" i="34"/>
  <c r="S683" i="34"/>
  <c r="S679" i="34"/>
  <c r="S677" i="34"/>
  <c r="S676" i="34"/>
  <c r="S674" i="34"/>
  <c r="V673" i="34"/>
  <c r="T673" i="34"/>
  <c r="S673" i="34"/>
  <c r="V671" i="34"/>
  <c r="W670" i="34"/>
  <c r="V670" i="34"/>
  <c r="U670" i="34"/>
  <c r="T670" i="34"/>
  <c r="S670" i="34"/>
  <c r="W668" i="34"/>
  <c r="V668" i="34"/>
  <c r="W465" i="34"/>
  <c r="V465" i="34"/>
  <c r="U465" i="34"/>
  <c r="T465" i="34"/>
  <c r="S465" i="34"/>
  <c r="W462" i="34"/>
  <c r="V462" i="34"/>
  <c r="U462" i="34"/>
  <c r="T462" i="34"/>
  <c r="W459" i="34"/>
  <c r="T459" i="34"/>
  <c r="S459" i="34"/>
  <c r="W453" i="34"/>
  <c r="V453" i="34"/>
  <c r="U453" i="34"/>
  <c r="T453" i="34"/>
  <c r="S453" i="34"/>
  <c r="W450" i="34"/>
  <c r="V450" i="34"/>
  <c r="U450" i="34"/>
  <c r="T450" i="34"/>
  <c r="S450" i="34"/>
  <c r="W447" i="34"/>
  <c r="V447" i="34"/>
  <c r="U447" i="34"/>
  <c r="T447" i="34"/>
  <c r="S447" i="34"/>
  <c r="W444" i="34"/>
  <c r="V444" i="34"/>
  <c r="U444" i="34"/>
  <c r="T444" i="34"/>
  <c r="S444" i="34"/>
  <c r="U441" i="34"/>
  <c r="T441" i="34"/>
  <c r="S441" i="34"/>
  <c r="S728" i="34"/>
  <c r="S727" i="34"/>
  <c r="V721" i="34"/>
  <c r="U721" i="34"/>
  <c r="T721" i="34"/>
  <c r="S721" i="34"/>
  <c r="V719" i="34"/>
  <c r="U719" i="34"/>
  <c r="T719" i="34"/>
  <c r="S719" i="34"/>
  <c r="W715" i="34"/>
  <c r="V715" i="34"/>
  <c r="U715" i="34"/>
  <c r="T715" i="34"/>
  <c r="S715" i="34"/>
  <c r="W713" i="34"/>
  <c r="V713" i="34"/>
  <c r="U713" i="34"/>
  <c r="T713" i="34"/>
  <c r="S713" i="34"/>
  <c r="W712" i="34"/>
  <c r="V712" i="34"/>
  <c r="U712" i="34"/>
  <c r="T712" i="34"/>
  <c r="S712" i="34"/>
  <c r="W710" i="34"/>
  <c r="V710" i="34"/>
  <c r="U710" i="34"/>
  <c r="T710" i="34"/>
  <c r="S710" i="34"/>
  <c r="S709" i="34"/>
  <c r="V707" i="34"/>
  <c r="W706" i="34"/>
  <c r="V706" i="34"/>
  <c r="U706" i="34"/>
  <c r="T706" i="34"/>
  <c r="S706" i="34"/>
  <c r="W704" i="34"/>
  <c r="V704" i="34"/>
  <c r="U704" i="34"/>
  <c r="T704" i="34"/>
  <c r="W570" i="34"/>
  <c r="V570" i="34"/>
  <c r="U570" i="34"/>
  <c r="T570" i="34"/>
  <c r="S570" i="34"/>
  <c r="W567" i="34"/>
  <c r="V567" i="34"/>
  <c r="U567" i="34"/>
  <c r="T567" i="34"/>
  <c r="T564" i="34"/>
  <c r="S564" i="34"/>
  <c r="W561" i="34"/>
  <c r="W558" i="34"/>
  <c r="V558" i="34"/>
  <c r="U558" i="34"/>
  <c r="T558" i="34"/>
  <c r="S558" i="34"/>
  <c r="W555" i="34"/>
  <c r="V555" i="34"/>
  <c r="U555" i="34"/>
  <c r="T555" i="34"/>
  <c r="S555" i="34"/>
  <c r="W549" i="34"/>
  <c r="V549" i="34"/>
  <c r="U549" i="34"/>
  <c r="T549" i="34"/>
  <c r="S549" i="34"/>
  <c r="W546" i="34"/>
  <c r="V546" i="34"/>
  <c r="U546" i="34"/>
  <c r="T546" i="34"/>
  <c r="S546" i="34"/>
  <c r="J89" i="37"/>
  <c r="I89" i="37"/>
  <c r="H89" i="37"/>
  <c r="G89" i="37"/>
  <c r="W460" i="34" s="1"/>
  <c r="F89" i="37"/>
  <c r="V460" i="34" s="1"/>
  <c r="E89" i="37"/>
  <c r="U460" i="34" s="1"/>
  <c r="D89" i="37"/>
  <c r="T460" i="34" s="1"/>
  <c r="C89" i="37"/>
  <c r="J85" i="37"/>
  <c r="I85" i="37"/>
  <c r="H85" i="37"/>
  <c r="G85" i="37"/>
  <c r="W448" i="34" s="1"/>
  <c r="F85" i="37"/>
  <c r="V448" i="34" s="1"/>
  <c r="E85" i="37"/>
  <c r="U448" i="34" s="1"/>
  <c r="D85" i="37"/>
  <c r="T448" i="34" s="1"/>
  <c r="C85" i="37"/>
  <c r="S448" i="34" s="1"/>
  <c r="J83" i="37"/>
  <c r="I83" i="37"/>
  <c r="H83" i="37"/>
  <c r="G83" i="37"/>
  <c r="W442" i="34" s="1"/>
  <c r="F83" i="37"/>
  <c r="V442" i="34" s="1"/>
  <c r="E83" i="37"/>
  <c r="U442" i="34" s="1"/>
  <c r="D83" i="37"/>
  <c r="T442" i="34" s="1"/>
  <c r="C83" i="37"/>
  <c r="S442" i="34" s="1"/>
  <c r="J89" i="38"/>
  <c r="I89" i="38"/>
  <c r="H89" i="38"/>
  <c r="G89" i="38"/>
  <c r="W565" i="34" s="1"/>
  <c r="F89" i="38"/>
  <c r="V565" i="34" s="1"/>
  <c r="E89" i="38"/>
  <c r="U565" i="34" s="1"/>
  <c r="D89" i="38"/>
  <c r="T565" i="34" s="1"/>
  <c r="C89" i="38"/>
  <c r="J85" i="38"/>
  <c r="I85" i="38"/>
  <c r="H85" i="38"/>
  <c r="G85" i="38"/>
  <c r="W553" i="34" s="1"/>
  <c r="F85" i="38"/>
  <c r="V553" i="34" s="1"/>
  <c r="E85" i="38"/>
  <c r="U553" i="34" s="1"/>
  <c r="D85" i="38"/>
  <c r="T553" i="34" s="1"/>
  <c r="C85" i="38"/>
  <c r="S553" i="34" s="1"/>
  <c r="J83" i="38"/>
  <c r="I83" i="38"/>
  <c r="H83" i="38"/>
  <c r="G83" i="38"/>
  <c r="W547" i="34" s="1"/>
  <c r="F83" i="38"/>
  <c r="V547" i="34" s="1"/>
  <c r="E83" i="38"/>
  <c r="U547" i="34" s="1"/>
  <c r="D83" i="38"/>
  <c r="T547" i="34" s="1"/>
  <c r="C83" i="38"/>
  <c r="S547" i="34" s="1"/>
  <c r="D173" i="49"/>
  <c r="F173" i="49" s="1"/>
  <c r="F175" i="49" s="1"/>
  <c r="L146" i="49"/>
  <c r="L146" i="39" s="1"/>
  <c r="K146" i="49"/>
  <c r="K146" i="39" s="1"/>
  <c r="J146" i="49"/>
  <c r="J146" i="39" s="1"/>
  <c r="D146" i="49"/>
  <c r="F145" i="49"/>
  <c r="F146" i="49" s="1"/>
  <c r="F156" i="49" s="1"/>
  <c r="F166" i="49" s="1"/>
  <c r="E144" i="49"/>
  <c r="E146" i="49" s="1"/>
  <c r="E156" i="49" s="1"/>
  <c r="E166" i="49" s="1"/>
  <c r="S561" i="34" s="1"/>
  <c r="M106" i="49"/>
  <c r="M105" i="49"/>
  <c r="M104" i="49"/>
  <c r="E107" i="49"/>
  <c r="C84" i="38" s="1"/>
  <c r="D107" i="49"/>
  <c r="F106" i="49"/>
  <c r="F105" i="49"/>
  <c r="F104" i="49"/>
  <c r="D68" i="49"/>
  <c r="D67" i="49"/>
  <c r="D66" i="49"/>
  <c r="D65" i="49"/>
  <c r="D64" i="49"/>
  <c r="D62" i="49"/>
  <c r="D62" i="39" s="1"/>
  <c r="D57" i="49"/>
  <c r="D56" i="49"/>
  <c r="D56" i="39" s="1"/>
  <c r="D55" i="49"/>
  <c r="D54" i="49"/>
  <c r="D53" i="49"/>
  <c r="E11" i="49"/>
  <c r="D11" i="49"/>
  <c r="F10" i="49"/>
  <c r="F11" i="49" s="1"/>
  <c r="F21" i="49" s="1"/>
  <c r="D173" i="48"/>
  <c r="I110" i="48"/>
  <c r="I110" i="39" s="1"/>
  <c r="H109" i="48"/>
  <c r="H109" i="39" s="1"/>
  <c r="G108" i="48"/>
  <c r="F106" i="48"/>
  <c r="F106" i="39" s="1"/>
  <c r="F105" i="48"/>
  <c r="F104" i="48"/>
  <c r="M111" i="48"/>
  <c r="L111" i="48"/>
  <c r="K111" i="48"/>
  <c r="J111" i="48"/>
  <c r="F111" i="48"/>
  <c r="F111" i="39" s="1"/>
  <c r="T237" i="34" s="1"/>
  <c r="E111" i="48"/>
  <c r="E111" i="39" s="1"/>
  <c r="S237" i="34" s="1"/>
  <c r="M107" i="48"/>
  <c r="L107" i="48"/>
  <c r="L107" i="39" s="1"/>
  <c r="K107" i="48"/>
  <c r="K107" i="39" s="1"/>
  <c r="J107" i="48"/>
  <c r="J107" i="39" s="1"/>
  <c r="I107" i="48"/>
  <c r="I107" i="39" s="1"/>
  <c r="H107" i="48"/>
  <c r="H107" i="39" s="1"/>
  <c r="G107" i="48"/>
  <c r="E107" i="48"/>
  <c r="C84" i="37" s="1"/>
  <c r="S445" i="34" s="1"/>
  <c r="U673" i="34"/>
  <c r="D107" i="48"/>
  <c r="W673" i="34" s="1"/>
  <c r="F10" i="48"/>
  <c r="D236" i="49"/>
  <c r="M236" i="49" s="1"/>
  <c r="D235" i="49"/>
  <c r="M235" i="49" s="1"/>
  <c r="D234" i="49"/>
  <c r="M234" i="49" s="1"/>
  <c r="D233" i="49"/>
  <c r="M233" i="49" s="1"/>
  <c r="D232" i="49"/>
  <c r="M232" i="49" s="1"/>
  <c r="D230" i="49"/>
  <c r="D229" i="49"/>
  <c r="M229" i="49" s="1"/>
  <c r="D210" i="49"/>
  <c r="M210" i="49" s="1"/>
  <c r="D209" i="49"/>
  <c r="M209" i="49" s="1"/>
  <c r="D208" i="49"/>
  <c r="M208" i="49" s="1"/>
  <c r="D207" i="49"/>
  <c r="M207" i="49" s="1"/>
  <c r="D206" i="49"/>
  <c r="M206" i="49" s="1"/>
  <c r="D204" i="49"/>
  <c r="M204" i="49" s="1"/>
  <c r="D203" i="49"/>
  <c r="F203" i="49" s="1"/>
  <c r="D202" i="49"/>
  <c r="E202" i="49" s="1"/>
  <c r="E205" i="49" s="1"/>
  <c r="D195" i="49"/>
  <c r="M195" i="49" s="1"/>
  <c r="D194" i="49"/>
  <c r="M194" i="49" s="1"/>
  <c r="D193" i="49"/>
  <c r="M193" i="49" s="1"/>
  <c r="D192" i="49"/>
  <c r="M192" i="49" s="1"/>
  <c r="D191" i="49"/>
  <c r="M191" i="49" s="1"/>
  <c r="D189" i="49"/>
  <c r="M189" i="49" s="1"/>
  <c r="D188" i="49"/>
  <c r="M188" i="49" s="1"/>
  <c r="D187" i="49"/>
  <c r="D180" i="49"/>
  <c r="L180" i="49" s="1"/>
  <c r="L181" i="49" s="1"/>
  <c r="D179" i="49"/>
  <c r="D178" i="49"/>
  <c r="J178" i="49" s="1"/>
  <c r="M178" i="49" s="1"/>
  <c r="D177" i="49"/>
  <c r="D176" i="49"/>
  <c r="H176" i="49" s="1"/>
  <c r="D174" i="49"/>
  <c r="D172" i="49"/>
  <c r="D165" i="49"/>
  <c r="D164" i="49"/>
  <c r="W718" i="34" s="1"/>
  <c r="D163" i="49"/>
  <c r="L163" i="49" s="1"/>
  <c r="D162" i="49"/>
  <c r="U718" i="34" s="1"/>
  <c r="D161" i="49"/>
  <c r="T718" i="34" s="1"/>
  <c r="D140" i="49"/>
  <c r="M140" i="49" s="1"/>
  <c r="D139" i="49"/>
  <c r="D138" i="49"/>
  <c r="L138" i="49" s="1"/>
  <c r="D137" i="49"/>
  <c r="K137" i="49" s="1"/>
  <c r="D136" i="49"/>
  <c r="J136" i="49" s="1"/>
  <c r="D134" i="49"/>
  <c r="V724" i="34" s="1"/>
  <c r="D133" i="49"/>
  <c r="H133" i="49" s="1"/>
  <c r="H135" i="49" s="1"/>
  <c r="D132" i="49"/>
  <c r="D20" i="49"/>
  <c r="M20" i="49" s="1"/>
  <c r="D19" i="49"/>
  <c r="D18" i="49"/>
  <c r="L18" i="49" s="1"/>
  <c r="L21" i="49" s="1"/>
  <c r="J82" i="38" s="1"/>
  <c r="D17" i="49"/>
  <c r="K17" i="49" s="1"/>
  <c r="K21" i="49" s="1"/>
  <c r="I82" i="38" s="1"/>
  <c r="D16" i="49"/>
  <c r="W700" i="34" s="1"/>
  <c r="D14" i="49"/>
  <c r="U698" i="34" s="1"/>
  <c r="D13" i="49"/>
  <c r="T700" i="34" s="1"/>
  <c r="D12" i="49"/>
  <c r="G12" i="49" s="1"/>
  <c r="G15" i="49" s="1"/>
  <c r="L237" i="49"/>
  <c r="J90" i="38" s="1"/>
  <c r="K237" i="49"/>
  <c r="I90" i="38" s="1"/>
  <c r="J237" i="49"/>
  <c r="H90" i="38" s="1"/>
  <c r="I231" i="49"/>
  <c r="I237" i="49" s="1"/>
  <c r="G90" i="38" s="1"/>
  <c r="W568" i="34" s="1"/>
  <c r="H231" i="49"/>
  <c r="H237" i="49" s="1"/>
  <c r="F90" i="38" s="1"/>
  <c r="V568" i="34" s="1"/>
  <c r="F231" i="49"/>
  <c r="F237" i="49" s="1"/>
  <c r="D90" i="38" s="1"/>
  <c r="T568" i="34" s="1"/>
  <c r="E231" i="49"/>
  <c r="E237" i="49" s="1"/>
  <c r="C90" i="38" s="1"/>
  <c r="S568" i="34" s="1"/>
  <c r="M230" i="49"/>
  <c r="L205" i="49"/>
  <c r="L211" i="49" s="1"/>
  <c r="K205" i="49"/>
  <c r="K211" i="49" s="1"/>
  <c r="J205" i="49"/>
  <c r="J211" i="49" s="1"/>
  <c r="I205" i="49"/>
  <c r="H205" i="49"/>
  <c r="G205" i="49"/>
  <c r="I201" i="49"/>
  <c r="H201" i="49"/>
  <c r="G201" i="49"/>
  <c r="F201" i="49"/>
  <c r="E201" i="49"/>
  <c r="D201" i="49"/>
  <c r="M200" i="49"/>
  <c r="M199" i="49"/>
  <c r="M198" i="49"/>
  <c r="L190" i="49"/>
  <c r="K190" i="49"/>
  <c r="J190" i="49"/>
  <c r="I190" i="49"/>
  <c r="H190" i="49"/>
  <c r="G190" i="49"/>
  <c r="F190" i="49"/>
  <c r="E190" i="49"/>
  <c r="L186" i="49"/>
  <c r="L196" i="49" s="1"/>
  <c r="K186" i="49"/>
  <c r="J186" i="49"/>
  <c r="I186" i="49"/>
  <c r="H186" i="49"/>
  <c r="H196" i="49" s="1"/>
  <c r="G186" i="49"/>
  <c r="F186" i="49"/>
  <c r="F196" i="49" s="1"/>
  <c r="E186" i="49"/>
  <c r="E196" i="49" s="1"/>
  <c r="D186" i="49"/>
  <c r="M185" i="49"/>
  <c r="M184" i="49"/>
  <c r="M183" i="49"/>
  <c r="I175" i="49"/>
  <c r="H175" i="49"/>
  <c r="G174" i="49"/>
  <c r="I171" i="49"/>
  <c r="H171" i="49"/>
  <c r="G171" i="49"/>
  <c r="F171" i="49"/>
  <c r="D171" i="49"/>
  <c r="W721" i="34" s="1"/>
  <c r="E169" i="49"/>
  <c r="E171" i="49" s="1"/>
  <c r="M168" i="49"/>
  <c r="M165" i="49"/>
  <c r="M164" i="49"/>
  <c r="I146" i="49"/>
  <c r="H146" i="49"/>
  <c r="G146" i="49"/>
  <c r="M143" i="49"/>
  <c r="M139" i="49"/>
  <c r="L131" i="49"/>
  <c r="K131" i="49"/>
  <c r="J131" i="49"/>
  <c r="I131" i="49"/>
  <c r="H131" i="49"/>
  <c r="G131" i="49"/>
  <c r="F131" i="49"/>
  <c r="F141" i="49" s="1"/>
  <c r="D86" i="38" s="1"/>
  <c r="T556" i="34" s="1"/>
  <c r="E131" i="49"/>
  <c r="E141" i="49" s="1"/>
  <c r="C86" i="38" s="1"/>
  <c r="S556" i="34" s="1"/>
  <c r="D131" i="49"/>
  <c r="M19" i="49"/>
  <c r="E21" i="49"/>
  <c r="D236" i="48"/>
  <c r="M236" i="48" s="1"/>
  <c r="D235" i="48"/>
  <c r="M235" i="48" s="1"/>
  <c r="D234" i="48"/>
  <c r="M234" i="48" s="1"/>
  <c r="D233" i="48"/>
  <c r="M233" i="48" s="1"/>
  <c r="D232" i="48"/>
  <c r="M232" i="48" s="1"/>
  <c r="D230" i="48"/>
  <c r="I230" i="48" s="1"/>
  <c r="I230" i="39" s="1"/>
  <c r="D229" i="48"/>
  <c r="H229" i="48" s="1"/>
  <c r="H229" i="39" s="1"/>
  <c r="D210" i="48"/>
  <c r="M210" i="48" s="1"/>
  <c r="D209" i="48"/>
  <c r="M209" i="48" s="1"/>
  <c r="D208" i="48"/>
  <c r="M208" i="48" s="1"/>
  <c r="D207" i="48"/>
  <c r="M207" i="48" s="1"/>
  <c r="D206" i="48"/>
  <c r="M206" i="48" s="1"/>
  <c r="D204" i="48"/>
  <c r="M204" i="48" s="1"/>
  <c r="D203" i="48"/>
  <c r="F203" i="48" s="1"/>
  <c r="F205" i="48" s="1"/>
  <c r="D202" i="48"/>
  <c r="D195" i="48"/>
  <c r="M195" i="48" s="1"/>
  <c r="D194" i="48"/>
  <c r="M194" i="48" s="1"/>
  <c r="D193" i="48"/>
  <c r="M193" i="48" s="1"/>
  <c r="D192" i="48"/>
  <c r="M192" i="48" s="1"/>
  <c r="D191" i="48"/>
  <c r="M191" i="48" s="1"/>
  <c r="D189" i="48"/>
  <c r="M189" i="48" s="1"/>
  <c r="D188" i="48"/>
  <c r="M188" i="48" s="1"/>
  <c r="D187" i="48"/>
  <c r="D180" i="48"/>
  <c r="D179" i="48"/>
  <c r="K179" i="48" s="1"/>
  <c r="D178" i="48"/>
  <c r="J178" i="48" s="1"/>
  <c r="M178" i="48" s="1"/>
  <c r="D177" i="48"/>
  <c r="D176" i="48"/>
  <c r="D174" i="48"/>
  <c r="G174" i="48" s="1"/>
  <c r="G175" i="48" s="1"/>
  <c r="D172" i="48"/>
  <c r="D165" i="48"/>
  <c r="M165" i="48" s="1"/>
  <c r="D164" i="48"/>
  <c r="W682" i="34" s="1"/>
  <c r="D163" i="48"/>
  <c r="V682" i="34" s="1"/>
  <c r="D162" i="48"/>
  <c r="U682" i="34" s="1"/>
  <c r="D161" i="48"/>
  <c r="T682" i="34" s="1"/>
  <c r="D140" i="48"/>
  <c r="M140" i="48" s="1"/>
  <c r="D139" i="48"/>
  <c r="M139" i="48" s="1"/>
  <c r="D138" i="48"/>
  <c r="L138" i="48" s="1"/>
  <c r="D137" i="48"/>
  <c r="K137" i="48" s="1"/>
  <c r="D136" i="48"/>
  <c r="J136" i="48" s="1"/>
  <c r="D134" i="48"/>
  <c r="I134" i="48" s="1"/>
  <c r="I135" i="48" s="1"/>
  <c r="D133" i="48"/>
  <c r="H133" i="48" s="1"/>
  <c r="H135" i="48" s="1"/>
  <c r="D132" i="48"/>
  <c r="G132" i="48" s="1"/>
  <c r="G135" i="48" s="1"/>
  <c r="D101" i="48"/>
  <c r="M101" i="48" s="1"/>
  <c r="M101" i="39" s="1"/>
  <c r="D100" i="48"/>
  <c r="M100" i="48" s="1"/>
  <c r="M100" i="39" s="1"/>
  <c r="D99" i="48"/>
  <c r="L99" i="48" s="1"/>
  <c r="D98" i="48"/>
  <c r="K98" i="48" s="1"/>
  <c r="D97" i="48"/>
  <c r="J97" i="48" s="1"/>
  <c r="D95" i="48"/>
  <c r="V679" i="34" s="1"/>
  <c r="D94" i="48"/>
  <c r="U679" i="34" s="1"/>
  <c r="D93" i="48"/>
  <c r="T679" i="34" s="1"/>
  <c r="D90" i="48"/>
  <c r="M90" i="48" s="1"/>
  <c r="D89" i="48"/>
  <c r="D88" i="48"/>
  <c r="L88" i="48" s="1"/>
  <c r="L91" i="48" s="1"/>
  <c r="D87" i="48"/>
  <c r="K87" i="48" s="1"/>
  <c r="K91" i="48" s="1"/>
  <c r="D86" i="48"/>
  <c r="J86" i="48" s="1"/>
  <c r="J91" i="48" s="1"/>
  <c r="D84" i="48"/>
  <c r="V676" i="34" s="1"/>
  <c r="D83" i="48"/>
  <c r="U674" i="34" s="1"/>
  <c r="D82" i="48"/>
  <c r="D79" i="48"/>
  <c r="M79" i="48" s="1"/>
  <c r="D78" i="48"/>
  <c r="D77" i="48"/>
  <c r="L77" i="48" s="1"/>
  <c r="L80" i="48" s="1"/>
  <c r="D76" i="48"/>
  <c r="K76" i="48" s="1"/>
  <c r="K80" i="48" s="1"/>
  <c r="D75" i="48"/>
  <c r="J75" i="48" s="1"/>
  <c r="J80" i="48" s="1"/>
  <c r="D73" i="48"/>
  <c r="I73" i="48" s="1"/>
  <c r="D72" i="48"/>
  <c r="H72" i="48" s="1"/>
  <c r="D71" i="48"/>
  <c r="G71" i="48" s="1"/>
  <c r="D46" i="48"/>
  <c r="M46" i="48" s="1"/>
  <c r="D45" i="48"/>
  <c r="M45" i="48" s="1"/>
  <c r="D44" i="48"/>
  <c r="S667" i="34" s="1"/>
  <c r="D43" i="48"/>
  <c r="K43" i="48" s="1"/>
  <c r="K47" i="48" s="1"/>
  <c r="D42" i="48"/>
  <c r="J42" i="48" s="1"/>
  <c r="J47" i="48" s="1"/>
  <c r="D40" i="48"/>
  <c r="I40" i="48" s="1"/>
  <c r="I41" i="48" s="1"/>
  <c r="I47" i="48" s="1"/>
  <c r="D39" i="48"/>
  <c r="H39" i="48" s="1"/>
  <c r="H41" i="48" s="1"/>
  <c r="H47" i="48" s="1"/>
  <c r="D38" i="48"/>
  <c r="G38" i="48" s="1"/>
  <c r="G41" i="48" s="1"/>
  <c r="D20" i="48"/>
  <c r="M20" i="48" s="1"/>
  <c r="D19" i="48"/>
  <c r="M19" i="48" s="1"/>
  <c r="D18" i="48"/>
  <c r="L18" i="48" s="1"/>
  <c r="L21" i="48" s="1"/>
  <c r="J82" i="37" s="1"/>
  <c r="D17" i="48"/>
  <c r="K17" i="48" s="1"/>
  <c r="K21" i="48" s="1"/>
  <c r="I82" i="37" s="1"/>
  <c r="D16" i="48"/>
  <c r="L237" i="48"/>
  <c r="J90" i="37" s="1"/>
  <c r="K237" i="48"/>
  <c r="I90" i="37" s="1"/>
  <c r="J237" i="48"/>
  <c r="H90" i="37" s="1"/>
  <c r="F231" i="48"/>
  <c r="F237" i="48" s="1"/>
  <c r="D90" i="37" s="1"/>
  <c r="T463" i="34" s="1"/>
  <c r="E231" i="48"/>
  <c r="E237" i="48" s="1"/>
  <c r="C90" i="37" s="1"/>
  <c r="S463" i="34" s="1"/>
  <c r="L205" i="48"/>
  <c r="L211" i="48" s="1"/>
  <c r="K205" i="48"/>
  <c r="K211" i="48" s="1"/>
  <c r="J205" i="48"/>
  <c r="J211" i="48" s="1"/>
  <c r="I205" i="48"/>
  <c r="H205" i="48"/>
  <c r="G205" i="48"/>
  <c r="I201" i="48"/>
  <c r="H201" i="48"/>
  <c r="G201" i="48"/>
  <c r="F201" i="48"/>
  <c r="E201" i="48"/>
  <c r="D201" i="48"/>
  <c r="M200" i="48"/>
  <c r="M199" i="48"/>
  <c r="M198" i="48"/>
  <c r="L190" i="48"/>
  <c r="K190" i="48"/>
  <c r="J190" i="48"/>
  <c r="I190" i="48"/>
  <c r="H190" i="48"/>
  <c r="G190" i="48"/>
  <c r="F190" i="48"/>
  <c r="E190" i="48"/>
  <c r="L186" i="48"/>
  <c r="L196" i="48" s="1"/>
  <c r="K186" i="48"/>
  <c r="K196" i="48" s="1"/>
  <c r="J186" i="48"/>
  <c r="J196" i="48" s="1"/>
  <c r="I186" i="48"/>
  <c r="I196" i="48" s="1"/>
  <c r="H186" i="48"/>
  <c r="H196" i="48" s="1"/>
  <c r="G186" i="48"/>
  <c r="G196" i="48" s="1"/>
  <c r="F186" i="48"/>
  <c r="F196" i="48" s="1"/>
  <c r="E186" i="48"/>
  <c r="D186" i="48"/>
  <c r="M185" i="48"/>
  <c r="M184" i="48"/>
  <c r="M183" i="48"/>
  <c r="I175" i="48"/>
  <c r="H175" i="48"/>
  <c r="I171" i="48"/>
  <c r="H171" i="48"/>
  <c r="G171" i="48"/>
  <c r="F171" i="48"/>
  <c r="D171" i="48"/>
  <c r="W685" i="34" s="1"/>
  <c r="E169" i="48"/>
  <c r="M169" i="48" s="1"/>
  <c r="M168" i="48"/>
  <c r="I146" i="48"/>
  <c r="H146" i="48"/>
  <c r="G146" i="48"/>
  <c r="D146" i="48"/>
  <c r="F145" i="48"/>
  <c r="M145" i="48" s="1"/>
  <c r="E144" i="48"/>
  <c r="M144" i="48" s="1"/>
  <c r="M143" i="48"/>
  <c r="L131" i="48"/>
  <c r="K131" i="48"/>
  <c r="J131" i="48"/>
  <c r="I131" i="48"/>
  <c r="H131" i="48"/>
  <c r="G131" i="48"/>
  <c r="F131" i="48"/>
  <c r="F141" i="48" s="1"/>
  <c r="D86" i="37" s="1"/>
  <c r="T451" i="34" s="1"/>
  <c r="E131" i="48"/>
  <c r="E141" i="48" s="1"/>
  <c r="C86" i="37" s="1"/>
  <c r="S451" i="34" s="1"/>
  <c r="D131" i="48"/>
  <c r="M89" i="48"/>
  <c r="M78" i="48"/>
  <c r="E11" i="48"/>
  <c r="E21" i="48" s="1"/>
  <c r="D11" i="48"/>
  <c r="F11" i="48"/>
  <c r="F21" i="48" s="1"/>
  <c r="D82" i="37" s="1"/>
  <c r="I14" i="49" l="1"/>
  <c r="I15" i="49" s="1"/>
  <c r="I21" i="49" s="1"/>
  <c r="G82" i="38" s="1"/>
  <c r="W544" i="34" s="1"/>
  <c r="K162" i="49"/>
  <c r="J88" i="38"/>
  <c r="D82" i="38"/>
  <c r="J196" i="49"/>
  <c r="H211" i="49"/>
  <c r="G21" i="49"/>
  <c r="E82" i="38" s="1"/>
  <c r="U544" i="34" s="1"/>
  <c r="M201" i="49"/>
  <c r="F104" i="39"/>
  <c r="M145" i="49"/>
  <c r="J161" i="49"/>
  <c r="F105" i="39"/>
  <c r="F107" i="49"/>
  <c r="D84" i="38" s="1"/>
  <c r="T550" i="34" s="1"/>
  <c r="W707" i="34"/>
  <c r="T726" i="34"/>
  <c r="S726" i="34"/>
  <c r="J141" i="49"/>
  <c r="H86" i="38" s="1"/>
  <c r="S725" i="34"/>
  <c r="T544" i="34"/>
  <c r="T561" i="34"/>
  <c r="D87" i="38"/>
  <c r="T559" i="34" s="1"/>
  <c r="T551" i="34"/>
  <c r="J16" i="49"/>
  <c r="J21" i="49" s="1"/>
  <c r="H82" i="38" s="1"/>
  <c r="M169" i="49"/>
  <c r="M186" i="49"/>
  <c r="I196" i="49"/>
  <c r="I211" i="49"/>
  <c r="T724" i="34"/>
  <c r="H181" i="49"/>
  <c r="M56" i="49"/>
  <c r="M56" i="39" s="1"/>
  <c r="L55" i="49"/>
  <c r="D55" i="39"/>
  <c r="J64" i="49"/>
  <c r="D64" i="39"/>
  <c r="M68" i="49"/>
  <c r="M68" i="39" s="1"/>
  <c r="D68" i="39"/>
  <c r="F181" i="49"/>
  <c r="H141" i="49"/>
  <c r="F86" i="38" s="1"/>
  <c r="V556" i="34" s="1"/>
  <c r="L141" i="49"/>
  <c r="J86" i="38" s="1"/>
  <c r="D190" i="49"/>
  <c r="E211" i="49"/>
  <c r="K65" i="49"/>
  <c r="D65" i="39"/>
  <c r="S551" i="34"/>
  <c r="S550" i="34"/>
  <c r="C82" i="38"/>
  <c r="C87" i="38"/>
  <c r="S559" i="34" s="1"/>
  <c r="W719" i="34"/>
  <c r="K54" i="49"/>
  <c r="D54" i="39"/>
  <c r="M67" i="49"/>
  <c r="M67" i="39" s="1"/>
  <c r="D67" i="39"/>
  <c r="M171" i="49"/>
  <c r="G196" i="49"/>
  <c r="K196" i="49"/>
  <c r="G211" i="49"/>
  <c r="J53" i="49"/>
  <c r="D53" i="39"/>
  <c r="M57" i="49"/>
  <c r="M57" i="39" s="1"/>
  <c r="D57" i="39"/>
  <c r="L66" i="49"/>
  <c r="D66" i="39"/>
  <c r="M107" i="49"/>
  <c r="L44" i="48"/>
  <c r="L47" i="48" s="1"/>
  <c r="J84" i="37" s="1"/>
  <c r="E196" i="48"/>
  <c r="L102" i="48"/>
  <c r="L99" i="39"/>
  <c r="T439" i="34"/>
  <c r="I74" i="48"/>
  <c r="I80" i="48" s="1"/>
  <c r="I73" i="39"/>
  <c r="G111" i="48"/>
  <c r="G111" i="39" s="1"/>
  <c r="G108" i="39"/>
  <c r="J102" i="48"/>
  <c r="H84" i="37" s="1"/>
  <c r="J97" i="39"/>
  <c r="H74" i="48"/>
  <c r="H80" i="48" s="1"/>
  <c r="H72" i="39"/>
  <c r="S689" i="34"/>
  <c r="G74" i="48"/>
  <c r="G80" i="48" s="1"/>
  <c r="G71" i="39"/>
  <c r="K102" i="48"/>
  <c r="I84" i="37" s="1"/>
  <c r="K98" i="39"/>
  <c r="H111" i="48"/>
  <c r="F107" i="48"/>
  <c r="D84" i="37" s="1"/>
  <c r="T445" i="34" s="1"/>
  <c r="I211" i="48"/>
  <c r="I111" i="48"/>
  <c r="J161" i="48"/>
  <c r="M186" i="48"/>
  <c r="G211" i="48"/>
  <c r="H211" i="48"/>
  <c r="M164" i="48"/>
  <c r="E171" i="48"/>
  <c r="J141" i="48"/>
  <c r="H86" i="37" s="1"/>
  <c r="H83" i="48"/>
  <c r="M201" i="48"/>
  <c r="D175" i="48"/>
  <c r="D181" i="48" s="1"/>
  <c r="C82" i="37"/>
  <c r="W683" i="34"/>
  <c r="S690" i="34"/>
  <c r="J16" i="48"/>
  <c r="J21" i="48" s="1"/>
  <c r="H82" i="37" s="1"/>
  <c r="L163" i="48"/>
  <c r="W671" i="34"/>
  <c r="H13" i="49"/>
  <c r="H15" i="49" s="1"/>
  <c r="H21" i="49" s="1"/>
  <c r="F82" i="38" s="1"/>
  <c r="V544" i="34" s="1"/>
  <c r="G47" i="48"/>
  <c r="K162" i="48"/>
  <c r="U667" i="34"/>
  <c r="M141" i="49"/>
  <c r="U700" i="34"/>
  <c r="V716" i="34"/>
  <c r="V718" i="34"/>
  <c r="T722" i="34"/>
  <c r="S698" i="34"/>
  <c r="W698" i="34"/>
  <c r="W716" i="34"/>
  <c r="U722" i="34"/>
  <c r="U724" i="34"/>
  <c r="D135" i="49"/>
  <c r="M180" i="49"/>
  <c r="T698" i="34"/>
  <c r="S700" i="34"/>
  <c r="T716" i="34"/>
  <c r="V722" i="34"/>
  <c r="U716" i="34"/>
  <c r="M80" i="48"/>
  <c r="U688" i="34"/>
  <c r="M21" i="48"/>
  <c r="M141" i="48"/>
  <c r="M229" i="48"/>
  <c r="H231" i="48"/>
  <c r="H237" i="48" s="1"/>
  <c r="F90" i="37" s="1"/>
  <c r="V463" i="34" s="1"/>
  <c r="I231" i="48"/>
  <c r="I237" i="48" s="1"/>
  <c r="G90" i="37" s="1"/>
  <c r="W463" i="34" s="1"/>
  <c r="M102" i="48"/>
  <c r="D85" i="48"/>
  <c r="U665" i="34"/>
  <c r="T667" i="34"/>
  <c r="V674" i="34"/>
  <c r="U676" i="34"/>
  <c r="T677" i="34"/>
  <c r="W680" i="34"/>
  <c r="U686" i="34"/>
  <c r="D190" i="48"/>
  <c r="D196" i="48" s="1"/>
  <c r="W664" i="34"/>
  <c r="U677" i="34"/>
  <c r="T680" i="34"/>
  <c r="V686" i="34"/>
  <c r="V688" i="34"/>
  <c r="T674" i="34"/>
  <c r="V677" i="34"/>
  <c r="U680" i="34"/>
  <c r="G181" i="48"/>
  <c r="T665" i="34"/>
  <c r="T676" i="34"/>
  <c r="V680" i="34"/>
  <c r="T686" i="34"/>
  <c r="T688" i="34"/>
  <c r="M144" i="49"/>
  <c r="M69" i="49"/>
  <c r="M69" i="39" s="1"/>
  <c r="I62" i="49"/>
  <c r="M230" i="48"/>
  <c r="F146" i="48"/>
  <c r="F156" i="48" s="1"/>
  <c r="F166" i="48" s="1"/>
  <c r="M187" i="49"/>
  <c r="M190" i="49" s="1"/>
  <c r="D15" i="49"/>
  <c r="M173" i="49"/>
  <c r="M202" i="49"/>
  <c r="G231" i="49"/>
  <c r="G237" i="49" s="1"/>
  <c r="E90" i="38" s="1"/>
  <c r="U568" i="34" s="1"/>
  <c r="G132" i="49"/>
  <c r="G135" i="49" s="1"/>
  <c r="G141" i="49" s="1"/>
  <c r="E86" i="38" s="1"/>
  <c r="U556" i="34" s="1"/>
  <c r="D196" i="49"/>
  <c r="M21" i="49"/>
  <c r="M176" i="49"/>
  <c r="K141" i="49"/>
  <c r="I86" i="38" s="1"/>
  <c r="G175" i="49"/>
  <c r="M174" i="49"/>
  <c r="M237" i="49"/>
  <c r="F205" i="49"/>
  <c r="F211" i="49" s="1"/>
  <c r="M203" i="49"/>
  <c r="I134" i="49"/>
  <c r="I135" i="49" s="1"/>
  <c r="I141" i="49" s="1"/>
  <c r="G86" i="38" s="1"/>
  <c r="W556" i="34" s="1"/>
  <c r="E172" i="49"/>
  <c r="S565" i="34" s="1"/>
  <c r="D175" i="49"/>
  <c r="D181" i="49" s="1"/>
  <c r="K179" i="49"/>
  <c r="K181" i="49" s="1"/>
  <c r="I177" i="49"/>
  <c r="I181" i="49" s="1"/>
  <c r="G88" i="38" s="1"/>
  <c r="W562" i="34" s="1"/>
  <c r="D205" i="49"/>
  <c r="D211" i="49" s="1"/>
  <c r="J181" i="49"/>
  <c r="H88" i="38" s="1"/>
  <c r="M73" i="48"/>
  <c r="H141" i="48"/>
  <c r="F86" i="37" s="1"/>
  <c r="V451" i="34" s="1"/>
  <c r="D135" i="48"/>
  <c r="D141" i="48" s="1"/>
  <c r="M146" i="48"/>
  <c r="D74" i="48"/>
  <c r="D80" i="48" s="1"/>
  <c r="G82" i="48"/>
  <c r="I141" i="48"/>
  <c r="G86" i="37" s="1"/>
  <c r="W451" i="34" s="1"/>
  <c r="M91" i="48"/>
  <c r="F211" i="48"/>
  <c r="K141" i="48"/>
  <c r="I86" i="37" s="1"/>
  <c r="M187" i="48"/>
  <c r="M190" i="48" s="1"/>
  <c r="L141" i="48"/>
  <c r="J86" i="37" s="1"/>
  <c r="M71" i="48"/>
  <c r="D96" i="48"/>
  <c r="D41" i="48"/>
  <c r="M47" i="48"/>
  <c r="I84" i="48"/>
  <c r="M171" i="48"/>
  <c r="H94" i="48"/>
  <c r="K181" i="48"/>
  <c r="I88" i="37" s="1"/>
  <c r="M179" i="48"/>
  <c r="M237" i="48"/>
  <c r="M72" i="48"/>
  <c r="I95" i="48"/>
  <c r="G141" i="48"/>
  <c r="E86" i="37" s="1"/>
  <c r="U451" i="34" s="1"/>
  <c r="M174" i="48"/>
  <c r="H176" i="48"/>
  <c r="H181" i="48" s="1"/>
  <c r="M203" i="48"/>
  <c r="E146" i="48"/>
  <c r="E156" i="48" s="1"/>
  <c r="E166" i="48" s="1"/>
  <c r="E172" i="48"/>
  <c r="S462" i="34" s="1"/>
  <c r="I177" i="48"/>
  <c r="I181" i="48" s="1"/>
  <c r="D205" i="48"/>
  <c r="D211" i="48" s="1"/>
  <c r="F173" i="48"/>
  <c r="F175" i="48" s="1"/>
  <c r="L180" i="48"/>
  <c r="L181" i="48" s="1"/>
  <c r="J88" i="37" s="1"/>
  <c r="J181" i="48"/>
  <c r="H88" i="37" s="1"/>
  <c r="E202" i="48"/>
  <c r="E205" i="48" s="1"/>
  <c r="E211" i="48" s="1"/>
  <c r="G93" i="48"/>
  <c r="G93" i="39" s="1"/>
  <c r="M65" i="2"/>
  <c r="M58" i="49" l="1"/>
  <c r="M58" i="39" s="1"/>
  <c r="I88" i="38"/>
  <c r="T690" i="34"/>
  <c r="F251" i="49"/>
  <c r="T571" i="34" s="1"/>
  <c r="M196" i="49"/>
  <c r="M146" i="49"/>
  <c r="T725" i="34"/>
  <c r="S544" i="34"/>
  <c r="K69" i="49"/>
  <c r="K69" i="39" s="1"/>
  <c r="K65" i="39"/>
  <c r="K58" i="49"/>
  <c r="K54" i="39"/>
  <c r="L58" i="49"/>
  <c r="L55" i="39"/>
  <c r="I63" i="49"/>
  <c r="I63" i="39" s="1"/>
  <c r="I62" i="39"/>
  <c r="L69" i="49"/>
  <c r="L69" i="39" s="1"/>
  <c r="L66" i="39"/>
  <c r="J58" i="49"/>
  <c r="J53" i="39"/>
  <c r="J69" i="49"/>
  <c r="J69" i="39" s="1"/>
  <c r="J64" i="39"/>
  <c r="F88" i="38"/>
  <c r="V562" i="34" s="1"/>
  <c r="V564" i="34"/>
  <c r="H85" i="48"/>
  <c r="H91" i="48" s="1"/>
  <c r="H83" i="39"/>
  <c r="F88" i="37"/>
  <c r="V457" i="34" s="1"/>
  <c r="V459" i="34"/>
  <c r="E88" i="37"/>
  <c r="U457" i="34" s="1"/>
  <c r="U459" i="34"/>
  <c r="S439" i="34"/>
  <c r="C87" i="37"/>
  <c r="S454" i="34" s="1"/>
  <c r="S456" i="34"/>
  <c r="I85" i="48"/>
  <c r="I91" i="48" s="1"/>
  <c r="I84" i="39"/>
  <c r="M83" i="48"/>
  <c r="G85" i="48"/>
  <c r="G91" i="48" s="1"/>
  <c r="G82" i="39"/>
  <c r="D87" i="37"/>
  <c r="T454" i="34" s="1"/>
  <c r="T456" i="34"/>
  <c r="H96" i="48"/>
  <c r="H102" i="48" s="1"/>
  <c r="H94" i="39"/>
  <c r="I96" i="48"/>
  <c r="I102" i="48" s="1"/>
  <c r="I95" i="39"/>
  <c r="T689" i="34"/>
  <c r="G88" i="37"/>
  <c r="W457" i="34" s="1"/>
  <c r="F84" i="37"/>
  <c r="V445" i="34" s="1"/>
  <c r="M196" i="48"/>
  <c r="D88" i="38"/>
  <c r="T572" i="34" s="1"/>
  <c r="M205" i="49"/>
  <c r="M211" i="49" s="1"/>
  <c r="G181" i="49"/>
  <c r="D141" i="49"/>
  <c r="W722" i="34"/>
  <c r="E175" i="49"/>
  <c r="S567" i="34"/>
  <c r="D21" i="49"/>
  <c r="V700" i="34"/>
  <c r="V698" i="34"/>
  <c r="M176" i="48"/>
  <c r="M95" i="48"/>
  <c r="D47" i="48"/>
  <c r="W667" i="34"/>
  <c r="W665" i="34"/>
  <c r="M177" i="48"/>
  <c r="M82" i="48"/>
  <c r="D102" i="48"/>
  <c r="W677" i="34"/>
  <c r="W679" i="34"/>
  <c r="W688" i="34"/>
  <c r="W686" i="34"/>
  <c r="D91" i="48"/>
  <c r="W676" i="34"/>
  <c r="W674" i="34"/>
  <c r="F181" i="48"/>
  <c r="M180" i="48"/>
  <c r="S460" i="34"/>
  <c r="M177" i="49"/>
  <c r="M179" i="49"/>
  <c r="M172" i="49"/>
  <c r="M173" i="48"/>
  <c r="E175" i="48"/>
  <c r="M172" i="48"/>
  <c r="M202" i="48"/>
  <c r="M205" i="48" s="1"/>
  <c r="M211" i="48" s="1"/>
  <c r="M84" i="48"/>
  <c r="G96" i="48"/>
  <c r="G102" i="48" s="1"/>
  <c r="M93" i="48"/>
  <c r="M94" i="48"/>
  <c r="H38" i="35"/>
  <c r="I38" i="35"/>
  <c r="J38" i="35"/>
  <c r="D76" i="35"/>
  <c r="D72" i="35"/>
  <c r="D71" i="35"/>
  <c r="D70" i="35"/>
  <c r="D59" i="35"/>
  <c r="D54" i="35"/>
  <c r="D53" i="35"/>
  <c r="D52" i="35"/>
  <c r="D51" i="35"/>
  <c r="I69" i="49" l="1"/>
  <c r="I69" i="39" s="1"/>
  <c r="T573" i="34"/>
  <c r="G84" i="37"/>
  <c r="W445" i="34" s="1"/>
  <c r="W552" i="34"/>
  <c r="E88" i="38"/>
  <c r="U564" i="34"/>
  <c r="H84" i="38"/>
  <c r="J58" i="39"/>
  <c r="L58" i="39"/>
  <c r="J84" i="38"/>
  <c r="I84" i="38"/>
  <c r="K58" i="39"/>
  <c r="T467" i="34"/>
  <c r="M181" i="48"/>
  <c r="E84" i="37"/>
  <c r="U445" i="34" s="1"/>
  <c r="E181" i="49"/>
  <c r="W725" i="34"/>
  <c r="T562" i="34"/>
  <c r="F251" i="48"/>
  <c r="D88" i="37"/>
  <c r="E181" i="48"/>
  <c r="V665" i="34"/>
  <c r="V667" i="34"/>
  <c r="M181" i="49"/>
  <c r="D39" i="35"/>
  <c r="U562" i="34" l="1"/>
  <c r="U563" i="34"/>
  <c r="T466" i="34"/>
  <c r="T468" i="34"/>
  <c r="E251" i="49"/>
  <c r="C88" i="38"/>
  <c r="S572" i="34" s="1"/>
  <c r="C88" i="37"/>
  <c r="S467" i="34" s="1"/>
  <c r="E251" i="48"/>
  <c r="T457" i="34"/>
  <c r="S571" i="34" l="1"/>
  <c r="S573" i="34"/>
  <c r="S466" i="34"/>
  <c r="S468" i="34"/>
  <c r="S562" i="34"/>
  <c r="S457" i="34"/>
  <c r="T23" i="34"/>
  <c r="T24" i="34"/>
  <c r="T54" i="34"/>
  <c r="T60" i="34"/>
  <c r="T69" i="34"/>
  <c r="T85" i="34"/>
  <c r="T92" i="34"/>
  <c r="T93" i="34"/>
  <c r="T102" i="34"/>
  <c r="T108" i="34"/>
  <c r="T117" i="34"/>
  <c r="T119" i="34"/>
  <c r="T123" i="34"/>
  <c r="T124" i="34"/>
  <c r="T125" i="34"/>
  <c r="T126" i="34"/>
  <c r="T128" i="34"/>
  <c r="T133" i="34"/>
  <c r="T136" i="34"/>
  <c r="T140" i="34"/>
  <c r="T141" i="34"/>
  <c r="T144" i="34"/>
  <c r="T147" i="34"/>
  <c r="T150" i="34"/>
  <c r="T156" i="34"/>
  <c r="T165" i="34"/>
  <c r="T167" i="34"/>
  <c r="T171" i="34"/>
  <c r="U60" i="2"/>
  <c r="P47" i="2"/>
  <c r="Q47" i="2"/>
  <c r="R47" i="2"/>
  <c r="P60" i="2"/>
  <c r="Q60" i="2"/>
  <c r="R60" i="2"/>
  <c r="U68" i="12"/>
  <c r="V69" i="12" s="1"/>
  <c r="U64" i="12"/>
  <c r="T58" i="34" s="1"/>
  <c r="U42" i="12"/>
  <c r="U68" i="11"/>
  <c r="U64" i="11"/>
  <c r="U64" i="10" s="1"/>
  <c r="U42" i="11"/>
  <c r="U39" i="11"/>
  <c r="T121" i="34" s="1"/>
  <c r="U18" i="11"/>
  <c r="V19" i="11" s="1"/>
  <c r="U68" i="10"/>
  <c r="V69" i="10" s="1"/>
  <c r="U57" i="10"/>
  <c r="U42" i="10"/>
  <c r="U39" i="10"/>
  <c r="U31" i="10"/>
  <c r="U18" i="10"/>
  <c r="P18" i="10"/>
  <c r="Q18" i="10"/>
  <c r="R18" i="10"/>
  <c r="R61" i="10" s="1"/>
  <c r="P31" i="10"/>
  <c r="Q31" i="10"/>
  <c r="R31" i="10"/>
  <c r="P39" i="10"/>
  <c r="P41" i="10" s="1"/>
  <c r="Q39" i="10"/>
  <c r="Q41" i="10" s="1"/>
  <c r="R39" i="10"/>
  <c r="R41" i="10" s="1"/>
  <c r="P57" i="10"/>
  <c r="P57" i="2" s="1"/>
  <c r="Q57" i="2"/>
  <c r="R57" i="10"/>
  <c r="R57" i="2" s="1"/>
  <c r="P68" i="10"/>
  <c r="Q68" i="10"/>
  <c r="R68" i="10"/>
  <c r="P18" i="11"/>
  <c r="P31" i="11" s="1"/>
  <c r="Q18" i="11"/>
  <c r="R18" i="11"/>
  <c r="P39" i="11"/>
  <c r="P41" i="11" s="1"/>
  <c r="Q39" i="11"/>
  <c r="Q41" i="11" s="1"/>
  <c r="R39" i="11"/>
  <c r="R41" i="11" s="1"/>
  <c r="P64" i="11"/>
  <c r="P64" i="10" s="1"/>
  <c r="Q64" i="11"/>
  <c r="Q64" i="10" s="1"/>
  <c r="R64" i="11"/>
  <c r="R64" i="10" s="1"/>
  <c r="P68" i="11"/>
  <c r="H38" i="37" s="1"/>
  <c r="Q68" i="11"/>
  <c r="R68" i="11"/>
  <c r="J38" i="37" s="1"/>
  <c r="D39" i="37" l="1"/>
  <c r="V69" i="11"/>
  <c r="T161" i="34"/>
  <c r="U41" i="10"/>
  <c r="Q19" i="11"/>
  <c r="U28" i="11"/>
  <c r="R31" i="11"/>
  <c r="T139" i="34"/>
  <c r="T138" i="34"/>
  <c r="Q61" i="10"/>
  <c r="I12" i="38" s="1"/>
  <c r="I81" i="38" s="1"/>
  <c r="T83" i="34"/>
  <c r="U61" i="10"/>
  <c r="T152" i="34" s="1"/>
  <c r="U41" i="11"/>
  <c r="T113" i="34" s="1"/>
  <c r="I38" i="38"/>
  <c r="I92" i="38"/>
  <c r="U61" i="11"/>
  <c r="T168" i="34"/>
  <c r="T160" i="34"/>
  <c r="T145" i="34"/>
  <c r="T137" i="34"/>
  <c r="T120" i="34"/>
  <c r="T90" i="34"/>
  <c r="U57" i="2"/>
  <c r="T155" i="34"/>
  <c r="D39" i="38"/>
  <c r="T166" i="34"/>
  <c r="T143" i="34"/>
  <c r="T135" i="34"/>
  <c r="T118" i="34"/>
  <c r="Q69" i="11"/>
  <c r="I38" i="37"/>
  <c r="T142" i="34"/>
  <c r="T134" i="34"/>
  <c r="T164" i="34"/>
  <c r="T149" i="34"/>
  <c r="T116" i="34"/>
  <c r="R69" i="10"/>
  <c r="J92" i="38"/>
  <c r="J38" i="38"/>
  <c r="T163" i="34"/>
  <c r="T148" i="34"/>
  <c r="T132" i="34"/>
  <c r="T115" i="34"/>
  <c r="T170" i="34"/>
  <c r="T162" i="34"/>
  <c r="T131" i="34"/>
  <c r="T122" i="34"/>
  <c r="T114" i="34"/>
  <c r="T84" i="34"/>
  <c r="H38" i="38"/>
  <c r="H92" i="38"/>
  <c r="T169" i="34"/>
  <c r="T146" i="34"/>
  <c r="T107" i="34"/>
  <c r="T106" i="34"/>
  <c r="T59" i="34"/>
  <c r="T53" i="34"/>
  <c r="T101" i="34"/>
  <c r="T52" i="34"/>
  <c r="T100" i="34"/>
  <c r="T154" i="34"/>
  <c r="Q69" i="10"/>
  <c r="Q32" i="10"/>
  <c r="R61" i="11"/>
  <c r="P61" i="10"/>
  <c r="R19" i="10"/>
  <c r="Q19" i="10"/>
  <c r="R32" i="10"/>
  <c r="Q61" i="11"/>
  <c r="P61" i="11"/>
  <c r="R19" i="11"/>
  <c r="R69" i="11"/>
  <c r="T127" i="34" l="1"/>
  <c r="T129" i="34"/>
  <c r="U31" i="11"/>
  <c r="V32" i="11" s="1"/>
  <c r="T88" i="34"/>
  <c r="T112" i="34"/>
  <c r="I12" i="37"/>
  <c r="J12" i="37"/>
  <c r="H12" i="38"/>
  <c r="H81" i="38" s="1"/>
  <c r="H12" i="37"/>
  <c r="J12" i="38"/>
  <c r="J81" i="38" s="1"/>
  <c r="Q31" i="11"/>
  <c r="Q32" i="11" s="1"/>
  <c r="R32" i="11" l="1"/>
  <c r="T91" i="34"/>
  <c r="T89" i="34"/>
  <c r="T86" i="34"/>
  <c r="T87" i="34"/>
  <c r="H81" i="37"/>
  <c r="H15" i="37"/>
  <c r="J81" i="37"/>
  <c r="J15" i="37"/>
  <c r="I15" i="37"/>
  <c r="I81" i="37"/>
  <c r="I175" i="40"/>
  <c r="I175" i="39" s="1"/>
  <c r="H175" i="40"/>
  <c r="H175" i="39" s="1"/>
  <c r="D39" i="36" l="1"/>
  <c r="E39" i="36"/>
  <c r="M106" i="40"/>
  <c r="M106" i="39" s="1"/>
  <c r="M105" i="40"/>
  <c r="M105" i="39" s="1"/>
  <c r="M104" i="40"/>
  <c r="M104" i="39" s="1"/>
  <c r="M110" i="40"/>
  <c r="M110" i="39" s="1"/>
  <c r="M109" i="40"/>
  <c r="M109" i="39" s="1"/>
  <c r="J89" i="35"/>
  <c r="I89" i="35"/>
  <c r="H89" i="35"/>
  <c r="R68" i="12"/>
  <c r="Q68" i="12"/>
  <c r="P68" i="12"/>
  <c r="H38" i="36" s="1"/>
  <c r="R64" i="12"/>
  <c r="Q64" i="12"/>
  <c r="P64" i="12"/>
  <c r="D179" i="40"/>
  <c r="D179" i="39" s="1"/>
  <c r="D180" i="40"/>
  <c r="D180" i="39" s="1"/>
  <c r="J73" i="36"/>
  <c r="O64" i="12"/>
  <c r="Q58" i="34" s="1"/>
  <c r="O68" i="12"/>
  <c r="W306" i="34" s="1"/>
  <c r="L237" i="40"/>
  <c r="K237" i="40"/>
  <c r="J237" i="40"/>
  <c r="J237" i="39" s="1"/>
  <c r="H231" i="40"/>
  <c r="H231" i="39" s="1"/>
  <c r="F231" i="40"/>
  <c r="F231" i="39" s="1"/>
  <c r="E231" i="40"/>
  <c r="E231" i="39" s="1"/>
  <c r="D236" i="40"/>
  <c r="D236" i="39" s="1"/>
  <c r="D235" i="40"/>
  <c r="D235" i="39" s="1"/>
  <c r="D234" i="40"/>
  <c r="D234" i="39" s="1"/>
  <c r="D233" i="40"/>
  <c r="D233" i="39" s="1"/>
  <c r="D210" i="40"/>
  <c r="D209" i="40"/>
  <c r="D209" i="39" s="1"/>
  <c r="D208" i="40"/>
  <c r="D207" i="40"/>
  <c r="D207" i="39" s="1"/>
  <c r="D206" i="40"/>
  <c r="D206" i="39" s="1"/>
  <c r="D204" i="40"/>
  <c r="D204" i="39" s="1"/>
  <c r="M200" i="40"/>
  <c r="M200" i="39" s="1"/>
  <c r="M199" i="40"/>
  <c r="M199" i="39" s="1"/>
  <c r="M198" i="40"/>
  <c r="M198" i="39" s="1"/>
  <c r="M185" i="40"/>
  <c r="M185" i="39" s="1"/>
  <c r="M184" i="40"/>
  <c r="M184" i="39" s="1"/>
  <c r="M183" i="40"/>
  <c r="M183" i="39" s="1"/>
  <c r="L186" i="40"/>
  <c r="L186" i="39" s="1"/>
  <c r="K186" i="40"/>
  <c r="K186" i="39" s="1"/>
  <c r="J186" i="40"/>
  <c r="J186" i="39" s="1"/>
  <c r="L205" i="40"/>
  <c r="L205" i="39" s="1"/>
  <c r="K205" i="40"/>
  <c r="K205" i="39" s="1"/>
  <c r="J205" i="40"/>
  <c r="J205" i="39" s="1"/>
  <c r="I205" i="40"/>
  <c r="I205" i="39" s="1"/>
  <c r="H205" i="40"/>
  <c r="H205" i="39" s="1"/>
  <c r="G205" i="40"/>
  <c r="G205" i="39" s="1"/>
  <c r="E190" i="40"/>
  <c r="E190" i="39" s="1"/>
  <c r="F190" i="40"/>
  <c r="F190" i="39" s="1"/>
  <c r="L190" i="40"/>
  <c r="L190" i="39" s="1"/>
  <c r="K190" i="40"/>
  <c r="K190" i="39" s="1"/>
  <c r="J190" i="40"/>
  <c r="J190" i="39" s="1"/>
  <c r="D195" i="40"/>
  <c r="D195" i="39" s="1"/>
  <c r="D194" i="40"/>
  <c r="D194" i="39" s="1"/>
  <c r="D193" i="40"/>
  <c r="D193" i="39" s="1"/>
  <c r="D192" i="40"/>
  <c r="D192" i="39" s="1"/>
  <c r="D191" i="40"/>
  <c r="D191" i="39" s="1"/>
  <c r="I190" i="40"/>
  <c r="I190" i="39" s="1"/>
  <c r="H190" i="40"/>
  <c r="H190" i="39" s="1"/>
  <c r="G190" i="40"/>
  <c r="G190" i="39" s="1"/>
  <c r="D165" i="40"/>
  <c r="D165" i="39" s="1"/>
  <c r="D164" i="40"/>
  <c r="D163" i="40"/>
  <c r="D163" i="39" s="1"/>
  <c r="D162" i="40"/>
  <c r="D162" i="39" s="1"/>
  <c r="D140" i="40"/>
  <c r="D140" i="39" s="1"/>
  <c r="D139" i="40"/>
  <c r="D139" i="39" s="1"/>
  <c r="D138" i="40"/>
  <c r="D138" i="39" s="1"/>
  <c r="D137" i="40"/>
  <c r="D137" i="39" s="1"/>
  <c r="L131" i="40"/>
  <c r="L131" i="39" s="1"/>
  <c r="K131" i="40"/>
  <c r="K131" i="39" s="1"/>
  <c r="J131" i="40"/>
  <c r="J131" i="39" s="1"/>
  <c r="D125" i="40"/>
  <c r="D125" i="39" s="1"/>
  <c r="D124" i="40"/>
  <c r="D124" i="39" s="1"/>
  <c r="D123" i="40"/>
  <c r="D123" i="39" s="1"/>
  <c r="D122" i="40"/>
  <c r="D122" i="39" s="1"/>
  <c r="D101" i="40"/>
  <c r="D101" i="39" s="1"/>
  <c r="D100" i="40"/>
  <c r="D100" i="39" s="1"/>
  <c r="D99" i="40"/>
  <c r="D99" i="39" s="1"/>
  <c r="D98" i="40"/>
  <c r="D98" i="39" s="1"/>
  <c r="D97" i="40"/>
  <c r="D97" i="39" s="1"/>
  <c r="D90" i="40"/>
  <c r="D90" i="39" s="1"/>
  <c r="D89" i="40"/>
  <c r="D89" i="39" s="1"/>
  <c r="D88" i="40"/>
  <c r="D88" i="39" s="1"/>
  <c r="D87" i="40"/>
  <c r="D87" i="39" s="1"/>
  <c r="D86" i="40"/>
  <c r="D86" i="39" s="1"/>
  <c r="D79" i="40"/>
  <c r="D79" i="39" s="1"/>
  <c r="D78" i="40"/>
  <c r="D78" i="39" s="1"/>
  <c r="D77" i="40"/>
  <c r="D77" i="39" s="1"/>
  <c r="D76" i="40"/>
  <c r="D76" i="39" s="1"/>
  <c r="D46" i="40"/>
  <c r="D46" i="39" s="1"/>
  <c r="D45" i="40"/>
  <c r="D45" i="39" s="1"/>
  <c r="D44" i="40"/>
  <c r="D44" i="39" s="1"/>
  <c r="D43" i="40"/>
  <c r="D43" i="39" s="1"/>
  <c r="D20" i="40"/>
  <c r="D20" i="39" s="1"/>
  <c r="D19" i="40"/>
  <c r="D19" i="39" s="1"/>
  <c r="D18" i="40"/>
  <c r="D18" i="39" s="1"/>
  <c r="D17" i="40"/>
  <c r="D17" i="39" s="1"/>
  <c r="D131" i="40"/>
  <c r="D131" i="39" s="1"/>
  <c r="E131" i="40"/>
  <c r="F131" i="40"/>
  <c r="G131" i="40"/>
  <c r="G131" i="39" s="1"/>
  <c r="H131" i="40"/>
  <c r="H131" i="39" s="1"/>
  <c r="I131" i="40"/>
  <c r="I131" i="39" s="1"/>
  <c r="I186" i="40"/>
  <c r="I186" i="39" s="1"/>
  <c r="I201" i="40"/>
  <c r="I201" i="39" s="1"/>
  <c r="I171" i="40"/>
  <c r="I171" i="39" s="1"/>
  <c r="I231" i="40"/>
  <c r="I231" i="39" s="1"/>
  <c r="T57" i="10"/>
  <c r="S148" i="34" s="1"/>
  <c r="C16" i="37"/>
  <c r="S384" i="34" s="1"/>
  <c r="T42" i="10"/>
  <c r="T42" i="11"/>
  <c r="T42" i="12"/>
  <c r="S37" i="34"/>
  <c r="S40" i="34"/>
  <c r="S44" i="34"/>
  <c r="S45" i="34"/>
  <c r="S54" i="34"/>
  <c r="S60" i="34"/>
  <c r="S69" i="34"/>
  <c r="S71" i="34"/>
  <c r="S75" i="34"/>
  <c r="S76" i="34"/>
  <c r="S77" i="34"/>
  <c r="S78" i="34"/>
  <c r="S79" i="34"/>
  <c r="S80" i="34"/>
  <c r="S81" i="34"/>
  <c r="S85" i="34"/>
  <c r="S92" i="34"/>
  <c r="S93" i="34"/>
  <c r="S102" i="34"/>
  <c r="S108" i="34"/>
  <c r="S117" i="34"/>
  <c r="S119" i="34"/>
  <c r="S123" i="34"/>
  <c r="S124" i="34"/>
  <c r="S125" i="34"/>
  <c r="S126" i="34"/>
  <c r="S128" i="34"/>
  <c r="S136" i="34"/>
  <c r="S140" i="34"/>
  <c r="S141" i="34"/>
  <c r="S144" i="34"/>
  <c r="S147" i="34"/>
  <c r="S156" i="34"/>
  <c r="S165" i="34"/>
  <c r="S167" i="34"/>
  <c r="S171" i="34"/>
  <c r="S24" i="34"/>
  <c r="S23" i="34"/>
  <c r="S14" i="34"/>
  <c r="C76" i="35"/>
  <c r="C72" i="35"/>
  <c r="C71" i="35"/>
  <c r="C70" i="35"/>
  <c r="C69" i="35"/>
  <c r="C59" i="35"/>
  <c r="S606" i="34" s="1"/>
  <c r="C53" i="35"/>
  <c r="C52" i="35"/>
  <c r="C51" i="35"/>
  <c r="C39" i="35"/>
  <c r="C28" i="37"/>
  <c r="S665" i="34" s="1"/>
  <c r="C54" i="36"/>
  <c r="C54" i="35" s="1"/>
  <c r="C28" i="36"/>
  <c r="C27" i="35"/>
  <c r="C26" i="35"/>
  <c r="C25" i="35"/>
  <c r="C22" i="35"/>
  <c r="T60" i="2"/>
  <c r="T52" i="2"/>
  <c r="T51" i="2"/>
  <c r="T50" i="2"/>
  <c r="T47" i="2"/>
  <c r="T38" i="2"/>
  <c r="T37" i="2"/>
  <c r="T36" i="2"/>
  <c r="T30" i="2"/>
  <c r="T29" i="2"/>
  <c r="T27" i="2"/>
  <c r="T26" i="2"/>
  <c r="T25" i="2"/>
  <c r="T24" i="2"/>
  <c r="T23" i="2"/>
  <c r="T22" i="2"/>
  <c r="T17" i="2"/>
  <c r="T16" i="2"/>
  <c r="T15" i="2"/>
  <c r="T14" i="2"/>
  <c r="T13" i="2"/>
  <c r="T12" i="2"/>
  <c r="T68" i="11"/>
  <c r="T64" i="11"/>
  <c r="S106" i="34" s="1"/>
  <c r="T39" i="11"/>
  <c r="T18" i="11"/>
  <c r="S83" i="34" s="1"/>
  <c r="T68" i="10"/>
  <c r="T39" i="10"/>
  <c r="S166" i="34" s="1"/>
  <c r="T31" i="10"/>
  <c r="T68" i="12"/>
  <c r="T64" i="12"/>
  <c r="S58" i="34" s="1"/>
  <c r="T39" i="12"/>
  <c r="T31" i="12"/>
  <c r="S43" i="34" s="1"/>
  <c r="T18" i="12"/>
  <c r="T18" i="10"/>
  <c r="S133" i="34"/>
  <c r="S150" i="34"/>
  <c r="D145" i="40"/>
  <c r="D145" i="39" s="1"/>
  <c r="G107" i="40"/>
  <c r="G107" i="39" s="1"/>
  <c r="F107" i="40"/>
  <c r="F107" i="39" s="1"/>
  <c r="E107" i="40"/>
  <c r="E107" i="39" s="1"/>
  <c r="C62" i="35"/>
  <c r="W723" i="34"/>
  <c r="V723" i="34"/>
  <c r="U723" i="34"/>
  <c r="T723" i="34"/>
  <c r="S723" i="34"/>
  <c r="W720" i="34"/>
  <c r="V720" i="34"/>
  <c r="U720" i="34"/>
  <c r="T720" i="34"/>
  <c r="S720" i="34"/>
  <c r="W717" i="34"/>
  <c r="V717" i="34"/>
  <c r="U717" i="34"/>
  <c r="T717" i="34"/>
  <c r="W714" i="34"/>
  <c r="V714" i="34"/>
  <c r="U714" i="34"/>
  <c r="T714" i="34"/>
  <c r="S714" i="34"/>
  <c r="W711" i="34"/>
  <c r="V711" i="34"/>
  <c r="U711" i="34"/>
  <c r="T711" i="34"/>
  <c r="S711" i="34"/>
  <c r="W705" i="34"/>
  <c r="V705" i="34"/>
  <c r="U705" i="34"/>
  <c r="T705" i="34"/>
  <c r="W702" i="34"/>
  <c r="V702" i="34"/>
  <c r="W699" i="34"/>
  <c r="V699" i="34"/>
  <c r="U699" i="34"/>
  <c r="T699" i="34"/>
  <c r="S699" i="34"/>
  <c r="W696" i="34"/>
  <c r="V696" i="34"/>
  <c r="W687" i="34"/>
  <c r="V687" i="34"/>
  <c r="U687" i="34"/>
  <c r="T687" i="34"/>
  <c r="S687" i="34"/>
  <c r="W684" i="34"/>
  <c r="V684" i="34"/>
  <c r="U684" i="34"/>
  <c r="T684" i="34"/>
  <c r="S684" i="34"/>
  <c r="W681" i="34"/>
  <c r="V681" i="34"/>
  <c r="U681" i="34"/>
  <c r="T681" i="34"/>
  <c r="W678" i="34"/>
  <c r="V678" i="34"/>
  <c r="U678" i="34"/>
  <c r="T678" i="34"/>
  <c r="S678" i="34"/>
  <c r="W675" i="34"/>
  <c r="V675" i="34"/>
  <c r="U675" i="34"/>
  <c r="T675" i="34"/>
  <c r="S675" i="34"/>
  <c r="W672" i="34"/>
  <c r="V672" i="34"/>
  <c r="W669" i="34"/>
  <c r="V669" i="34"/>
  <c r="W666" i="34"/>
  <c r="V666" i="34"/>
  <c r="U666" i="34"/>
  <c r="T666" i="34"/>
  <c r="W663" i="34"/>
  <c r="V663" i="34"/>
  <c r="S656" i="34"/>
  <c r="S655" i="34"/>
  <c r="W654" i="34"/>
  <c r="T654" i="34"/>
  <c r="S654" i="34"/>
  <c r="W653" i="34"/>
  <c r="T653" i="34"/>
  <c r="S653" i="34"/>
  <c r="U649" i="34"/>
  <c r="T649" i="34"/>
  <c r="S649" i="34"/>
  <c r="U648" i="34"/>
  <c r="T648" i="34"/>
  <c r="S648" i="34"/>
  <c r="U647" i="34"/>
  <c r="T647" i="34"/>
  <c r="S647" i="34"/>
  <c r="T645" i="34"/>
  <c r="W642" i="34"/>
  <c r="V642" i="34"/>
  <c r="U642" i="34"/>
  <c r="T642" i="34"/>
  <c r="S642" i="34"/>
  <c r="W639" i="34"/>
  <c r="V639" i="34"/>
  <c r="U639" i="34"/>
  <c r="T639" i="34"/>
  <c r="W636" i="34"/>
  <c r="V636" i="34"/>
  <c r="W630" i="34"/>
  <c r="V630" i="34"/>
  <c r="U630" i="34"/>
  <c r="T630" i="34"/>
  <c r="S630" i="34"/>
  <c r="W627" i="34"/>
  <c r="V627" i="34"/>
  <c r="W615" i="34"/>
  <c r="V615" i="34"/>
  <c r="U615" i="34"/>
  <c r="W612" i="34"/>
  <c r="V612" i="34"/>
  <c r="U612" i="34"/>
  <c r="T612" i="34"/>
  <c r="S612" i="34"/>
  <c r="W609" i="34"/>
  <c r="V609" i="34"/>
  <c r="U609" i="34"/>
  <c r="T609" i="34"/>
  <c r="W606" i="34"/>
  <c r="V606" i="34"/>
  <c r="U606" i="34"/>
  <c r="T606" i="34"/>
  <c r="W603" i="34"/>
  <c r="V603" i="34"/>
  <c r="U603" i="34"/>
  <c r="T603" i="34"/>
  <c r="W600" i="34"/>
  <c r="V600" i="34"/>
  <c r="U600" i="34"/>
  <c r="W597" i="34"/>
  <c r="V597" i="34"/>
  <c r="W594" i="34"/>
  <c r="V594" i="34"/>
  <c r="U594" i="34"/>
  <c r="W588" i="34"/>
  <c r="V588" i="34"/>
  <c r="W357" i="34"/>
  <c r="V357" i="34"/>
  <c r="U357" i="34"/>
  <c r="T357" i="34"/>
  <c r="S357" i="34"/>
  <c r="W201" i="34"/>
  <c r="V201" i="34"/>
  <c r="U201" i="34"/>
  <c r="T201" i="34"/>
  <c r="S201" i="34"/>
  <c r="Q171" i="34"/>
  <c r="P171" i="34"/>
  <c r="O171" i="34"/>
  <c r="N171" i="34"/>
  <c r="M171" i="34"/>
  <c r="L171" i="34"/>
  <c r="K171" i="34"/>
  <c r="J171" i="34"/>
  <c r="I171" i="34"/>
  <c r="H171" i="34"/>
  <c r="G171" i="34"/>
  <c r="F171" i="34"/>
  <c r="E171" i="34"/>
  <c r="Q167" i="34"/>
  <c r="P167" i="34"/>
  <c r="O167" i="34"/>
  <c r="N167" i="34"/>
  <c r="M167" i="34"/>
  <c r="L167" i="34"/>
  <c r="K167" i="34"/>
  <c r="J167" i="34"/>
  <c r="I167" i="34"/>
  <c r="H167" i="34"/>
  <c r="G167" i="34"/>
  <c r="F167" i="34"/>
  <c r="E167" i="34"/>
  <c r="Q165" i="34"/>
  <c r="P165" i="34"/>
  <c r="O165" i="34"/>
  <c r="N165" i="34"/>
  <c r="M165" i="34"/>
  <c r="L165" i="34"/>
  <c r="K165" i="34"/>
  <c r="J165" i="34"/>
  <c r="I165" i="34"/>
  <c r="H165" i="34"/>
  <c r="G165" i="34"/>
  <c r="F165" i="34"/>
  <c r="E165" i="34"/>
  <c r="Q156" i="34"/>
  <c r="P156" i="34"/>
  <c r="O156" i="34"/>
  <c r="N156" i="34"/>
  <c r="M156" i="34"/>
  <c r="L156" i="34"/>
  <c r="K156" i="34"/>
  <c r="J156" i="34"/>
  <c r="I156" i="34"/>
  <c r="H156" i="34"/>
  <c r="G156" i="34"/>
  <c r="F156" i="34"/>
  <c r="E156" i="34"/>
  <c r="K155" i="34"/>
  <c r="K154" i="34"/>
  <c r="L150" i="34"/>
  <c r="K150" i="34"/>
  <c r="J150" i="34"/>
  <c r="I150" i="34"/>
  <c r="H150" i="34"/>
  <c r="G150" i="34"/>
  <c r="F150" i="34"/>
  <c r="E150" i="34"/>
  <c r="Q147" i="34"/>
  <c r="P147" i="34"/>
  <c r="O147" i="34"/>
  <c r="N147" i="34"/>
  <c r="M147" i="34"/>
  <c r="L147" i="34"/>
  <c r="K147" i="34"/>
  <c r="J147" i="34"/>
  <c r="I147" i="34"/>
  <c r="H147" i="34"/>
  <c r="G147" i="34"/>
  <c r="F147" i="34"/>
  <c r="E147" i="34"/>
  <c r="Q144" i="34"/>
  <c r="P144" i="34"/>
  <c r="O144" i="34"/>
  <c r="N144" i="34"/>
  <c r="M144" i="34"/>
  <c r="L144" i="34"/>
  <c r="K144" i="34"/>
  <c r="J144" i="34"/>
  <c r="I144" i="34"/>
  <c r="H144" i="34"/>
  <c r="G144" i="34"/>
  <c r="F144" i="34"/>
  <c r="E144" i="34"/>
  <c r="Q141" i="34"/>
  <c r="P141" i="34"/>
  <c r="O141" i="34"/>
  <c r="N141" i="34"/>
  <c r="M141" i="34"/>
  <c r="L141" i="34"/>
  <c r="K141" i="34"/>
  <c r="J141" i="34"/>
  <c r="I141" i="34"/>
  <c r="H141" i="34"/>
  <c r="G141" i="34"/>
  <c r="F141" i="34"/>
  <c r="E141" i="34"/>
  <c r="Q140" i="34"/>
  <c r="P140" i="34"/>
  <c r="O140" i="34"/>
  <c r="N140" i="34"/>
  <c r="M140" i="34"/>
  <c r="L140" i="34"/>
  <c r="K140" i="34"/>
  <c r="J140" i="34"/>
  <c r="I140" i="34"/>
  <c r="H140" i="34"/>
  <c r="G140" i="34"/>
  <c r="F140" i="34"/>
  <c r="E140" i="34"/>
  <c r="Q136" i="34"/>
  <c r="P136" i="34"/>
  <c r="O136" i="34"/>
  <c r="N136" i="34"/>
  <c r="M136" i="34"/>
  <c r="L136" i="34"/>
  <c r="K136" i="34"/>
  <c r="J136" i="34"/>
  <c r="I136" i="34"/>
  <c r="H136" i="34"/>
  <c r="G136" i="34"/>
  <c r="F136" i="34"/>
  <c r="E136" i="34"/>
  <c r="L133" i="34"/>
  <c r="K133" i="34"/>
  <c r="J133" i="34"/>
  <c r="I133" i="34"/>
  <c r="H133" i="34"/>
  <c r="G133" i="34"/>
  <c r="F133" i="34"/>
  <c r="E133" i="34"/>
  <c r="Q128" i="34"/>
  <c r="P128" i="34"/>
  <c r="O128" i="34"/>
  <c r="N128" i="34"/>
  <c r="M128" i="34"/>
  <c r="Q126" i="34"/>
  <c r="P126" i="34"/>
  <c r="O126" i="34"/>
  <c r="N126" i="34"/>
  <c r="M126" i="34"/>
  <c r="Q125" i="34"/>
  <c r="P125" i="34"/>
  <c r="O125" i="34"/>
  <c r="N125" i="34"/>
  <c r="M125" i="34"/>
  <c r="Q124" i="34"/>
  <c r="P124" i="34"/>
  <c r="O124" i="34"/>
  <c r="N124" i="34"/>
  <c r="M124" i="34"/>
  <c r="Q123" i="34"/>
  <c r="P123" i="34"/>
  <c r="O123" i="34"/>
  <c r="N123" i="34"/>
  <c r="M123" i="34"/>
  <c r="L123" i="34"/>
  <c r="K123" i="34"/>
  <c r="J123" i="34"/>
  <c r="I123" i="34"/>
  <c r="H123" i="34"/>
  <c r="G123" i="34"/>
  <c r="F123" i="34"/>
  <c r="E123" i="34"/>
  <c r="Q119" i="34"/>
  <c r="P119" i="34"/>
  <c r="O119" i="34"/>
  <c r="N119" i="34"/>
  <c r="M119" i="34"/>
  <c r="L119" i="34"/>
  <c r="K119" i="34"/>
  <c r="J119" i="34"/>
  <c r="I119" i="34"/>
  <c r="H119" i="34"/>
  <c r="G119" i="34"/>
  <c r="F119" i="34"/>
  <c r="E119" i="34"/>
  <c r="Q117" i="34"/>
  <c r="P117" i="34"/>
  <c r="O117" i="34"/>
  <c r="N117" i="34"/>
  <c r="M117" i="34"/>
  <c r="L117" i="34"/>
  <c r="K117" i="34"/>
  <c r="J117" i="34"/>
  <c r="I117" i="34"/>
  <c r="H117" i="34"/>
  <c r="G117" i="34"/>
  <c r="F117" i="34"/>
  <c r="E117" i="34"/>
  <c r="G115" i="34"/>
  <c r="F115" i="34"/>
  <c r="E115" i="34"/>
  <c r="G114" i="34"/>
  <c r="F114" i="34"/>
  <c r="E114" i="34"/>
  <c r="G113" i="34"/>
  <c r="F113" i="34"/>
  <c r="E113" i="34"/>
  <c r="G112" i="34"/>
  <c r="F112" i="34"/>
  <c r="E112" i="34"/>
  <c r="Q108" i="34"/>
  <c r="P108" i="34"/>
  <c r="O108" i="34"/>
  <c r="N108" i="34"/>
  <c r="M108" i="34"/>
  <c r="L108" i="34"/>
  <c r="K108" i="34"/>
  <c r="J108" i="34"/>
  <c r="I108" i="34"/>
  <c r="H108" i="34"/>
  <c r="G108" i="34"/>
  <c r="F108" i="34"/>
  <c r="E108" i="34"/>
  <c r="Q102" i="34"/>
  <c r="P102" i="34"/>
  <c r="O102" i="34"/>
  <c r="N102" i="34"/>
  <c r="M102" i="34"/>
  <c r="L102" i="34"/>
  <c r="K102" i="34"/>
  <c r="J102" i="34"/>
  <c r="I102" i="34"/>
  <c r="H102" i="34"/>
  <c r="G102" i="34"/>
  <c r="F102" i="34"/>
  <c r="E102" i="34"/>
  <c r="K101" i="34"/>
  <c r="K100" i="34"/>
  <c r="Q93" i="34"/>
  <c r="P93" i="34"/>
  <c r="O93" i="34"/>
  <c r="N93" i="34"/>
  <c r="M93" i="34"/>
  <c r="Q92" i="34"/>
  <c r="P92" i="34"/>
  <c r="O92" i="34"/>
  <c r="N92" i="34"/>
  <c r="M92" i="34"/>
  <c r="K88" i="34"/>
  <c r="J88" i="34"/>
  <c r="I88" i="34"/>
  <c r="H88" i="34"/>
  <c r="G88" i="34"/>
  <c r="F88" i="34"/>
  <c r="E88" i="34"/>
  <c r="Q85" i="34"/>
  <c r="P85" i="34"/>
  <c r="O85" i="34"/>
  <c r="N85" i="34"/>
  <c r="M85" i="34"/>
  <c r="L85" i="34"/>
  <c r="K85" i="34"/>
  <c r="J85" i="34"/>
  <c r="I85" i="34"/>
  <c r="H85" i="34"/>
  <c r="G85" i="34"/>
  <c r="F85" i="34"/>
  <c r="E85" i="34"/>
  <c r="O81" i="34"/>
  <c r="N81" i="34"/>
  <c r="M81" i="34"/>
  <c r="O80" i="34"/>
  <c r="N80" i="34"/>
  <c r="M80" i="34"/>
  <c r="O79" i="34"/>
  <c r="N79" i="34"/>
  <c r="M79" i="34"/>
  <c r="O78" i="34"/>
  <c r="N78" i="34"/>
  <c r="M78" i="34"/>
  <c r="O77" i="34"/>
  <c r="N77" i="34"/>
  <c r="M77" i="34"/>
  <c r="O76" i="34"/>
  <c r="N76" i="34"/>
  <c r="M76" i="34"/>
  <c r="O75" i="34"/>
  <c r="N75" i="34"/>
  <c r="M75" i="34"/>
  <c r="L75" i="34"/>
  <c r="K75" i="34"/>
  <c r="J75" i="34"/>
  <c r="I75" i="34"/>
  <c r="H75" i="34"/>
  <c r="G75" i="34"/>
  <c r="F75" i="34"/>
  <c r="E75" i="34"/>
  <c r="O71" i="34"/>
  <c r="N71" i="34"/>
  <c r="M71" i="34"/>
  <c r="L71" i="34"/>
  <c r="K71" i="34"/>
  <c r="J71" i="34"/>
  <c r="I71" i="34"/>
  <c r="H71" i="34"/>
  <c r="G71" i="34"/>
  <c r="F71" i="34"/>
  <c r="E71" i="34"/>
  <c r="Q69" i="34"/>
  <c r="P69" i="34"/>
  <c r="O69" i="34"/>
  <c r="N69" i="34"/>
  <c r="M69" i="34"/>
  <c r="L69" i="34"/>
  <c r="K69" i="34"/>
  <c r="J69" i="34"/>
  <c r="I69" i="34"/>
  <c r="H69" i="34"/>
  <c r="G69" i="34"/>
  <c r="F69" i="34"/>
  <c r="E69" i="34"/>
  <c r="Q60" i="34"/>
  <c r="P60" i="34"/>
  <c r="O60" i="34"/>
  <c r="N60" i="34"/>
  <c r="M60" i="34"/>
  <c r="L60" i="34"/>
  <c r="K60" i="34"/>
  <c r="J60" i="34"/>
  <c r="I60" i="34"/>
  <c r="H60" i="34"/>
  <c r="G60" i="34"/>
  <c r="F60" i="34"/>
  <c r="E60" i="34"/>
  <c r="Q54" i="34"/>
  <c r="P54" i="34"/>
  <c r="O54" i="34"/>
  <c r="N54" i="34"/>
  <c r="M54" i="34"/>
  <c r="L54" i="34"/>
  <c r="K54" i="34"/>
  <c r="J54" i="34"/>
  <c r="I54" i="34"/>
  <c r="H54" i="34"/>
  <c r="G54" i="34"/>
  <c r="F54" i="34"/>
  <c r="E54" i="34"/>
  <c r="K53" i="34"/>
  <c r="K52" i="34"/>
  <c r="O45" i="34"/>
  <c r="N45" i="34"/>
  <c r="M45" i="34"/>
  <c r="O44" i="34"/>
  <c r="N44" i="34"/>
  <c r="M44" i="34"/>
  <c r="O40" i="34"/>
  <c r="N40" i="34"/>
  <c r="M40" i="34"/>
  <c r="K40" i="34"/>
  <c r="J40" i="34"/>
  <c r="I40" i="34"/>
  <c r="H40" i="34"/>
  <c r="G40" i="34"/>
  <c r="F40" i="34"/>
  <c r="E40" i="34"/>
  <c r="O37" i="34"/>
  <c r="N37" i="34"/>
  <c r="M37" i="34"/>
  <c r="L37" i="34"/>
  <c r="K37" i="34"/>
  <c r="J37" i="34"/>
  <c r="I37" i="34"/>
  <c r="H37" i="34"/>
  <c r="G37" i="34"/>
  <c r="F37" i="34"/>
  <c r="E37" i="34"/>
  <c r="Q24" i="34"/>
  <c r="P24" i="34"/>
  <c r="O24" i="34"/>
  <c r="N24" i="34"/>
  <c r="M24" i="34"/>
  <c r="L24" i="34"/>
  <c r="K24" i="34"/>
  <c r="Q23" i="34"/>
  <c r="P23" i="34"/>
  <c r="O23" i="34"/>
  <c r="N23" i="34"/>
  <c r="M23" i="34"/>
  <c r="L23" i="34"/>
  <c r="K23" i="34"/>
  <c r="S729" i="34"/>
  <c r="S693" i="34"/>
  <c r="S657" i="34"/>
  <c r="S621" i="34"/>
  <c r="K161" i="46"/>
  <c r="K160" i="46" s="1"/>
  <c r="J161" i="46"/>
  <c r="J160" i="46" s="1"/>
  <c r="I161" i="46"/>
  <c r="I160" i="46" s="1"/>
  <c r="H161" i="46"/>
  <c r="H160" i="46" s="1"/>
  <c r="G161" i="46"/>
  <c r="G160" i="46" s="1"/>
  <c r="N138" i="46"/>
  <c r="N134" i="46"/>
  <c r="E134" i="46" s="1"/>
  <c r="R130" i="46"/>
  <c r="Q130" i="46"/>
  <c r="N130" i="46"/>
  <c r="R129" i="46"/>
  <c r="Q129" i="46"/>
  <c r="N129" i="46"/>
  <c r="R128" i="46"/>
  <c r="Q128" i="46"/>
  <c r="N128" i="46"/>
  <c r="R127" i="46"/>
  <c r="Q127" i="46"/>
  <c r="N127" i="46"/>
  <c r="R123" i="46"/>
  <c r="Q123" i="46"/>
  <c r="N123" i="46"/>
  <c r="R122" i="46"/>
  <c r="Q122" i="46"/>
  <c r="N122" i="46"/>
  <c r="R121" i="46"/>
  <c r="Q121" i="46"/>
  <c r="N121" i="46"/>
  <c r="R120" i="46"/>
  <c r="Q120" i="46"/>
  <c r="N120" i="46"/>
  <c r="R119" i="46"/>
  <c r="Q119" i="46"/>
  <c r="N119" i="46"/>
  <c r="R118" i="46"/>
  <c r="Q118" i="46"/>
  <c r="N118" i="46"/>
  <c r="R117" i="46"/>
  <c r="Q117" i="46"/>
  <c r="N117" i="46"/>
  <c r="R116" i="46"/>
  <c r="Q116" i="46"/>
  <c r="N116" i="46"/>
  <c r="R115" i="46"/>
  <c r="Q115" i="46"/>
  <c r="N115" i="46"/>
  <c r="R114" i="46"/>
  <c r="Q114" i="46"/>
  <c r="N114" i="46"/>
  <c r="R110" i="46"/>
  <c r="Q110" i="46"/>
  <c r="O110" i="46"/>
  <c r="N110" i="46"/>
  <c r="R109" i="46"/>
  <c r="Q109" i="46"/>
  <c r="O109" i="46"/>
  <c r="N109" i="46"/>
  <c r="R108" i="46"/>
  <c r="Q108" i="46"/>
  <c r="O108" i="46"/>
  <c r="N108" i="46"/>
  <c r="R107" i="46"/>
  <c r="Q107" i="46"/>
  <c r="O107" i="46"/>
  <c r="N107" i="46"/>
  <c r="N101" i="46"/>
  <c r="M101" i="46"/>
  <c r="L101" i="46"/>
  <c r="M100" i="46"/>
  <c r="L100" i="46"/>
  <c r="M99" i="46"/>
  <c r="L99" i="46"/>
  <c r="M98" i="46"/>
  <c r="L98" i="46"/>
  <c r="M97" i="46"/>
  <c r="L97" i="46"/>
  <c r="N96" i="46"/>
  <c r="L96" i="46"/>
  <c r="N95" i="46"/>
  <c r="L95" i="46"/>
  <c r="N94" i="46"/>
  <c r="L94" i="46"/>
  <c r="M90" i="46"/>
  <c r="N90" i="46" s="1"/>
  <c r="G81" i="46"/>
  <c r="I80" i="46"/>
  <c r="I81" i="46" s="1"/>
  <c r="H80" i="46"/>
  <c r="H81" i="46" s="1"/>
  <c r="F80" i="46"/>
  <c r="F81" i="46" s="1"/>
  <c r="D80" i="46"/>
  <c r="D81" i="46" s="1"/>
  <c r="R80" i="46"/>
  <c r="R81" i="46" s="1"/>
  <c r="Q80" i="46"/>
  <c r="Q81" i="46" s="1"/>
  <c r="P80" i="46"/>
  <c r="P81" i="46" s="1"/>
  <c r="N80" i="46"/>
  <c r="N81" i="46" s="1"/>
  <c r="M80" i="46"/>
  <c r="M81" i="46" s="1"/>
  <c r="L80" i="46"/>
  <c r="L81" i="46" s="1"/>
  <c r="K80" i="46"/>
  <c r="K81" i="46" s="1"/>
  <c r="J80" i="46"/>
  <c r="J81" i="46" s="1"/>
  <c r="A3" i="46"/>
  <c r="O80" i="46"/>
  <c r="O81" i="46" s="1"/>
  <c r="P103" i="46"/>
  <c r="P161" i="46" s="1"/>
  <c r="P167" i="46" s="1"/>
  <c r="P168" i="46" s="1"/>
  <c r="P169" i="46" s="1"/>
  <c r="Q103" i="46"/>
  <c r="R103" i="46"/>
  <c r="C160" i="46"/>
  <c r="C161" i="46" s="1"/>
  <c r="O103" i="46"/>
  <c r="E80" i="46"/>
  <c r="E81" i="46" s="1"/>
  <c r="C80" i="46"/>
  <c r="C81" i="46" s="1"/>
  <c r="F73" i="42"/>
  <c r="F72" i="42"/>
  <c r="U645" i="34"/>
  <c r="W645" i="34"/>
  <c r="V645" i="34"/>
  <c r="C73" i="36"/>
  <c r="C73" i="35" s="1"/>
  <c r="S615" i="34" s="1"/>
  <c r="D202" i="40"/>
  <c r="D202" i="39" s="1"/>
  <c r="M14" i="10"/>
  <c r="O150" i="34" s="1"/>
  <c r="L14" i="10"/>
  <c r="L18" i="10" s="1"/>
  <c r="N131" i="34" s="1"/>
  <c r="K14" i="10"/>
  <c r="O18" i="10"/>
  <c r="E100" i="42"/>
  <c r="E102" i="42" s="1"/>
  <c r="E114" i="42" s="1"/>
  <c r="E144" i="40"/>
  <c r="E144" i="39" s="1"/>
  <c r="I12" i="2"/>
  <c r="I13" i="2"/>
  <c r="I14" i="2"/>
  <c r="I15" i="2"/>
  <c r="I16" i="2"/>
  <c r="I17" i="2"/>
  <c r="A5" i="38"/>
  <c r="U509" i="34" s="1"/>
  <c r="A4" i="38"/>
  <c r="C4" i="42" s="1"/>
  <c r="A3" i="38"/>
  <c r="C3" i="42" s="1"/>
  <c r="W566" i="34"/>
  <c r="E89" i="36"/>
  <c r="U355" i="34" s="1"/>
  <c r="D89" i="36"/>
  <c r="D89" i="35" s="1"/>
  <c r="C89" i="36"/>
  <c r="C89" i="35" s="1"/>
  <c r="S250" i="34" s="1"/>
  <c r="S613" i="34"/>
  <c r="C15" i="45"/>
  <c r="A5" i="37"/>
  <c r="C5" i="41" s="1"/>
  <c r="A4" i="37"/>
  <c r="C4" i="41" s="1"/>
  <c r="A3" i="37"/>
  <c r="C3" i="41" s="1"/>
  <c r="A5" i="36"/>
  <c r="U299" i="34" s="1"/>
  <c r="A4" i="36"/>
  <c r="A3" i="36"/>
  <c r="C3" i="40" s="1"/>
  <c r="A5" i="35"/>
  <c r="C5" i="39" s="1"/>
  <c r="A4" i="35"/>
  <c r="C4" i="39" s="1"/>
  <c r="A3" i="35"/>
  <c r="C3" i="39" s="1"/>
  <c r="D164" i="42"/>
  <c r="J164" i="42" s="1"/>
  <c r="D163" i="42"/>
  <c r="D162" i="42"/>
  <c r="D161" i="42"/>
  <c r="D146" i="42"/>
  <c r="J146" i="42" s="1"/>
  <c r="D145" i="42"/>
  <c r="J145" i="42" s="1"/>
  <c r="D144" i="42"/>
  <c r="I144" i="42" s="1"/>
  <c r="I147" i="42" s="1"/>
  <c r="D143" i="42"/>
  <c r="H143" i="42" s="1"/>
  <c r="D142" i="42"/>
  <c r="D135" i="42"/>
  <c r="J135" i="42" s="1"/>
  <c r="D134" i="42"/>
  <c r="J134" i="42" s="1"/>
  <c r="D133" i="42"/>
  <c r="J133" i="42" s="1"/>
  <c r="D132" i="42"/>
  <c r="D131" i="42"/>
  <c r="J131" i="42" s="1"/>
  <c r="D124" i="42"/>
  <c r="D123" i="42"/>
  <c r="D122" i="42"/>
  <c r="I122" i="42" s="1"/>
  <c r="D121" i="42"/>
  <c r="D120" i="42"/>
  <c r="D113" i="42"/>
  <c r="J113" i="42" s="1"/>
  <c r="D112" i="42"/>
  <c r="J112" i="42"/>
  <c r="D96" i="42"/>
  <c r="J96" i="42" s="1"/>
  <c r="D95" i="42"/>
  <c r="D94" i="42"/>
  <c r="D93" i="42"/>
  <c r="D92" i="42"/>
  <c r="D48" i="42"/>
  <c r="D47" i="42"/>
  <c r="D46" i="42"/>
  <c r="I46" i="42" s="1"/>
  <c r="D41" i="42"/>
  <c r="D40" i="42"/>
  <c r="D164" i="41"/>
  <c r="D163" i="41"/>
  <c r="J163" i="41" s="1"/>
  <c r="D162" i="41"/>
  <c r="J162" i="41" s="1"/>
  <c r="D161" i="41"/>
  <c r="D146" i="41"/>
  <c r="J146" i="41" s="1"/>
  <c r="D145" i="41"/>
  <c r="J145" i="41" s="1"/>
  <c r="D144" i="41"/>
  <c r="I144" i="41" s="1"/>
  <c r="I147" i="41" s="1"/>
  <c r="D143" i="41"/>
  <c r="H143" i="41" s="1"/>
  <c r="D142" i="41"/>
  <c r="E142" i="41" s="1"/>
  <c r="E147" i="41" s="1"/>
  <c r="D135" i="41"/>
  <c r="D134" i="41"/>
  <c r="J134" i="41" s="1"/>
  <c r="D133" i="41"/>
  <c r="J133" i="41" s="1"/>
  <c r="D132" i="41"/>
  <c r="J132" i="41" s="1"/>
  <c r="D131" i="41"/>
  <c r="J131" i="41" s="1"/>
  <c r="D124" i="41"/>
  <c r="D123" i="41"/>
  <c r="D122" i="41"/>
  <c r="D121" i="41"/>
  <c r="H121" i="41" s="1"/>
  <c r="H125" i="41" s="1"/>
  <c r="D120" i="41"/>
  <c r="E120" i="41" s="1"/>
  <c r="D113" i="41"/>
  <c r="D112" i="41"/>
  <c r="J112" i="41" s="1"/>
  <c r="D96" i="41"/>
  <c r="D95" i="41"/>
  <c r="J95" i="41" s="1"/>
  <c r="D94" i="41"/>
  <c r="I94" i="41" s="1"/>
  <c r="I97" i="41" s="1"/>
  <c r="D93" i="41"/>
  <c r="H93" i="41" s="1"/>
  <c r="H97" i="41" s="1"/>
  <c r="D92" i="41"/>
  <c r="D69" i="41"/>
  <c r="J69" i="41" s="1"/>
  <c r="D68" i="41"/>
  <c r="J68" i="41" s="1"/>
  <c r="D67" i="41"/>
  <c r="I67" i="41" s="1"/>
  <c r="D66" i="41"/>
  <c r="D65" i="41"/>
  <c r="D62" i="41"/>
  <c r="J62" i="41" s="1"/>
  <c r="D61" i="41"/>
  <c r="J61" i="41" s="1"/>
  <c r="D60" i="41"/>
  <c r="D59" i="41"/>
  <c r="H59" i="41" s="1"/>
  <c r="D58" i="41"/>
  <c r="G58" i="41" s="1"/>
  <c r="G63" i="41" s="1"/>
  <c r="D55" i="41"/>
  <c r="D54" i="41"/>
  <c r="J54" i="41" s="1"/>
  <c r="D53" i="41"/>
  <c r="D52" i="41"/>
  <c r="H52" i="41" s="1"/>
  <c r="D51" i="41"/>
  <c r="G51" i="41" s="1"/>
  <c r="G56" i="41" s="1"/>
  <c r="D34" i="41"/>
  <c r="D33" i="41"/>
  <c r="D32" i="41"/>
  <c r="I32" i="41" s="1"/>
  <c r="D31" i="41"/>
  <c r="H31" i="41" s="1"/>
  <c r="D30" i="41"/>
  <c r="D16" i="41"/>
  <c r="D15" i="41"/>
  <c r="J15" i="41" s="1"/>
  <c r="D232" i="40"/>
  <c r="D232" i="39" s="1"/>
  <c r="D230" i="40"/>
  <c r="D229" i="40"/>
  <c r="D229" i="39" s="1"/>
  <c r="D203" i="40"/>
  <c r="D203" i="39" s="1"/>
  <c r="D189" i="40"/>
  <c r="D189" i="39" s="1"/>
  <c r="D188" i="40"/>
  <c r="D188" i="39" s="1"/>
  <c r="D187" i="40"/>
  <c r="D187" i="39" s="1"/>
  <c r="D172" i="40"/>
  <c r="D172" i="39" s="1"/>
  <c r="D161" i="40"/>
  <c r="D161" i="39" s="1"/>
  <c r="T610" i="34" s="1"/>
  <c r="D136" i="40"/>
  <c r="D134" i="40"/>
  <c r="D134" i="39" s="1"/>
  <c r="D133" i="40"/>
  <c r="H133" i="40" s="1"/>
  <c r="H133" i="39" s="1"/>
  <c r="D132" i="40"/>
  <c r="D132" i="39" s="1"/>
  <c r="D121" i="40"/>
  <c r="D121" i="39" s="1"/>
  <c r="D119" i="40"/>
  <c r="D119" i="39" s="1"/>
  <c r="D118" i="40"/>
  <c r="D118" i="39" s="1"/>
  <c r="D117" i="40"/>
  <c r="G117" i="40" s="1"/>
  <c r="G117" i="39" s="1"/>
  <c r="D95" i="40"/>
  <c r="D95" i="39" s="1"/>
  <c r="D94" i="40"/>
  <c r="D93" i="40"/>
  <c r="D84" i="40"/>
  <c r="D84" i="39" s="1"/>
  <c r="D83" i="40"/>
  <c r="D82" i="40"/>
  <c r="D82" i="39" s="1"/>
  <c r="D75" i="40"/>
  <c r="D75" i="39" s="1"/>
  <c r="D73" i="40"/>
  <c r="D73" i="39" s="1"/>
  <c r="D72" i="40"/>
  <c r="D72" i="39" s="1"/>
  <c r="D71" i="40"/>
  <c r="D71" i="39" s="1"/>
  <c r="D42" i="40"/>
  <c r="D42" i="39" s="1"/>
  <c r="D40" i="40"/>
  <c r="D40" i="39" s="1"/>
  <c r="D39" i="40"/>
  <c r="D38" i="40"/>
  <c r="D38" i="39" s="1"/>
  <c r="M20" i="40"/>
  <c r="M20" i="39" s="1"/>
  <c r="D16" i="40"/>
  <c r="D16" i="39" s="1"/>
  <c r="W592" i="34" s="1"/>
  <c r="I165" i="42"/>
  <c r="H165" i="42"/>
  <c r="G165" i="42"/>
  <c r="F165" i="42"/>
  <c r="E165" i="42"/>
  <c r="I141" i="42"/>
  <c r="H141" i="42"/>
  <c r="G141" i="42"/>
  <c r="G147" i="42" s="1"/>
  <c r="F141" i="42"/>
  <c r="F147" i="42" s="1"/>
  <c r="E141" i="42"/>
  <c r="D141" i="42"/>
  <c r="J140" i="42"/>
  <c r="J139" i="42"/>
  <c r="J141" i="42" s="1"/>
  <c r="J138" i="42"/>
  <c r="I130" i="42"/>
  <c r="I136" i="42" s="1"/>
  <c r="H130" i="42"/>
  <c r="H136" i="42"/>
  <c r="G130" i="42"/>
  <c r="G136" i="42"/>
  <c r="F130" i="42"/>
  <c r="F136" i="42" s="1"/>
  <c r="E130" i="42"/>
  <c r="D130" i="42"/>
  <c r="J129" i="42"/>
  <c r="J128" i="42"/>
  <c r="J127" i="42"/>
  <c r="I119" i="42"/>
  <c r="H119" i="42"/>
  <c r="G119" i="42"/>
  <c r="D119" i="42"/>
  <c r="F118" i="42"/>
  <c r="F119" i="42"/>
  <c r="F125" i="42"/>
  <c r="E117" i="42"/>
  <c r="E119" i="42"/>
  <c r="J116" i="42"/>
  <c r="F108" i="42"/>
  <c r="E108" i="42"/>
  <c r="I102" i="42"/>
  <c r="H102" i="42"/>
  <c r="G102" i="42"/>
  <c r="D102" i="42"/>
  <c r="F101" i="42"/>
  <c r="J101" i="42"/>
  <c r="J99" i="42"/>
  <c r="I91" i="42"/>
  <c r="H91" i="42"/>
  <c r="G91" i="42"/>
  <c r="F91" i="42"/>
  <c r="E91" i="42"/>
  <c r="E97" i="42" s="1"/>
  <c r="D91" i="42"/>
  <c r="I75" i="42"/>
  <c r="H75" i="42"/>
  <c r="D75" i="42"/>
  <c r="F74" i="42"/>
  <c r="J73" i="42"/>
  <c r="G75" i="42"/>
  <c r="J17" i="42"/>
  <c r="I17" i="42"/>
  <c r="H17" i="42"/>
  <c r="G17" i="42"/>
  <c r="D11" i="42"/>
  <c r="D17" i="42" s="1"/>
  <c r="F10" i="42"/>
  <c r="F11" i="42"/>
  <c r="F17" i="42" s="1"/>
  <c r="E11" i="42"/>
  <c r="I165" i="41"/>
  <c r="H165" i="41"/>
  <c r="G165" i="41"/>
  <c r="F165" i="41"/>
  <c r="E165" i="41"/>
  <c r="I141" i="41"/>
  <c r="H141" i="41"/>
  <c r="G141" i="41"/>
  <c r="G147" i="41"/>
  <c r="F141" i="41"/>
  <c r="F147" i="41"/>
  <c r="E141" i="41"/>
  <c r="D141" i="41"/>
  <c r="J140" i="41"/>
  <c r="J139" i="41"/>
  <c r="J138" i="41"/>
  <c r="I130" i="41"/>
  <c r="I136" i="41"/>
  <c r="H130" i="41"/>
  <c r="H136" i="41" s="1"/>
  <c r="G130" i="41"/>
  <c r="G136" i="41" s="1"/>
  <c r="F130" i="41"/>
  <c r="F136" i="41"/>
  <c r="E130" i="41"/>
  <c r="E136" i="41"/>
  <c r="D130" i="41"/>
  <c r="J129" i="41"/>
  <c r="J128" i="41"/>
  <c r="J130" i="41" s="1"/>
  <c r="J127" i="41"/>
  <c r="I119" i="41"/>
  <c r="H119" i="41"/>
  <c r="G119" i="41"/>
  <c r="G125" i="41"/>
  <c r="F119" i="41"/>
  <c r="F125" i="41"/>
  <c r="D119" i="41"/>
  <c r="J118" i="41"/>
  <c r="E117" i="41"/>
  <c r="J116" i="41"/>
  <c r="F108" i="41"/>
  <c r="E108" i="41"/>
  <c r="I102" i="41"/>
  <c r="H102" i="41"/>
  <c r="G102" i="41"/>
  <c r="F102" i="41"/>
  <c r="D102" i="41"/>
  <c r="J101" i="41"/>
  <c r="J102" i="41"/>
  <c r="E102" i="41"/>
  <c r="E114" i="41" s="1"/>
  <c r="J99" i="41"/>
  <c r="I91" i="41"/>
  <c r="H91" i="41"/>
  <c r="G91" i="41"/>
  <c r="F91" i="41"/>
  <c r="F97" i="41" s="1"/>
  <c r="E91" i="41"/>
  <c r="E97" i="41" s="1"/>
  <c r="D91" i="41"/>
  <c r="I75" i="41"/>
  <c r="H75" i="41"/>
  <c r="F75" i="41"/>
  <c r="D75" i="41"/>
  <c r="J74" i="41"/>
  <c r="E73" i="41"/>
  <c r="G72" i="41"/>
  <c r="G75" i="41"/>
  <c r="D11" i="41"/>
  <c r="F10" i="41"/>
  <c r="F11" i="41"/>
  <c r="F17" i="41" s="1"/>
  <c r="E11" i="41"/>
  <c r="H201" i="40"/>
  <c r="H201" i="39" s="1"/>
  <c r="G201" i="40"/>
  <c r="G201" i="39" s="1"/>
  <c r="F201" i="40"/>
  <c r="F201" i="39" s="1"/>
  <c r="E201" i="40"/>
  <c r="E201" i="39" s="1"/>
  <c r="D201" i="40"/>
  <c r="D201" i="39" s="1"/>
  <c r="H186" i="40"/>
  <c r="H186" i="39" s="1"/>
  <c r="G186" i="40"/>
  <c r="G186" i="39" s="1"/>
  <c r="F186" i="40"/>
  <c r="F186" i="39" s="1"/>
  <c r="E186" i="40"/>
  <c r="E186" i="39" s="1"/>
  <c r="D186" i="40"/>
  <c r="D186" i="39" s="1"/>
  <c r="H171" i="40"/>
  <c r="H171" i="39" s="1"/>
  <c r="G171" i="40"/>
  <c r="G171" i="39" s="1"/>
  <c r="F171" i="40"/>
  <c r="F171" i="39" s="1"/>
  <c r="D171" i="40"/>
  <c r="D171" i="39" s="1"/>
  <c r="W613" i="34" s="1"/>
  <c r="E169" i="40"/>
  <c r="E169" i="39" s="1"/>
  <c r="M168" i="40"/>
  <c r="M168" i="39" s="1"/>
  <c r="I146" i="40"/>
  <c r="I146" i="39" s="1"/>
  <c r="H146" i="40"/>
  <c r="H146" i="39" s="1"/>
  <c r="G146" i="40"/>
  <c r="G146" i="39" s="1"/>
  <c r="M143" i="40"/>
  <c r="M143" i="39" s="1"/>
  <c r="I116" i="40"/>
  <c r="H116" i="40"/>
  <c r="H116" i="39" s="1"/>
  <c r="G116" i="40"/>
  <c r="F115" i="40"/>
  <c r="F115" i="39" s="1"/>
  <c r="E114" i="40"/>
  <c r="E114" i="39" s="1"/>
  <c r="M113" i="40"/>
  <c r="M113" i="39" s="1"/>
  <c r="E11" i="40"/>
  <c r="E11" i="39" s="1"/>
  <c r="S569" i="34"/>
  <c r="J164" i="41"/>
  <c r="G92" i="42"/>
  <c r="J163" i="42"/>
  <c r="J124" i="41"/>
  <c r="H93" i="42"/>
  <c r="J16" i="41"/>
  <c r="J41" i="42"/>
  <c r="J124" i="42"/>
  <c r="J96" i="41"/>
  <c r="J47" i="42"/>
  <c r="E75" i="42"/>
  <c r="J100" i="41"/>
  <c r="J40" i="42"/>
  <c r="H66" i="41"/>
  <c r="J66" i="41" s="1"/>
  <c r="F102" i="42"/>
  <c r="F114" i="42"/>
  <c r="J122" i="42"/>
  <c r="J72" i="42"/>
  <c r="G30" i="41"/>
  <c r="G35" i="41" s="1"/>
  <c r="J72" i="41"/>
  <c r="E75" i="41"/>
  <c r="I60" i="41"/>
  <c r="I63" i="41" s="1"/>
  <c r="O39" i="11"/>
  <c r="Q114" i="34" s="1"/>
  <c r="N39" i="11"/>
  <c r="N41" i="11" s="1"/>
  <c r="P129" i="34" s="1"/>
  <c r="M39" i="11"/>
  <c r="O114" i="34" s="1"/>
  <c r="L39" i="11"/>
  <c r="L41" i="11" s="1"/>
  <c r="K39" i="11"/>
  <c r="M122" i="34" s="1"/>
  <c r="J39" i="11"/>
  <c r="L116" i="34" s="1"/>
  <c r="I39" i="11"/>
  <c r="K122" i="34" s="1"/>
  <c r="H39" i="11"/>
  <c r="J120" i="34" s="1"/>
  <c r="G39" i="11"/>
  <c r="E39" i="11"/>
  <c r="G118" i="34" s="1"/>
  <c r="D39" i="11"/>
  <c r="F120" i="34" s="1"/>
  <c r="C39" i="11"/>
  <c r="E120" i="34" s="1"/>
  <c r="F39" i="11"/>
  <c r="F41" i="11" s="1"/>
  <c r="H112" i="34" s="1"/>
  <c r="O60" i="2"/>
  <c r="N60" i="2"/>
  <c r="M60" i="2"/>
  <c r="L60" i="2"/>
  <c r="K60" i="2"/>
  <c r="J60" i="2"/>
  <c r="I60" i="2"/>
  <c r="H60" i="2"/>
  <c r="G60" i="2"/>
  <c r="F60" i="2"/>
  <c r="E60" i="2"/>
  <c r="D60" i="2"/>
  <c r="C60" i="2"/>
  <c r="J52" i="2"/>
  <c r="I52" i="2"/>
  <c r="H52" i="2"/>
  <c r="G52" i="2"/>
  <c r="F52" i="2"/>
  <c r="E52" i="2"/>
  <c r="D52" i="2"/>
  <c r="C52" i="2"/>
  <c r="J51" i="2"/>
  <c r="I51" i="2"/>
  <c r="H51" i="2"/>
  <c r="G51" i="2"/>
  <c r="F51" i="2"/>
  <c r="E51" i="2"/>
  <c r="D51" i="2"/>
  <c r="C51" i="2"/>
  <c r="J50" i="2"/>
  <c r="I50" i="2"/>
  <c r="H50" i="2"/>
  <c r="G50" i="2"/>
  <c r="F50" i="2"/>
  <c r="E50" i="2"/>
  <c r="D50" i="2"/>
  <c r="C50" i="2"/>
  <c r="O47" i="2"/>
  <c r="N47" i="2"/>
  <c r="M47" i="2"/>
  <c r="L47" i="2"/>
  <c r="K47" i="2"/>
  <c r="J47" i="2"/>
  <c r="I47" i="2"/>
  <c r="H47" i="2"/>
  <c r="G47" i="2"/>
  <c r="F47" i="2"/>
  <c r="E47" i="2"/>
  <c r="D47" i="2"/>
  <c r="C47" i="2"/>
  <c r="I38" i="2"/>
  <c r="H38" i="2"/>
  <c r="G38" i="2"/>
  <c r="F38" i="2"/>
  <c r="E38" i="2"/>
  <c r="D38" i="2"/>
  <c r="C38" i="2"/>
  <c r="I37" i="2"/>
  <c r="H37" i="2"/>
  <c r="G37" i="2"/>
  <c r="F37" i="2"/>
  <c r="E37" i="2"/>
  <c r="D37" i="2"/>
  <c r="C37" i="2"/>
  <c r="I36" i="2"/>
  <c r="H36" i="2"/>
  <c r="G36" i="2"/>
  <c r="F36" i="2"/>
  <c r="E36" i="2"/>
  <c r="D36" i="2"/>
  <c r="C36" i="2"/>
  <c r="H30" i="2"/>
  <c r="G30" i="2"/>
  <c r="F30" i="2"/>
  <c r="E30" i="2"/>
  <c r="D30" i="2"/>
  <c r="C30" i="2"/>
  <c r="I29" i="2"/>
  <c r="H29" i="2"/>
  <c r="G29" i="2"/>
  <c r="F29" i="2"/>
  <c r="E29" i="2"/>
  <c r="D29" i="2"/>
  <c r="C29" i="2"/>
  <c r="I28" i="2"/>
  <c r="H28" i="2"/>
  <c r="G28" i="2"/>
  <c r="F28" i="2"/>
  <c r="E28" i="2"/>
  <c r="D28" i="2"/>
  <c r="C28" i="2"/>
  <c r="I27" i="2"/>
  <c r="H27" i="2"/>
  <c r="G27" i="2"/>
  <c r="F27" i="2"/>
  <c r="E27" i="2"/>
  <c r="D27" i="2"/>
  <c r="C27" i="2"/>
  <c r="I26" i="2"/>
  <c r="H26" i="2"/>
  <c r="G26" i="2"/>
  <c r="F26" i="2"/>
  <c r="E26" i="2"/>
  <c r="D26" i="2"/>
  <c r="C26" i="2"/>
  <c r="I25" i="2"/>
  <c r="H25" i="2"/>
  <c r="G25" i="2"/>
  <c r="F25" i="2"/>
  <c r="E25" i="2"/>
  <c r="D25" i="2"/>
  <c r="C25" i="2"/>
  <c r="I24" i="2"/>
  <c r="H24" i="2"/>
  <c r="G24" i="2"/>
  <c r="F24" i="2"/>
  <c r="E24" i="2"/>
  <c r="D24" i="2"/>
  <c r="C24" i="2"/>
  <c r="I23" i="2"/>
  <c r="H23" i="2"/>
  <c r="G23" i="2"/>
  <c r="F23" i="2"/>
  <c r="E23" i="2"/>
  <c r="D23" i="2"/>
  <c r="C23" i="2"/>
  <c r="H22" i="2"/>
  <c r="G22" i="2"/>
  <c r="F22" i="2"/>
  <c r="E22" i="2"/>
  <c r="D22" i="2"/>
  <c r="C22" i="2"/>
  <c r="H17" i="2"/>
  <c r="G17" i="2"/>
  <c r="F17" i="2"/>
  <c r="E17" i="2"/>
  <c r="D17" i="2"/>
  <c r="C17" i="2"/>
  <c r="H16" i="2"/>
  <c r="G16" i="2"/>
  <c r="F16" i="2"/>
  <c r="E16" i="2"/>
  <c r="D16" i="2"/>
  <c r="C16" i="2"/>
  <c r="H15" i="2"/>
  <c r="G15" i="2"/>
  <c r="F15" i="2"/>
  <c r="E15" i="2"/>
  <c r="D15" i="2"/>
  <c r="C15" i="2"/>
  <c r="H14" i="2"/>
  <c r="G14" i="2"/>
  <c r="F14" i="2"/>
  <c r="E14" i="2"/>
  <c r="D14" i="2"/>
  <c r="C14" i="2"/>
  <c r="H13" i="2"/>
  <c r="G13" i="2"/>
  <c r="F13" i="2"/>
  <c r="E13" i="2"/>
  <c r="D13" i="2"/>
  <c r="C13" i="2"/>
  <c r="H12" i="2"/>
  <c r="G12" i="2"/>
  <c r="F12" i="2"/>
  <c r="E12" i="2"/>
  <c r="D12" i="2"/>
  <c r="C12" i="2"/>
  <c r="K18" i="10"/>
  <c r="K61" i="10" s="1"/>
  <c r="J18" i="10"/>
  <c r="I18" i="10"/>
  <c r="I61" i="10" s="1"/>
  <c r="K152" i="34" s="1"/>
  <c r="O18" i="11"/>
  <c r="N18" i="11"/>
  <c r="P84" i="34" s="1"/>
  <c r="M18" i="11"/>
  <c r="O90" i="34" s="1"/>
  <c r="L18" i="11"/>
  <c r="N83" i="34" s="1"/>
  <c r="K18" i="11"/>
  <c r="K28" i="11" s="1"/>
  <c r="J18" i="11"/>
  <c r="J28" i="11" s="1"/>
  <c r="I18" i="11"/>
  <c r="K83" i="34" s="1"/>
  <c r="I30" i="2"/>
  <c r="O57" i="10"/>
  <c r="O57" i="2" s="1"/>
  <c r="N57" i="10"/>
  <c r="P149" i="34" s="1"/>
  <c r="M57" i="10"/>
  <c r="O146" i="34" s="1"/>
  <c r="L57" i="10"/>
  <c r="K57" i="10"/>
  <c r="J57" i="10"/>
  <c r="L145" i="34" s="1"/>
  <c r="I57" i="10"/>
  <c r="I57" i="2" s="1"/>
  <c r="H57" i="10"/>
  <c r="J142" i="34" s="1"/>
  <c r="G57" i="10"/>
  <c r="I148" i="34" s="1"/>
  <c r="F57" i="10"/>
  <c r="H142" i="34" s="1"/>
  <c r="E57" i="10"/>
  <c r="D57" i="10"/>
  <c r="D57" i="2" s="1"/>
  <c r="C57" i="10"/>
  <c r="C57" i="2" s="1"/>
  <c r="H31" i="12"/>
  <c r="J38" i="34" s="1"/>
  <c r="G31" i="12"/>
  <c r="I43" i="34" s="1"/>
  <c r="F31" i="12"/>
  <c r="H39" i="34" s="1"/>
  <c r="E31" i="12"/>
  <c r="G39" i="34" s="1"/>
  <c r="D31" i="12"/>
  <c r="C31" i="12"/>
  <c r="E38" i="34" s="1"/>
  <c r="H31" i="10"/>
  <c r="G31" i="10"/>
  <c r="I135" i="34" s="1"/>
  <c r="F31" i="10"/>
  <c r="H135" i="34" s="1"/>
  <c r="E31" i="10"/>
  <c r="D31" i="10"/>
  <c r="F134" i="34" s="1"/>
  <c r="C31" i="10"/>
  <c r="E134" i="34" s="1"/>
  <c r="H64" i="12"/>
  <c r="J59" i="34" s="1"/>
  <c r="G64" i="12"/>
  <c r="I58" i="34" s="1"/>
  <c r="F64" i="12"/>
  <c r="E64" i="12"/>
  <c r="G59" i="34" s="1"/>
  <c r="D64" i="12"/>
  <c r="F59" i="34" s="1"/>
  <c r="C64" i="12"/>
  <c r="E58" i="34" s="1"/>
  <c r="I39" i="12"/>
  <c r="H39" i="12"/>
  <c r="H41" i="12" s="1"/>
  <c r="J65" i="34" s="1"/>
  <c r="G39" i="12"/>
  <c r="I73" i="34" s="1"/>
  <c r="F39" i="12"/>
  <c r="E39" i="12"/>
  <c r="E41" i="12" s="1"/>
  <c r="G64" i="34" s="1"/>
  <c r="D39" i="12"/>
  <c r="F72" i="34" s="1"/>
  <c r="C39" i="12"/>
  <c r="E73" i="34" s="1"/>
  <c r="I18" i="12"/>
  <c r="K42" i="34" s="1"/>
  <c r="H18" i="12"/>
  <c r="J36" i="34" s="1"/>
  <c r="G18" i="12"/>
  <c r="G61" i="12" s="1"/>
  <c r="F18" i="12"/>
  <c r="F61" i="12" s="1"/>
  <c r="E18" i="12"/>
  <c r="E61" i="12" s="1"/>
  <c r="D18" i="12"/>
  <c r="F36" i="34" s="1"/>
  <c r="C18" i="12"/>
  <c r="E42" i="34" s="1"/>
  <c r="I22" i="2"/>
  <c r="I31" i="12"/>
  <c r="K43" i="34" s="1"/>
  <c r="J39" i="10"/>
  <c r="L162" i="34" s="1"/>
  <c r="I39" i="10"/>
  <c r="I41" i="10" s="1"/>
  <c r="H39" i="10"/>
  <c r="H41" i="10" s="1"/>
  <c r="G39" i="10"/>
  <c r="I168" i="34" s="1"/>
  <c r="F39" i="10"/>
  <c r="E39" i="10"/>
  <c r="E41" i="10" s="1"/>
  <c r="D39" i="10"/>
  <c r="F163" i="34" s="1"/>
  <c r="C39" i="10"/>
  <c r="E170" i="34" s="1"/>
  <c r="I31" i="10"/>
  <c r="H68" i="10"/>
  <c r="I69" i="10" s="1"/>
  <c r="G68" i="10"/>
  <c r="I155" i="34" s="1"/>
  <c r="F68" i="10"/>
  <c r="H154" i="34" s="1"/>
  <c r="E68" i="10"/>
  <c r="G154" i="34" s="1"/>
  <c r="D68" i="10"/>
  <c r="F154" i="34" s="1"/>
  <c r="C68" i="10"/>
  <c r="H68" i="11"/>
  <c r="G68" i="11"/>
  <c r="I101" i="34" s="1"/>
  <c r="F68" i="11"/>
  <c r="H101" i="34" s="1"/>
  <c r="E68" i="11"/>
  <c r="G101" i="34" s="1"/>
  <c r="D68" i="11"/>
  <c r="F100" i="34" s="1"/>
  <c r="C68" i="11"/>
  <c r="E101" i="34" s="1"/>
  <c r="H64" i="11"/>
  <c r="J106" i="34" s="1"/>
  <c r="G64" i="11"/>
  <c r="G64" i="10" s="1"/>
  <c r="F64" i="11"/>
  <c r="H107" i="34" s="1"/>
  <c r="E64" i="11"/>
  <c r="G107" i="34" s="1"/>
  <c r="D64" i="11"/>
  <c r="D64" i="10" s="1"/>
  <c r="C64" i="11"/>
  <c r="C64" i="10" s="1"/>
  <c r="I31" i="11"/>
  <c r="H31" i="11"/>
  <c r="G31" i="11"/>
  <c r="F31" i="11"/>
  <c r="E31" i="11"/>
  <c r="D31" i="11"/>
  <c r="C31" i="11"/>
  <c r="E91" i="34" s="1"/>
  <c r="H18" i="11"/>
  <c r="H61" i="11" s="1"/>
  <c r="G18" i="11"/>
  <c r="I84" i="34" s="1"/>
  <c r="F18" i="11"/>
  <c r="H84" i="34" s="1"/>
  <c r="E18" i="11"/>
  <c r="E61" i="11" s="1"/>
  <c r="D18" i="11"/>
  <c r="C18" i="11"/>
  <c r="H68" i="12"/>
  <c r="J53" i="34" s="1"/>
  <c r="G68" i="12"/>
  <c r="I53" i="34" s="1"/>
  <c r="F68" i="12"/>
  <c r="H53" i="34" s="1"/>
  <c r="E68" i="12"/>
  <c r="G52" i="34" s="1"/>
  <c r="D68" i="12"/>
  <c r="C68" i="12"/>
  <c r="E52" i="34" s="1"/>
  <c r="F18" i="10"/>
  <c r="D18" i="10"/>
  <c r="D61" i="10" s="1"/>
  <c r="F152" i="34" s="1"/>
  <c r="H18" i="10"/>
  <c r="J132" i="34" s="1"/>
  <c r="E18" i="10"/>
  <c r="G132" i="34" s="1"/>
  <c r="G18" i="10"/>
  <c r="G61" i="10" s="1"/>
  <c r="I152" i="34" s="1"/>
  <c r="C18" i="10"/>
  <c r="E132" i="34" s="1"/>
  <c r="O39" i="10"/>
  <c r="Q164" i="34" s="1"/>
  <c r="N39" i="10"/>
  <c r="N41" i="10" s="1"/>
  <c r="P161" i="34" s="1"/>
  <c r="M39" i="10"/>
  <c r="M41" i="10" s="1"/>
  <c r="O160" i="34" s="1"/>
  <c r="L39" i="10"/>
  <c r="L41" i="10" s="1"/>
  <c r="N161" i="34" s="1"/>
  <c r="K39" i="10"/>
  <c r="K41" i="10" s="1"/>
  <c r="M160" i="34" s="1"/>
  <c r="O31" i="10"/>
  <c r="Q134" i="34" s="1"/>
  <c r="N31" i="10"/>
  <c r="M31" i="10"/>
  <c r="O134" i="34" s="1"/>
  <c r="L31" i="10"/>
  <c r="N134" i="34" s="1"/>
  <c r="K31" i="10"/>
  <c r="J31" i="10"/>
  <c r="L139" i="34" s="1"/>
  <c r="F19" i="45"/>
  <c r="C38" i="35"/>
  <c r="S264" i="34" s="1"/>
  <c r="K68" i="10"/>
  <c r="K68" i="11"/>
  <c r="S411" i="34" s="1"/>
  <c r="K68" i="12"/>
  <c r="C92" i="35" s="1"/>
  <c r="N68" i="10"/>
  <c r="P155" i="34" s="1"/>
  <c r="N68" i="12"/>
  <c r="I19" i="45"/>
  <c r="N68" i="11"/>
  <c r="F38" i="37" s="1"/>
  <c r="F38" i="35"/>
  <c r="V264" i="34" s="1"/>
  <c r="G19" i="45"/>
  <c r="D38" i="35"/>
  <c r="D40" i="35" s="1"/>
  <c r="L68" i="10"/>
  <c r="D92" i="38" s="1"/>
  <c r="T578" i="34" s="1"/>
  <c r="L68" i="11"/>
  <c r="L68" i="12"/>
  <c r="D92" i="36" s="1"/>
  <c r="T368" i="34" s="1"/>
  <c r="O68" i="11"/>
  <c r="G38" i="35"/>
  <c r="W200" i="34" s="1"/>
  <c r="J19" i="45"/>
  <c r="O68" i="10"/>
  <c r="W516" i="34" s="1"/>
  <c r="J68" i="11"/>
  <c r="L100" i="34" s="1"/>
  <c r="J68" i="12"/>
  <c r="J69" i="12" s="1"/>
  <c r="J68" i="10"/>
  <c r="L154" i="34" s="1"/>
  <c r="E38" i="35"/>
  <c r="U264" i="34" s="1"/>
  <c r="H19" i="45"/>
  <c r="M68" i="11"/>
  <c r="E38" i="37" s="1"/>
  <c r="E40" i="37" s="1"/>
  <c r="M68" i="10"/>
  <c r="M68" i="12"/>
  <c r="E92" i="37" s="1"/>
  <c r="N64" i="12"/>
  <c r="P58" i="34" s="1"/>
  <c r="N64" i="11"/>
  <c r="N64" i="10" s="1"/>
  <c r="L64" i="11"/>
  <c r="L64" i="10" s="1"/>
  <c r="L64" i="12"/>
  <c r="K64" i="12"/>
  <c r="M59" i="34" s="1"/>
  <c r="K64" i="11"/>
  <c r="K64" i="10" s="1"/>
  <c r="J64" i="11"/>
  <c r="J64" i="10" s="1"/>
  <c r="J64" i="12"/>
  <c r="L59" i="34" s="1"/>
  <c r="I64" i="12"/>
  <c r="K59" i="34" s="1"/>
  <c r="I64" i="11"/>
  <c r="I64" i="10" s="1"/>
  <c r="O64" i="11"/>
  <c r="O64" i="10" s="1"/>
  <c r="M64" i="12"/>
  <c r="O59" i="34" s="1"/>
  <c r="M64" i="11"/>
  <c r="M64" i="10" s="1"/>
  <c r="F145" i="40"/>
  <c r="F145" i="39" s="1"/>
  <c r="D146" i="40"/>
  <c r="D146" i="39" s="1"/>
  <c r="J17" i="2"/>
  <c r="F10" i="40"/>
  <c r="F10" i="39" s="1"/>
  <c r="D11" i="40"/>
  <c r="D11" i="39" s="1"/>
  <c r="D26" i="40"/>
  <c r="D26" i="39" s="1"/>
  <c r="J38" i="2"/>
  <c r="J36" i="2"/>
  <c r="J13" i="2"/>
  <c r="J16" i="2"/>
  <c r="J15" i="2"/>
  <c r="J14" i="2"/>
  <c r="J12" i="2"/>
  <c r="J18" i="12"/>
  <c r="J61" i="12" s="1"/>
  <c r="J37" i="2"/>
  <c r="J39" i="12"/>
  <c r="L70" i="34" s="1"/>
  <c r="I125" i="42"/>
  <c r="T458" i="34"/>
  <c r="J117" i="42"/>
  <c r="J141" i="41"/>
  <c r="J120" i="41"/>
  <c r="L169" i="34"/>
  <c r="L166" i="34"/>
  <c r="L170" i="34"/>
  <c r="O142" i="34"/>
  <c r="O143" i="34"/>
  <c r="O145" i="34"/>
  <c r="K132" i="34"/>
  <c r="J123" i="41"/>
  <c r="E120" i="42"/>
  <c r="J120" i="42" s="1"/>
  <c r="S566" i="34"/>
  <c r="V461" i="34"/>
  <c r="F89" i="35"/>
  <c r="M166" i="34"/>
  <c r="E131" i="34"/>
  <c r="G139" i="34"/>
  <c r="J132" i="42"/>
  <c r="E17" i="41"/>
  <c r="V443" i="34"/>
  <c r="T554" i="34"/>
  <c r="J33" i="41"/>
  <c r="G92" i="41"/>
  <c r="G97" i="41" s="1"/>
  <c r="S607" i="34"/>
  <c r="S446" i="34"/>
  <c r="U461" i="34"/>
  <c r="G138" i="34"/>
  <c r="F19" i="10"/>
  <c r="F101" i="34"/>
  <c r="N170" i="34"/>
  <c r="E61" i="10"/>
  <c r="G152" i="34" s="1"/>
  <c r="J148" i="34"/>
  <c r="H70" i="41"/>
  <c r="F97" i="42"/>
  <c r="J130" i="42"/>
  <c r="G65" i="41"/>
  <c r="G70" i="41" s="1"/>
  <c r="V566" i="34"/>
  <c r="G146" i="34"/>
  <c r="G149" i="34"/>
  <c r="G142" i="34"/>
  <c r="G145" i="34"/>
  <c r="G143" i="34"/>
  <c r="G148" i="34"/>
  <c r="E57" i="2"/>
  <c r="N150" i="34"/>
  <c r="H168" i="34"/>
  <c r="V545" i="34"/>
  <c r="J117" i="41"/>
  <c r="J119" i="41"/>
  <c r="E119" i="41"/>
  <c r="E125" i="41" s="1"/>
  <c r="J123" i="42"/>
  <c r="J84" i="34"/>
  <c r="I164" i="34"/>
  <c r="T243" i="34"/>
  <c r="J118" i="42"/>
  <c r="F42" i="34"/>
  <c r="M57" i="2"/>
  <c r="E142" i="34"/>
  <c r="E145" i="34"/>
  <c r="T452" i="34"/>
  <c r="V449" i="34"/>
  <c r="E136" i="42"/>
  <c r="U548" i="34"/>
  <c r="H114" i="34"/>
  <c r="M69" i="10"/>
  <c r="O170" i="34"/>
  <c r="O162" i="34"/>
  <c r="O168" i="34"/>
  <c r="O169" i="34"/>
  <c r="O163" i="34"/>
  <c r="O166" i="34"/>
  <c r="O164" i="34"/>
  <c r="F68" i="34"/>
  <c r="K169" i="34"/>
  <c r="K168" i="34"/>
  <c r="W452" i="34"/>
  <c r="G125" i="42"/>
  <c r="S443" i="34"/>
  <c r="V548" i="34"/>
  <c r="J30" i="41"/>
  <c r="J60" i="41"/>
  <c r="E139" i="34"/>
  <c r="L149" i="34"/>
  <c r="L142" i="34"/>
  <c r="J116" i="34"/>
  <c r="T443" i="34"/>
  <c r="W548" i="34"/>
  <c r="T566" i="34"/>
  <c r="W461" i="34"/>
  <c r="U449" i="34"/>
  <c r="W449" i="34"/>
  <c r="U443" i="34"/>
  <c r="S554" i="34"/>
  <c r="U566" i="34"/>
  <c r="T464" i="34"/>
  <c r="S449" i="34"/>
  <c r="W443" i="34"/>
  <c r="U554" i="34"/>
  <c r="E122" i="34"/>
  <c r="N114" i="34"/>
  <c r="N116" i="34"/>
  <c r="N118" i="34"/>
  <c r="T449" i="34"/>
  <c r="S548" i="34"/>
  <c r="V554" i="34"/>
  <c r="S461" i="34"/>
  <c r="Q150" i="34"/>
  <c r="Q133" i="34"/>
  <c r="J162" i="34"/>
  <c r="G72" i="34"/>
  <c r="G68" i="34"/>
  <c r="G73" i="34"/>
  <c r="J135" i="34"/>
  <c r="J134" i="34"/>
  <c r="J139" i="34"/>
  <c r="I146" i="34"/>
  <c r="Q143" i="34"/>
  <c r="Q149" i="34"/>
  <c r="Q142" i="34"/>
  <c r="F122" i="34"/>
  <c r="F116" i="34"/>
  <c r="O118" i="34"/>
  <c r="O116" i="34"/>
  <c r="J73" i="41"/>
  <c r="T548" i="34"/>
  <c r="W554" i="34"/>
  <c r="V302" i="34"/>
  <c r="U297" i="34"/>
  <c r="T298" i="34"/>
  <c r="T461" i="34"/>
  <c r="M150" i="34"/>
  <c r="M133" i="34"/>
  <c r="W643" i="34"/>
  <c r="W641" i="34"/>
  <c r="V628" i="34"/>
  <c r="S620" i="34"/>
  <c r="S619" i="34"/>
  <c r="U613" i="34"/>
  <c r="U611" i="34"/>
  <c r="V356" i="34"/>
  <c r="V355" i="34"/>
  <c r="S640" i="34"/>
  <c r="W638" i="34"/>
  <c r="V613" i="34"/>
  <c r="V611" i="34"/>
  <c r="S604" i="34"/>
  <c r="U638" i="34"/>
  <c r="S641" i="34"/>
  <c r="S643" i="34"/>
  <c r="T611" i="34"/>
  <c r="T613" i="34"/>
  <c r="W355" i="34"/>
  <c r="W356" i="34"/>
  <c r="V644" i="34"/>
  <c r="J41" i="10"/>
  <c r="L161" i="34" s="1"/>
  <c r="F114" i="41"/>
  <c r="J30" i="2"/>
  <c r="J29" i="2"/>
  <c r="J25" i="2"/>
  <c r="J24" i="2"/>
  <c r="J27" i="2"/>
  <c r="J23" i="2"/>
  <c r="U598" i="34"/>
  <c r="S605" i="34"/>
  <c r="J119" i="42"/>
  <c r="J75" i="41"/>
  <c r="U569" i="34"/>
  <c r="V464" i="34"/>
  <c r="S243" i="34"/>
  <c r="V569" i="34"/>
  <c r="W545" i="34"/>
  <c r="T563" i="34"/>
  <c r="T446" i="34"/>
  <c r="T560" i="34"/>
  <c r="U458" i="34"/>
  <c r="S464" i="34"/>
  <c r="T440" i="34"/>
  <c r="V602" i="34"/>
  <c r="V604" i="34"/>
  <c r="F175" i="41"/>
  <c r="J22" i="2"/>
  <c r="M27" i="34"/>
  <c r="M63" i="34"/>
  <c r="C16" i="35"/>
  <c r="S182" i="34" s="1"/>
  <c r="M111" i="34"/>
  <c r="N26" i="34"/>
  <c r="K65" i="11"/>
  <c r="S385" i="34" s="1"/>
  <c r="S183" i="34"/>
  <c r="K65" i="12"/>
  <c r="M48" i="34" s="1"/>
  <c r="T455" i="34"/>
  <c r="T557" i="34"/>
  <c r="S440" i="34"/>
  <c r="N63" i="34"/>
  <c r="L65" i="11"/>
  <c r="T183" i="34"/>
  <c r="N27" i="34"/>
  <c r="D16" i="35"/>
  <c r="N111" i="34"/>
  <c r="O26" i="34"/>
  <c r="L65" i="12"/>
  <c r="N25" i="34"/>
  <c r="U183" i="34"/>
  <c r="P26" i="34"/>
  <c r="O65" i="2"/>
  <c r="P65" i="2" s="1"/>
  <c r="O111" i="34"/>
  <c r="O63" i="34"/>
  <c r="M65" i="11"/>
  <c r="O27" i="34"/>
  <c r="E16" i="35"/>
  <c r="U182" i="34" s="1"/>
  <c r="M65" i="12"/>
  <c r="E16" i="36" s="1"/>
  <c r="O25" i="34"/>
  <c r="V183" i="34"/>
  <c r="Q26" i="34"/>
  <c r="F16" i="35"/>
  <c r="V181" i="34" s="1"/>
  <c r="P111" i="34"/>
  <c r="P27" i="34"/>
  <c r="N65" i="12"/>
  <c r="P61" i="34" s="1"/>
  <c r="N65" i="11"/>
  <c r="N65" i="10" s="1"/>
  <c r="P63" i="34"/>
  <c r="P25" i="34"/>
  <c r="K17" i="2"/>
  <c r="K52" i="2"/>
  <c r="K38" i="2"/>
  <c r="K36" i="2"/>
  <c r="L17" i="2"/>
  <c r="L52" i="2"/>
  <c r="L38" i="2"/>
  <c r="K39" i="12"/>
  <c r="M68" i="34" s="1"/>
  <c r="K16" i="2"/>
  <c r="K14" i="2"/>
  <c r="K18" i="12"/>
  <c r="M42" i="34" s="1"/>
  <c r="K12" i="2"/>
  <c r="K51" i="2"/>
  <c r="K15" i="2"/>
  <c r="K13" i="2"/>
  <c r="L36" i="2"/>
  <c r="M17" i="2"/>
  <c r="M52" i="2"/>
  <c r="M38" i="2"/>
  <c r="K37" i="2"/>
  <c r="K50" i="2"/>
  <c r="K23" i="2"/>
  <c r="K30" i="2"/>
  <c r="K26" i="2"/>
  <c r="K27" i="2"/>
  <c r="K25" i="2"/>
  <c r="K29" i="2"/>
  <c r="K24" i="2"/>
  <c r="K22" i="2"/>
  <c r="K31" i="12"/>
  <c r="M43" i="34" s="1"/>
  <c r="M36" i="2"/>
  <c r="L39" i="12"/>
  <c r="N72" i="34" s="1"/>
  <c r="L16" i="2"/>
  <c r="L14" i="2"/>
  <c r="L13" i="2"/>
  <c r="L15" i="2"/>
  <c r="L12" i="2"/>
  <c r="L18" i="12"/>
  <c r="L51" i="2"/>
  <c r="L22" i="2"/>
  <c r="M39" i="12"/>
  <c r="O67" i="34" s="1"/>
  <c r="M16" i="2"/>
  <c r="L24" i="2"/>
  <c r="L29" i="2"/>
  <c r="L27" i="2"/>
  <c r="L23" i="2"/>
  <c r="L30" i="2"/>
  <c r="L26" i="2"/>
  <c r="L25" i="2"/>
  <c r="L37" i="2"/>
  <c r="L50" i="2"/>
  <c r="M15" i="2"/>
  <c r="M13" i="2"/>
  <c r="M12" i="2"/>
  <c r="M51" i="2"/>
  <c r="L31" i="12"/>
  <c r="N43" i="34" s="1"/>
  <c r="M24" i="2"/>
  <c r="M30" i="2"/>
  <c r="M29" i="2"/>
  <c r="M26" i="2"/>
  <c r="M25" i="2"/>
  <c r="M27" i="2"/>
  <c r="M23" i="2"/>
  <c r="M50" i="2"/>
  <c r="M37" i="2"/>
  <c r="M31" i="12"/>
  <c r="O38" i="34" s="1"/>
  <c r="M22" i="2"/>
  <c r="T342" i="34"/>
  <c r="D84" i="36"/>
  <c r="E84" i="36"/>
  <c r="U341" i="34" s="1"/>
  <c r="E116" i="34" l="1"/>
  <c r="E118" i="34"/>
  <c r="E121" i="34"/>
  <c r="Q83" i="34"/>
  <c r="O61" i="11"/>
  <c r="S121" i="34"/>
  <c r="T41" i="11"/>
  <c r="N121" i="34"/>
  <c r="N115" i="34"/>
  <c r="G32" i="11"/>
  <c r="S639" i="34"/>
  <c r="M207" i="40"/>
  <c r="M207" i="39" s="1"/>
  <c r="S651" i="34"/>
  <c r="U516" i="34"/>
  <c r="E38" i="38"/>
  <c r="E40" i="38" s="1"/>
  <c r="E44" i="38" s="1"/>
  <c r="T411" i="34"/>
  <c r="D38" i="37"/>
  <c r="D40" i="37" s="1"/>
  <c r="E41" i="37"/>
  <c r="G20" i="45"/>
  <c r="I59" i="34"/>
  <c r="M66" i="12"/>
  <c r="O49" i="34" s="1"/>
  <c r="U385" i="34"/>
  <c r="E16" i="37"/>
  <c r="U473" i="34"/>
  <c r="E94" i="37"/>
  <c r="E94" i="35" s="1"/>
  <c r="S355" i="34"/>
  <c r="V646" i="34"/>
  <c r="S638" i="34"/>
  <c r="I40" i="40"/>
  <c r="I40" i="39" s="1"/>
  <c r="W628" i="34"/>
  <c r="T641" i="34"/>
  <c r="T640" i="34"/>
  <c r="E172" i="40"/>
  <c r="E172" i="39" s="1"/>
  <c r="W646" i="34"/>
  <c r="S342" i="34"/>
  <c r="W644" i="34"/>
  <c r="U629" i="34"/>
  <c r="W611" i="34"/>
  <c r="W626" i="34"/>
  <c r="G116" i="39"/>
  <c r="D94" i="39"/>
  <c r="U607" i="34" s="1"/>
  <c r="D164" i="39"/>
  <c r="W610" i="34" s="1"/>
  <c r="M210" i="40"/>
  <c r="M210" i="39" s="1"/>
  <c r="D210" i="39"/>
  <c r="T629" i="34"/>
  <c r="D39" i="39"/>
  <c r="D83" i="39"/>
  <c r="U604" i="34" s="1"/>
  <c r="V643" i="34"/>
  <c r="D136" i="39"/>
  <c r="U646" i="34"/>
  <c r="D230" i="39"/>
  <c r="I90" i="36"/>
  <c r="I90" i="35" s="1"/>
  <c r="K237" i="39"/>
  <c r="G120" i="40"/>
  <c r="G120" i="39" s="1"/>
  <c r="S356" i="34"/>
  <c r="M72" i="40"/>
  <c r="M72" i="39" s="1"/>
  <c r="E171" i="40"/>
  <c r="E171" i="39" s="1"/>
  <c r="M144" i="40"/>
  <c r="M144" i="39" s="1"/>
  <c r="I116" i="39"/>
  <c r="D117" i="39"/>
  <c r="D120" i="40"/>
  <c r="L196" i="40"/>
  <c r="L196" i="39" s="1"/>
  <c r="F141" i="40"/>
  <c r="F141" i="39" s="1"/>
  <c r="F131" i="39"/>
  <c r="M208" i="40"/>
  <c r="M208" i="39" s="1"/>
  <c r="D208" i="39"/>
  <c r="J90" i="36"/>
  <c r="J90" i="35" s="1"/>
  <c r="L237" i="39"/>
  <c r="D93" i="39"/>
  <c r="T607" i="34" s="1"/>
  <c r="T643" i="34"/>
  <c r="D133" i="39"/>
  <c r="E131" i="39"/>
  <c r="E141" i="40"/>
  <c r="E141" i="39" s="1"/>
  <c r="T250" i="34"/>
  <c r="T251" i="34"/>
  <c r="T340" i="34"/>
  <c r="D84" i="35"/>
  <c r="T355" i="34"/>
  <c r="V251" i="34"/>
  <c r="V250" i="34"/>
  <c r="E128" i="46"/>
  <c r="H90" i="36"/>
  <c r="H35" i="41"/>
  <c r="J31" i="41"/>
  <c r="J65" i="41"/>
  <c r="D70" i="41"/>
  <c r="S603" i="34"/>
  <c r="S602" i="34"/>
  <c r="S200" i="34"/>
  <c r="M162" i="34"/>
  <c r="H139" i="34"/>
  <c r="M169" i="34"/>
  <c r="Q146" i="34"/>
  <c r="J57" i="2"/>
  <c r="J164" i="34"/>
  <c r="L143" i="34"/>
  <c r="L148" i="34"/>
  <c r="K166" i="34"/>
  <c r="E149" i="34"/>
  <c r="E146" i="34"/>
  <c r="Q168" i="34"/>
  <c r="G164" i="34"/>
  <c r="H148" i="34"/>
  <c r="M163" i="34"/>
  <c r="M170" i="34"/>
  <c r="Q169" i="34"/>
  <c r="Q148" i="34"/>
  <c r="Q145" i="34"/>
  <c r="J166" i="34"/>
  <c r="L146" i="34"/>
  <c r="H32" i="10"/>
  <c r="E143" i="34"/>
  <c r="E148" i="34"/>
  <c r="I134" i="34"/>
  <c r="N133" i="34"/>
  <c r="F169" i="34"/>
  <c r="M168" i="34"/>
  <c r="M164" i="34"/>
  <c r="T516" i="34"/>
  <c r="N155" i="34"/>
  <c r="J154" i="34"/>
  <c r="N154" i="34"/>
  <c r="J155" i="34"/>
  <c r="H20" i="45"/>
  <c r="N53" i="34"/>
  <c r="T303" i="34"/>
  <c r="S296" i="34"/>
  <c r="H36" i="34"/>
  <c r="K36" i="34"/>
  <c r="S297" i="34"/>
  <c r="V297" i="34"/>
  <c r="G35" i="34"/>
  <c r="M58" i="34"/>
  <c r="M53" i="34"/>
  <c r="K35" i="34"/>
  <c r="T301" i="34"/>
  <c r="W303" i="34"/>
  <c r="S301" i="34"/>
  <c r="K58" i="34"/>
  <c r="G42" i="34"/>
  <c r="G43" i="34"/>
  <c r="C92" i="37"/>
  <c r="S306" i="34"/>
  <c r="I61" i="12"/>
  <c r="I39" i="34"/>
  <c r="G36" i="34"/>
  <c r="J68" i="34"/>
  <c r="I41" i="34"/>
  <c r="E43" i="34"/>
  <c r="L42" i="34"/>
  <c r="J73" i="34"/>
  <c r="M67" i="34"/>
  <c r="G74" i="34"/>
  <c r="G70" i="34"/>
  <c r="J70" i="34"/>
  <c r="J42" i="34"/>
  <c r="E53" i="34"/>
  <c r="I42" i="34"/>
  <c r="U306" i="34"/>
  <c r="G66" i="34"/>
  <c r="G67" i="34"/>
  <c r="G38" i="34"/>
  <c r="J74" i="34"/>
  <c r="D41" i="12"/>
  <c r="F64" i="34" s="1"/>
  <c r="F35" i="34"/>
  <c r="P121" i="34"/>
  <c r="L28" i="11"/>
  <c r="L28" i="2" s="1"/>
  <c r="N19" i="34" s="1"/>
  <c r="H90" i="34"/>
  <c r="H118" i="34"/>
  <c r="G120" i="34"/>
  <c r="F32" i="11"/>
  <c r="G122" i="34"/>
  <c r="S114" i="34"/>
  <c r="J86" i="34"/>
  <c r="H32" i="11"/>
  <c r="P122" i="34"/>
  <c r="P118" i="34"/>
  <c r="G116" i="34"/>
  <c r="M84" i="34"/>
  <c r="G91" i="34"/>
  <c r="E32" i="11"/>
  <c r="K86" i="34"/>
  <c r="I32" i="11"/>
  <c r="S120" i="34"/>
  <c r="F91" i="34"/>
  <c r="D32" i="11"/>
  <c r="N107" i="34"/>
  <c r="P114" i="34"/>
  <c r="P115" i="34"/>
  <c r="G121" i="34"/>
  <c r="S127" i="34"/>
  <c r="P116" i="34"/>
  <c r="P120" i="34"/>
  <c r="S122" i="34"/>
  <c r="S90" i="34"/>
  <c r="T19" i="11"/>
  <c r="U19" i="11"/>
  <c r="N52" i="34"/>
  <c r="G53" i="34"/>
  <c r="F58" i="34"/>
  <c r="O74" i="34"/>
  <c r="V296" i="34"/>
  <c r="W302" i="34"/>
  <c r="V303" i="34"/>
  <c r="S298" i="34"/>
  <c r="U302" i="34"/>
  <c r="J66" i="34"/>
  <c r="J58" i="34"/>
  <c r="F74" i="34"/>
  <c r="G58" i="34"/>
  <c r="E70" i="34"/>
  <c r="U300" i="34"/>
  <c r="V298" i="34"/>
  <c r="T297" i="34"/>
  <c r="S300" i="34"/>
  <c r="T296" i="34"/>
  <c r="G41" i="34"/>
  <c r="J67" i="34"/>
  <c r="J72" i="34"/>
  <c r="I74" i="34"/>
  <c r="F73" i="34"/>
  <c r="E92" i="35"/>
  <c r="U263" i="34" s="1"/>
  <c r="E74" i="34"/>
  <c r="M70" i="34"/>
  <c r="F69" i="12"/>
  <c r="P160" i="46"/>
  <c r="E130" i="46"/>
  <c r="E129" i="46"/>
  <c r="P83" i="34"/>
  <c r="N61" i="11"/>
  <c r="F12" i="37" s="1"/>
  <c r="F81" i="37" s="1"/>
  <c r="P90" i="34"/>
  <c r="T181" i="34"/>
  <c r="T182" i="34"/>
  <c r="G69" i="12"/>
  <c r="U181" i="34"/>
  <c r="I52" i="34"/>
  <c r="U199" i="34"/>
  <c r="U200" i="34"/>
  <c r="T199" i="34"/>
  <c r="T200" i="34"/>
  <c r="D69" i="12"/>
  <c r="T264" i="34"/>
  <c r="D38" i="38"/>
  <c r="S100" i="34"/>
  <c r="U69" i="11"/>
  <c r="U513" i="34"/>
  <c r="N73" i="34"/>
  <c r="N47" i="34"/>
  <c r="M73" i="34"/>
  <c r="M66" i="34"/>
  <c r="M74" i="34"/>
  <c r="N41" i="34"/>
  <c r="N39" i="34"/>
  <c r="G19" i="12"/>
  <c r="D32" i="12"/>
  <c r="S134" i="34"/>
  <c r="U32" i="10"/>
  <c r="N68" i="34"/>
  <c r="T61" i="10"/>
  <c r="S152" i="34" s="1"/>
  <c r="U19" i="10"/>
  <c r="S155" i="34"/>
  <c r="T69" i="10"/>
  <c r="U69" i="10"/>
  <c r="M65" i="34"/>
  <c r="O58" i="34"/>
  <c r="P19" i="10"/>
  <c r="O72" i="34"/>
  <c r="M72" i="34"/>
  <c r="V490" i="34"/>
  <c r="V503" i="34"/>
  <c r="V487" i="34"/>
  <c r="C5" i="40"/>
  <c r="T64" i="10"/>
  <c r="O36" i="34"/>
  <c r="S42" i="34"/>
  <c r="T19" i="12"/>
  <c r="O42" i="34"/>
  <c r="C16" i="36"/>
  <c r="S279" i="34" s="1"/>
  <c r="J28" i="12"/>
  <c r="J28" i="2" s="1"/>
  <c r="F39" i="34"/>
  <c r="I72" i="34"/>
  <c r="I68" i="34"/>
  <c r="L36" i="34"/>
  <c r="J39" i="34"/>
  <c r="K41" i="34"/>
  <c r="K38" i="34"/>
  <c r="E69" i="12"/>
  <c r="E39" i="2"/>
  <c r="E41" i="2" s="1"/>
  <c r="S52" i="34"/>
  <c r="T69" i="12"/>
  <c r="U69" i="12"/>
  <c r="O35" i="34"/>
  <c r="M19" i="12"/>
  <c r="M61" i="34"/>
  <c r="J35" i="34"/>
  <c r="F43" i="34"/>
  <c r="I67" i="34"/>
  <c r="L35" i="34"/>
  <c r="J43" i="34"/>
  <c r="K39" i="34"/>
  <c r="E32" i="12"/>
  <c r="H61" i="12"/>
  <c r="S39" i="34"/>
  <c r="J26" i="12"/>
  <c r="J26" i="2" s="1"/>
  <c r="J41" i="34"/>
  <c r="F38" i="34"/>
  <c r="I66" i="34"/>
  <c r="I70" i="34"/>
  <c r="I19" i="12"/>
  <c r="L8" i="45"/>
  <c r="J19" i="12"/>
  <c r="G41" i="12"/>
  <c r="I65" i="34" s="1"/>
  <c r="S38" i="34"/>
  <c r="U296" i="34"/>
  <c r="V300" i="34"/>
  <c r="T302" i="34"/>
  <c r="S303" i="34"/>
  <c r="S299" i="34"/>
  <c r="V299" i="34"/>
  <c r="W299" i="34"/>
  <c r="S302" i="34"/>
  <c r="T299" i="34"/>
  <c r="W297" i="34"/>
  <c r="T300" i="34"/>
  <c r="W296" i="34"/>
  <c r="U298" i="34"/>
  <c r="W298" i="34"/>
  <c r="U301" i="34"/>
  <c r="V301" i="34"/>
  <c r="W301" i="34"/>
  <c r="U303" i="34"/>
  <c r="W300" i="34"/>
  <c r="P52" i="34"/>
  <c r="F92" i="36"/>
  <c r="E127" i="46"/>
  <c r="R161" i="46"/>
  <c r="R167" i="46" s="1"/>
  <c r="R168" i="46" s="1"/>
  <c r="R169" i="46" s="1"/>
  <c r="Q161" i="46"/>
  <c r="Q167" i="46" s="1"/>
  <c r="Q168" i="46" s="1"/>
  <c r="Q169" i="46" s="1"/>
  <c r="J17" i="41"/>
  <c r="V629" i="34"/>
  <c r="P162" i="34"/>
  <c r="U644" i="34"/>
  <c r="T638" i="34"/>
  <c r="V640" i="34"/>
  <c r="T356" i="34"/>
  <c r="F203" i="40"/>
  <c r="F203" i="39" s="1"/>
  <c r="E26" i="40"/>
  <c r="I96" i="40"/>
  <c r="I96" i="39" s="1"/>
  <c r="T631" i="34"/>
  <c r="M79" i="40"/>
  <c r="M79" i="39" s="1"/>
  <c r="V638" i="34"/>
  <c r="J16" i="40"/>
  <c r="J16" i="39" s="1"/>
  <c r="W608" i="34"/>
  <c r="M95" i="40"/>
  <c r="M95" i="39" s="1"/>
  <c r="U631" i="34"/>
  <c r="V641" i="34"/>
  <c r="V626" i="34"/>
  <c r="M46" i="40"/>
  <c r="M46" i="39" s="1"/>
  <c r="H211" i="40"/>
  <c r="H211" i="39" s="1"/>
  <c r="K196" i="40"/>
  <c r="K196" i="39" s="1"/>
  <c r="G96" i="40"/>
  <c r="G96" i="39" s="1"/>
  <c r="M186" i="40"/>
  <c r="M186" i="39" s="1"/>
  <c r="D190" i="40"/>
  <c r="D190" i="39" s="1"/>
  <c r="M169" i="40"/>
  <c r="M169" i="39" s="1"/>
  <c r="J211" i="40"/>
  <c r="J211" i="39" s="1"/>
  <c r="U641" i="34"/>
  <c r="T646" i="34"/>
  <c r="E89" i="35"/>
  <c r="U356" i="34"/>
  <c r="U643" i="34"/>
  <c r="I119" i="40"/>
  <c r="I119" i="39" s="1"/>
  <c r="D85" i="40"/>
  <c r="M187" i="40"/>
  <c r="M187" i="39" s="1"/>
  <c r="M94" i="40"/>
  <c r="M94" i="39" s="1"/>
  <c r="U640" i="34"/>
  <c r="T644" i="34"/>
  <c r="W640" i="34"/>
  <c r="H39" i="40"/>
  <c r="H39" i="39" s="1"/>
  <c r="D96" i="40"/>
  <c r="D96" i="39" s="1"/>
  <c r="G211" i="40"/>
  <c r="G211" i="39" s="1"/>
  <c r="M206" i="40"/>
  <c r="M206" i="39" s="1"/>
  <c r="D125" i="42"/>
  <c r="E125" i="42"/>
  <c r="T505" i="34"/>
  <c r="W487" i="34"/>
  <c r="U503" i="34"/>
  <c r="J58" i="41"/>
  <c r="S666" i="34"/>
  <c r="D63" i="41"/>
  <c r="D147" i="41"/>
  <c r="J51" i="41"/>
  <c r="H96" i="40"/>
  <c r="H96" i="39" s="1"/>
  <c r="I134" i="40"/>
  <c r="S251" i="34"/>
  <c r="M145" i="40"/>
  <c r="M145" i="39" s="1"/>
  <c r="F196" i="40"/>
  <c r="F196" i="39" s="1"/>
  <c r="M188" i="40"/>
  <c r="M188" i="39" s="1"/>
  <c r="H118" i="40"/>
  <c r="H118" i="39" s="1"/>
  <c r="F146" i="40"/>
  <c r="F146" i="39" s="1"/>
  <c r="J136" i="40"/>
  <c r="J136" i="39" s="1"/>
  <c r="D74" i="40"/>
  <c r="D74" i="39" s="1"/>
  <c r="D205" i="40"/>
  <c r="D205" i="39" s="1"/>
  <c r="F11" i="40"/>
  <c r="F11" i="39" s="1"/>
  <c r="F116" i="40"/>
  <c r="G196" i="40"/>
  <c r="G196" i="39" s="1"/>
  <c r="D135" i="40"/>
  <c r="D135" i="39" s="1"/>
  <c r="M189" i="40"/>
  <c r="M189" i="39" s="1"/>
  <c r="M230" i="40"/>
  <c r="M230" i="39" s="1"/>
  <c r="E146" i="40"/>
  <c r="E146" i="39" s="1"/>
  <c r="M193" i="40"/>
  <c r="M193" i="39" s="1"/>
  <c r="I211" i="40"/>
  <c r="I211" i="39" s="1"/>
  <c r="M191" i="40"/>
  <c r="M191" i="39" s="1"/>
  <c r="M204" i="40"/>
  <c r="M204" i="39" s="1"/>
  <c r="M233" i="40"/>
  <c r="M233" i="39" s="1"/>
  <c r="F237" i="40"/>
  <c r="T341" i="34"/>
  <c r="I41" i="40"/>
  <c r="I41" i="39" s="1"/>
  <c r="E116" i="40"/>
  <c r="E202" i="40"/>
  <c r="E202" i="39" s="1"/>
  <c r="C84" i="36"/>
  <c r="I196" i="40"/>
  <c r="I196" i="39" s="1"/>
  <c r="I237" i="40"/>
  <c r="L18" i="40"/>
  <c r="K211" i="40"/>
  <c r="K211" i="39" s="1"/>
  <c r="L180" i="40"/>
  <c r="L180" i="39" s="1"/>
  <c r="H74" i="40"/>
  <c r="H74" i="39" s="1"/>
  <c r="M84" i="40"/>
  <c r="M84" i="39" s="1"/>
  <c r="I85" i="40"/>
  <c r="I85" i="39" s="1"/>
  <c r="E21" i="40"/>
  <c r="E21" i="39" s="1"/>
  <c r="S231" i="34" s="1"/>
  <c r="G132" i="40"/>
  <c r="G132" i="39" s="1"/>
  <c r="F26" i="40"/>
  <c r="M116" i="40"/>
  <c r="M116" i="39" s="1"/>
  <c r="E196" i="40"/>
  <c r="E196" i="39" s="1"/>
  <c r="H196" i="40"/>
  <c r="H196" i="39" s="1"/>
  <c r="M229" i="40"/>
  <c r="M229" i="39" s="1"/>
  <c r="J196" i="40"/>
  <c r="J196" i="39" s="1"/>
  <c r="L211" i="40"/>
  <c r="L211" i="39" s="1"/>
  <c r="M201" i="40"/>
  <c r="M201" i="39" s="1"/>
  <c r="M234" i="40"/>
  <c r="M234" i="39" s="1"/>
  <c r="E237" i="40"/>
  <c r="E237" i="39" s="1"/>
  <c r="H237" i="40"/>
  <c r="K179" i="40"/>
  <c r="K179" i="39" s="1"/>
  <c r="M194" i="40"/>
  <c r="M194" i="39" s="1"/>
  <c r="M195" i="40"/>
  <c r="M195" i="39" s="1"/>
  <c r="M192" i="40"/>
  <c r="M192" i="39" s="1"/>
  <c r="M235" i="40"/>
  <c r="M235" i="39" s="1"/>
  <c r="M236" i="40"/>
  <c r="M236" i="39" s="1"/>
  <c r="M232" i="40"/>
  <c r="M232" i="39" s="1"/>
  <c r="M139" i="40"/>
  <c r="M139" i="39" s="1"/>
  <c r="K137" i="40"/>
  <c r="K137" i="39" s="1"/>
  <c r="M140" i="40"/>
  <c r="M140" i="39" s="1"/>
  <c r="M165" i="40"/>
  <c r="M165" i="39" s="1"/>
  <c r="L163" i="40"/>
  <c r="L163" i="39" s="1"/>
  <c r="M164" i="40"/>
  <c r="M164" i="39" s="1"/>
  <c r="K162" i="40"/>
  <c r="K162" i="39" s="1"/>
  <c r="U610" i="34"/>
  <c r="I85" i="36"/>
  <c r="Q170" i="34"/>
  <c r="Q163" i="34"/>
  <c r="O41" i="10"/>
  <c r="Q160" i="34" s="1"/>
  <c r="H116" i="34"/>
  <c r="H115" i="34"/>
  <c r="S405" i="34"/>
  <c r="H83" i="34"/>
  <c r="S84" i="34"/>
  <c r="S118" i="34"/>
  <c r="T61" i="11"/>
  <c r="H122" i="34"/>
  <c r="H120" i="34"/>
  <c r="U406" i="34"/>
  <c r="H121" i="34"/>
  <c r="S112" i="34"/>
  <c r="S115" i="34"/>
  <c r="E100" i="34"/>
  <c r="D69" i="11"/>
  <c r="M120" i="34"/>
  <c r="O84" i="34"/>
  <c r="F64" i="10"/>
  <c r="M19" i="40"/>
  <c r="M19" i="39" s="1"/>
  <c r="K17" i="40"/>
  <c r="K17" i="39" s="1"/>
  <c r="W631" i="34"/>
  <c r="V631" i="34"/>
  <c r="L77" i="40"/>
  <c r="L77" i="39" s="1"/>
  <c r="K76" i="40"/>
  <c r="D91" i="40"/>
  <c r="D91" i="39" s="1"/>
  <c r="J86" i="40"/>
  <c r="J86" i="39" s="1"/>
  <c r="M90" i="40"/>
  <c r="M90" i="39" s="1"/>
  <c r="K87" i="40"/>
  <c r="K87" i="39" s="1"/>
  <c r="M89" i="40"/>
  <c r="M89" i="39" s="1"/>
  <c r="L88" i="40"/>
  <c r="L88" i="39" s="1"/>
  <c r="J75" i="40"/>
  <c r="J75" i="39" s="1"/>
  <c r="M78" i="40"/>
  <c r="M78" i="39" s="1"/>
  <c r="W629" i="34"/>
  <c r="L44" i="40"/>
  <c r="L44" i="39" s="1"/>
  <c r="J42" i="40"/>
  <c r="J42" i="39" s="1"/>
  <c r="K43" i="40"/>
  <c r="K43" i="39" s="1"/>
  <c r="M45" i="40"/>
  <c r="M45" i="39" s="1"/>
  <c r="L66" i="34"/>
  <c r="L68" i="34"/>
  <c r="L73" i="34"/>
  <c r="J41" i="12"/>
  <c r="L64" i="34" s="1"/>
  <c r="L67" i="34"/>
  <c r="L72" i="34"/>
  <c r="N59" i="34"/>
  <c r="N58" i="34"/>
  <c r="S263" i="34"/>
  <c r="S262" i="34"/>
  <c r="S74" i="34"/>
  <c r="S65" i="34"/>
  <c r="S67" i="34"/>
  <c r="S73" i="34"/>
  <c r="S64" i="34"/>
  <c r="S66" i="34"/>
  <c r="S68" i="34"/>
  <c r="U198" i="34"/>
  <c r="U274" i="34"/>
  <c r="E33" i="36"/>
  <c r="U294" i="34" s="1"/>
  <c r="K61" i="12"/>
  <c r="S295" i="34" s="1"/>
  <c r="H69" i="12"/>
  <c r="L74" i="34"/>
  <c r="H38" i="34"/>
  <c r="L58" i="34"/>
  <c r="O41" i="34"/>
  <c r="O43" i="34"/>
  <c r="O70" i="34"/>
  <c r="O68" i="34"/>
  <c r="O65" i="34"/>
  <c r="C4" i="48"/>
  <c r="C4" i="49"/>
  <c r="C4" i="40"/>
  <c r="S72" i="34"/>
  <c r="O39" i="34"/>
  <c r="L65" i="34"/>
  <c r="F52" i="34"/>
  <c r="F53" i="34"/>
  <c r="J52" i="34"/>
  <c r="I69" i="12"/>
  <c r="E35" i="34"/>
  <c r="C61" i="12"/>
  <c r="E36" i="34"/>
  <c r="E41" i="34"/>
  <c r="D19" i="12"/>
  <c r="H41" i="34"/>
  <c r="H35" i="34"/>
  <c r="H42" i="34"/>
  <c r="C41" i="12"/>
  <c r="E65" i="34" s="1"/>
  <c r="E66" i="34"/>
  <c r="E68" i="34"/>
  <c r="E67" i="34"/>
  <c r="E72" i="34"/>
  <c r="H67" i="34"/>
  <c r="H72" i="34"/>
  <c r="H74" i="34"/>
  <c r="F39" i="2"/>
  <c r="F41" i="2" s="1"/>
  <c r="H68" i="34"/>
  <c r="H70" i="34"/>
  <c r="H66" i="34"/>
  <c r="F41" i="12"/>
  <c r="H73" i="34"/>
  <c r="K70" i="34"/>
  <c r="K73" i="34"/>
  <c r="H59" i="34"/>
  <c r="H58" i="34"/>
  <c r="S70" i="34"/>
  <c r="I36" i="34"/>
  <c r="E92" i="36"/>
  <c r="F70" i="34"/>
  <c r="F67" i="34"/>
  <c r="T306" i="34"/>
  <c r="E39" i="34"/>
  <c r="D61" i="12"/>
  <c r="F41" i="34"/>
  <c r="E38" i="36"/>
  <c r="E40" i="36" s="1"/>
  <c r="D38" i="36"/>
  <c r="D40" i="36" s="1"/>
  <c r="E59" i="34"/>
  <c r="H19" i="12"/>
  <c r="D92" i="35"/>
  <c r="E19" i="12"/>
  <c r="C3" i="48"/>
  <c r="C3" i="49"/>
  <c r="C5" i="49"/>
  <c r="C5" i="48"/>
  <c r="N64" i="34"/>
  <c r="G65" i="34"/>
  <c r="I35" i="34"/>
  <c r="C38" i="36"/>
  <c r="F66" i="34"/>
  <c r="H52" i="34"/>
  <c r="M52" i="34"/>
  <c r="L53" i="34"/>
  <c r="I32" i="12"/>
  <c r="I38" i="34"/>
  <c r="F19" i="12"/>
  <c r="P59" i="34"/>
  <c r="S59" i="34"/>
  <c r="U280" i="34"/>
  <c r="U278" i="34"/>
  <c r="L69" i="12"/>
  <c r="S53" i="34"/>
  <c r="L69" i="11"/>
  <c r="S181" i="34"/>
  <c r="C39" i="36"/>
  <c r="V199" i="34"/>
  <c r="V200" i="34"/>
  <c r="G38" i="38"/>
  <c r="W579" i="34" s="1"/>
  <c r="Q59" i="34"/>
  <c r="F38" i="36"/>
  <c r="V304" i="34" s="1"/>
  <c r="P53" i="34"/>
  <c r="G92" i="37"/>
  <c r="P154" i="34"/>
  <c r="Q154" i="34"/>
  <c r="Q155" i="34"/>
  <c r="W264" i="34"/>
  <c r="W199" i="34"/>
  <c r="J20" i="45"/>
  <c r="F16" i="36"/>
  <c r="V279" i="34" s="1"/>
  <c r="Q47" i="34"/>
  <c r="P62" i="34"/>
  <c r="V280" i="34"/>
  <c r="F16" i="37"/>
  <c r="V384" i="34" s="1"/>
  <c r="P48" i="34"/>
  <c r="G38" i="36"/>
  <c r="G92" i="35"/>
  <c r="Q52" i="34"/>
  <c r="Q53" i="34"/>
  <c r="G92" i="36"/>
  <c r="W368" i="34" s="1"/>
  <c r="V182" i="34"/>
  <c r="Q25" i="34"/>
  <c r="G16" i="35"/>
  <c r="Q27" i="34"/>
  <c r="S41" i="34"/>
  <c r="S36" i="34"/>
  <c r="N103" i="46"/>
  <c r="N161" i="46" s="1"/>
  <c r="N160" i="46" s="1"/>
  <c r="M209" i="40"/>
  <c r="M209" i="39" s="1"/>
  <c r="S611" i="34"/>
  <c r="T608" i="34"/>
  <c r="S458" i="34"/>
  <c r="H135" i="40"/>
  <c r="H135" i="39" s="1"/>
  <c r="N38" i="34"/>
  <c r="O64" i="34"/>
  <c r="N74" i="34"/>
  <c r="M64" i="34"/>
  <c r="Q63" i="34"/>
  <c r="P46" i="34"/>
  <c r="S278" i="34"/>
  <c r="S280" i="34"/>
  <c r="J92" i="36"/>
  <c r="J92" i="37"/>
  <c r="J94" i="37" s="1"/>
  <c r="J92" i="35"/>
  <c r="J38" i="36"/>
  <c r="D16" i="37"/>
  <c r="T383" i="34" s="1"/>
  <c r="N48" i="34"/>
  <c r="L32" i="12"/>
  <c r="N70" i="34"/>
  <c r="O48" i="34"/>
  <c r="O47" i="34"/>
  <c r="G38" i="40"/>
  <c r="G38" i="39" s="1"/>
  <c r="D41" i="40"/>
  <c r="D41" i="39" s="1"/>
  <c r="S631" i="34"/>
  <c r="S629" i="34"/>
  <c r="L138" i="40"/>
  <c r="L138" i="39" s="1"/>
  <c r="U295" i="34"/>
  <c r="O73" i="34"/>
  <c r="N65" i="34"/>
  <c r="U279" i="34"/>
  <c r="P47" i="34"/>
  <c r="O65" i="12"/>
  <c r="N61" i="34"/>
  <c r="N35" i="34"/>
  <c r="M39" i="34"/>
  <c r="W183" i="34"/>
  <c r="O46" i="34"/>
  <c r="D16" i="36"/>
  <c r="F75" i="42"/>
  <c r="J74" i="42"/>
  <c r="H97" i="42"/>
  <c r="T274" i="34"/>
  <c r="O50" i="34"/>
  <c r="U277" i="34"/>
  <c r="O66" i="34"/>
  <c r="N42" i="34"/>
  <c r="M38" i="34"/>
  <c r="N67" i="34"/>
  <c r="Q111" i="34"/>
  <c r="N62" i="34"/>
  <c r="N46" i="34"/>
  <c r="M62" i="34"/>
  <c r="W569" i="34"/>
  <c r="M126" i="40"/>
  <c r="M126" i="39" s="1"/>
  <c r="E175" i="41"/>
  <c r="C5" i="42"/>
  <c r="U512" i="34"/>
  <c r="S485" i="34"/>
  <c r="W513" i="34"/>
  <c r="W490" i="34"/>
  <c r="V511" i="34"/>
  <c r="V509" i="34"/>
  <c r="T507" i="34"/>
  <c r="U511" i="34"/>
  <c r="U506" i="34"/>
  <c r="S504" i="34"/>
  <c r="V486" i="34"/>
  <c r="V512" i="34"/>
  <c r="S510" i="34"/>
  <c r="U485" i="34"/>
  <c r="O62" i="34"/>
  <c r="P65" i="11"/>
  <c r="H16" i="35"/>
  <c r="Q65" i="2"/>
  <c r="P65" i="12"/>
  <c r="J135" i="41"/>
  <c r="J161" i="41"/>
  <c r="T280" i="34"/>
  <c r="M32" i="12"/>
  <c r="N66" i="34"/>
  <c r="O65" i="11"/>
  <c r="O65" i="10" s="1"/>
  <c r="O61" i="34"/>
  <c r="J64" i="34"/>
  <c r="T514" i="34"/>
  <c r="D40" i="38"/>
  <c r="D45" i="38" s="1"/>
  <c r="K72" i="34"/>
  <c r="K67" i="34"/>
  <c r="F32" i="12"/>
  <c r="F65" i="34"/>
  <c r="N69" i="12"/>
  <c r="M101" i="34"/>
  <c r="N106" i="34"/>
  <c r="O155" i="34"/>
  <c r="V306" i="34"/>
  <c r="K66" i="34"/>
  <c r="G32" i="12"/>
  <c r="H164" i="34"/>
  <c r="F41" i="10"/>
  <c r="H161" i="34" s="1"/>
  <c r="H32" i="12"/>
  <c r="J161" i="40"/>
  <c r="J161" i="39" s="1"/>
  <c r="O161" i="46"/>
  <c r="H43" i="34"/>
  <c r="K74" i="34"/>
  <c r="K69" i="12"/>
  <c r="G89" i="35"/>
  <c r="F73" i="36"/>
  <c r="D176" i="40"/>
  <c r="D176" i="39" s="1"/>
  <c r="F92" i="35"/>
  <c r="I41" i="12"/>
  <c r="K65" i="34" s="1"/>
  <c r="K68" i="34"/>
  <c r="O69" i="12"/>
  <c r="E17" i="42"/>
  <c r="F92" i="37"/>
  <c r="J34" i="41"/>
  <c r="H121" i="42"/>
  <c r="H125" i="42" s="1"/>
  <c r="T360" i="34"/>
  <c r="D90" i="36"/>
  <c r="O53" i="34"/>
  <c r="H132" i="34"/>
  <c r="F61" i="10"/>
  <c r="H152" i="34" s="1"/>
  <c r="F132" i="34"/>
  <c r="M69" i="12"/>
  <c r="L52" i="34"/>
  <c r="G131" i="34"/>
  <c r="O52" i="34"/>
  <c r="D92" i="37"/>
  <c r="I20" i="45"/>
  <c r="C40" i="35"/>
  <c r="S199" i="34"/>
  <c r="D56" i="41"/>
  <c r="D147" i="42"/>
  <c r="C39" i="37"/>
  <c r="T61" i="12"/>
  <c r="I73" i="36"/>
  <c r="J42" i="42"/>
  <c r="H147" i="42"/>
  <c r="M103" i="46"/>
  <c r="M161" i="46" s="1"/>
  <c r="M160" i="46" s="1"/>
  <c r="N143" i="34"/>
  <c r="D24" i="38"/>
  <c r="L61" i="11"/>
  <c r="D12" i="37" s="1"/>
  <c r="D15" i="37" s="1"/>
  <c r="J100" i="42"/>
  <c r="J102" i="42" s="1"/>
  <c r="J136" i="42"/>
  <c r="C92" i="36"/>
  <c r="T28" i="11"/>
  <c r="S146" i="34"/>
  <c r="G97" i="42"/>
  <c r="S35" i="34"/>
  <c r="P69" i="12"/>
  <c r="H92" i="35"/>
  <c r="H92" i="37"/>
  <c r="H94" i="37" s="1"/>
  <c r="J147" i="42"/>
  <c r="I38" i="36"/>
  <c r="I92" i="35"/>
  <c r="I92" i="37"/>
  <c r="I94" i="37" s="1"/>
  <c r="J113" i="41"/>
  <c r="W563" i="34"/>
  <c r="H147" i="41"/>
  <c r="I35" i="41"/>
  <c r="J67" i="41"/>
  <c r="I70" i="41"/>
  <c r="J147" i="41"/>
  <c r="J97" i="41"/>
  <c r="H63" i="41"/>
  <c r="U243" i="34"/>
  <c r="V605" i="34"/>
  <c r="V607" i="34"/>
  <c r="H56" i="41"/>
  <c r="J52" i="41"/>
  <c r="I49" i="42"/>
  <c r="J136" i="41"/>
  <c r="J121" i="41"/>
  <c r="J95" i="42"/>
  <c r="J97" i="42" s="1"/>
  <c r="J55" i="41"/>
  <c r="E142" i="42"/>
  <c r="I122" i="41"/>
  <c r="D97" i="41"/>
  <c r="D125" i="41"/>
  <c r="D97" i="42"/>
  <c r="D136" i="42"/>
  <c r="J32" i="41"/>
  <c r="D35" i="41"/>
  <c r="J59" i="41"/>
  <c r="I94" i="42"/>
  <c r="D136" i="41"/>
  <c r="J162" i="42"/>
  <c r="I53" i="41"/>
  <c r="J53" i="41" s="1"/>
  <c r="J48" i="42"/>
  <c r="J161" i="42"/>
  <c r="L103" i="46"/>
  <c r="L161" i="46" s="1"/>
  <c r="L160" i="46" s="1"/>
  <c r="C38" i="37"/>
  <c r="Q132" i="34"/>
  <c r="Q138" i="34"/>
  <c r="Q131" i="34"/>
  <c r="P133" i="34"/>
  <c r="G69" i="10"/>
  <c r="G162" i="34"/>
  <c r="H143" i="34"/>
  <c r="J169" i="34"/>
  <c r="P150" i="34"/>
  <c r="Q166" i="34"/>
  <c r="I139" i="34"/>
  <c r="G170" i="34"/>
  <c r="N163" i="34"/>
  <c r="H146" i="34"/>
  <c r="G137" i="34"/>
  <c r="S138" i="34"/>
  <c r="H145" i="34"/>
  <c r="C38" i="38"/>
  <c r="S514" i="34" s="1"/>
  <c r="T19" i="10"/>
  <c r="S131" i="34"/>
  <c r="J163" i="34"/>
  <c r="F131" i="34"/>
  <c r="H134" i="34"/>
  <c r="N169" i="34"/>
  <c r="H149" i="34"/>
  <c r="S132" i="34"/>
  <c r="F155" i="34"/>
  <c r="F57" i="2"/>
  <c r="N168" i="34"/>
  <c r="N18" i="10"/>
  <c r="J170" i="34"/>
  <c r="E135" i="34"/>
  <c r="I154" i="34"/>
  <c r="Q162" i="34"/>
  <c r="K142" i="34"/>
  <c r="H69" i="10"/>
  <c r="G166" i="34"/>
  <c r="N166" i="34"/>
  <c r="P148" i="34"/>
  <c r="F31" i="2"/>
  <c r="H17" i="34" s="1"/>
  <c r="N164" i="34"/>
  <c r="J168" i="34"/>
  <c r="K145" i="34"/>
  <c r="L69" i="10"/>
  <c r="G169" i="34"/>
  <c r="N162" i="34"/>
  <c r="G31" i="2"/>
  <c r="I18" i="34" s="1"/>
  <c r="D69" i="10"/>
  <c r="T18" i="2"/>
  <c r="S21" i="34" s="1"/>
  <c r="M139" i="34"/>
  <c r="L19" i="12"/>
  <c r="N36" i="34"/>
  <c r="M36" i="34"/>
  <c r="M35" i="34"/>
  <c r="N90" i="34"/>
  <c r="O61" i="10"/>
  <c r="E12" i="36"/>
  <c r="M41" i="34"/>
  <c r="K19" i="12"/>
  <c r="R69" i="12"/>
  <c r="Q69" i="12"/>
  <c r="H92" i="36"/>
  <c r="I92" i="36"/>
  <c r="C24" i="38"/>
  <c r="C24" i="35" s="1"/>
  <c r="S143" i="34"/>
  <c r="S142" i="34"/>
  <c r="T41" i="10"/>
  <c r="S149" i="34"/>
  <c r="S145" i="34"/>
  <c r="T57" i="2"/>
  <c r="P164" i="34"/>
  <c r="J143" i="34"/>
  <c r="G135" i="34"/>
  <c r="K131" i="34"/>
  <c r="S137" i="34"/>
  <c r="P166" i="34"/>
  <c r="J145" i="34"/>
  <c r="G134" i="34"/>
  <c r="K138" i="34"/>
  <c r="P170" i="34"/>
  <c r="O148" i="34"/>
  <c r="M18" i="10"/>
  <c r="O131" i="34" s="1"/>
  <c r="S139" i="34"/>
  <c r="M14" i="2"/>
  <c r="O16" i="34" s="1"/>
  <c r="N139" i="34"/>
  <c r="P169" i="34"/>
  <c r="J137" i="34"/>
  <c r="S135" i="34"/>
  <c r="P163" i="34"/>
  <c r="T515" i="34"/>
  <c r="O133" i="34"/>
  <c r="H155" i="34"/>
  <c r="P168" i="34"/>
  <c r="J146" i="34"/>
  <c r="J149" i="34"/>
  <c r="W489" i="34"/>
  <c r="T512" i="34"/>
  <c r="T487" i="34"/>
  <c r="V507" i="34"/>
  <c r="U507" i="34"/>
  <c r="V510" i="34"/>
  <c r="S490" i="34"/>
  <c r="W511" i="34"/>
  <c r="U488" i="34"/>
  <c r="U490" i="34"/>
  <c r="S486" i="34"/>
  <c r="W510" i="34"/>
  <c r="W507" i="34"/>
  <c r="W504" i="34"/>
  <c r="T508" i="34"/>
  <c r="S509" i="34"/>
  <c r="S505" i="34"/>
  <c r="U508" i="34"/>
  <c r="T488" i="34"/>
  <c r="W506" i="34"/>
  <c r="V505" i="34"/>
  <c r="T489" i="34"/>
  <c r="T486" i="34"/>
  <c r="S511" i="34"/>
  <c r="S508" i="34"/>
  <c r="V488" i="34"/>
  <c r="W503" i="34"/>
  <c r="U487" i="34"/>
  <c r="S487" i="34"/>
  <c r="V506" i="34"/>
  <c r="T513" i="34"/>
  <c r="W508" i="34"/>
  <c r="U504" i="34"/>
  <c r="U489" i="34"/>
  <c r="U486" i="34"/>
  <c r="T511" i="34"/>
  <c r="S489" i="34"/>
  <c r="T510" i="34"/>
  <c r="W505" i="34"/>
  <c r="T490" i="34"/>
  <c r="W509" i="34"/>
  <c r="V485" i="34"/>
  <c r="U510" i="34"/>
  <c r="S506" i="34"/>
  <c r="S503" i="34"/>
  <c r="S488" i="34"/>
  <c r="W512" i="34"/>
  <c r="V489" i="34"/>
  <c r="W485" i="34"/>
  <c r="U505" i="34"/>
  <c r="S513" i="34"/>
  <c r="S512" i="34"/>
  <c r="V504" i="34"/>
  <c r="S507" i="34"/>
  <c r="T504" i="34"/>
  <c r="W486" i="34"/>
  <c r="V508" i="34"/>
  <c r="T485" i="34"/>
  <c r="W488" i="34"/>
  <c r="V513" i="34"/>
  <c r="T509" i="34"/>
  <c r="T506" i="34"/>
  <c r="T503" i="34"/>
  <c r="Q135" i="34"/>
  <c r="P32" i="10"/>
  <c r="S162" i="34"/>
  <c r="G92" i="38"/>
  <c r="W578" i="34" s="1"/>
  <c r="P69" i="10"/>
  <c r="S163" i="34"/>
  <c r="S169" i="34"/>
  <c r="S168" i="34"/>
  <c r="T39" i="2"/>
  <c r="T41" i="2" s="1"/>
  <c r="S164" i="34"/>
  <c r="S170" i="34"/>
  <c r="E164" i="34"/>
  <c r="E154" i="34"/>
  <c r="N69" i="10"/>
  <c r="C41" i="10"/>
  <c r="E163" i="34"/>
  <c r="L155" i="34"/>
  <c r="V516" i="34"/>
  <c r="T579" i="34"/>
  <c r="J61" i="10"/>
  <c r="L152" i="34" s="1"/>
  <c r="H131" i="34"/>
  <c r="J69" i="10"/>
  <c r="E166" i="34"/>
  <c r="K170" i="34"/>
  <c r="M155" i="34"/>
  <c r="K143" i="34"/>
  <c r="L138" i="34"/>
  <c r="C39" i="2"/>
  <c r="C41" i="2" s="1"/>
  <c r="E169" i="34"/>
  <c r="K163" i="34"/>
  <c r="M154" i="34"/>
  <c r="K146" i="34"/>
  <c r="F18" i="2"/>
  <c r="H21" i="34" s="1"/>
  <c r="L131" i="34"/>
  <c r="O161" i="34"/>
  <c r="E168" i="34"/>
  <c r="N148" i="34"/>
  <c r="K162" i="34"/>
  <c r="S516" i="34"/>
  <c r="N160" i="34"/>
  <c r="K149" i="34"/>
  <c r="C61" i="10"/>
  <c r="E152" i="34" s="1"/>
  <c r="M135" i="34"/>
  <c r="E92" i="38"/>
  <c r="E138" i="34"/>
  <c r="E162" i="34"/>
  <c r="F146" i="34"/>
  <c r="K164" i="34"/>
  <c r="K148" i="34"/>
  <c r="M134" i="34"/>
  <c r="F92" i="38"/>
  <c r="V578" i="34" s="1"/>
  <c r="C92" i="38"/>
  <c r="S578" i="34" s="1"/>
  <c r="F32" i="10"/>
  <c r="E155" i="34"/>
  <c r="O139" i="34"/>
  <c r="I19" i="10"/>
  <c r="J131" i="34"/>
  <c r="F162" i="34"/>
  <c r="F69" i="10"/>
  <c r="N32" i="10"/>
  <c r="D41" i="10"/>
  <c r="E137" i="34"/>
  <c r="O135" i="34"/>
  <c r="J138" i="34"/>
  <c r="F170" i="34"/>
  <c r="E69" i="10"/>
  <c r="E32" i="10"/>
  <c r="D39" i="2"/>
  <c r="D41" i="2" s="1"/>
  <c r="H61" i="10"/>
  <c r="J152" i="34" s="1"/>
  <c r="F166" i="34"/>
  <c r="F168" i="34"/>
  <c r="G155" i="34"/>
  <c r="F164" i="34"/>
  <c r="G32" i="10"/>
  <c r="K69" i="10"/>
  <c r="M143" i="34"/>
  <c r="I137" i="34"/>
  <c r="H57" i="2"/>
  <c r="G163" i="34"/>
  <c r="L135" i="34"/>
  <c r="L132" i="34"/>
  <c r="O154" i="34"/>
  <c r="L163" i="34"/>
  <c r="C18" i="2"/>
  <c r="E33" i="34" s="1"/>
  <c r="K32" i="10"/>
  <c r="F138" i="34"/>
  <c r="Q137" i="34"/>
  <c r="M145" i="34"/>
  <c r="I131" i="34"/>
  <c r="H19" i="10"/>
  <c r="G168" i="34"/>
  <c r="L134" i="34"/>
  <c r="L137" i="34"/>
  <c r="L164" i="34"/>
  <c r="F38" i="38"/>
  <c r="O69" i="10"/>
  <c r="D18" i="2"/>
  <c r="F33" i="34" s="1"/>
  <c r="J32" i="10"/>
  <c r="F143" i="34"/>
  <c r="M149" i="34"/>
  <c r="I138" i="34"/>
  <c r="E19" i="10"/>
  <c r="L160" i="34"/>
  <c r="F148" i="34"/>
  <c r="M142" i="34"/>
  <c r="I132" i="34"/>
  <c r="J19" i="10"/>
  <c r="D19" i="10"/>
  <c r="K57" i="2"/>
  <c r="F145" i="34"/>
  <c r="G19" i="10"/>
  <c r="M146" i="34"/>
  <c r="P142" i="34"/>
  <c r="L168" i="34"/>
  <c r="M32" i="10"/>
  <c r="F142" i="34"/>
  <c r="M148" i="34"/>
  <c r="N135" i="34"/>
  <c r="H160" i="34"/>
  <c r="F149" i="34"/>
  <c r="I170" i="34"/>
  <c r="Q152" i="34"/>
  <c r="L32" i="10"/>
  <c r="M152" i="34"/>
  <c r="S484" i="34"/>
  <c r="C12" i="38"/>
  <c r="J161" i="34"/>
  <c r="J160" i="34"/>
  <c r="K160" i="34"/>
  <c r="K161" i="34"/>
  <c r="G160" i="34"/>
  <c r="G161" i="34"/>
  <c r="M132" i="34"/>
  <c r="I143" i="34"/>
  <c r="N142" i="34"/>
  <c r="I169" i="34"/>
  <c r="H163" i="34"/>
  <c r="M161" i="34"/>
  <c r="F135" i="34"/>
  <c r="H137" i="34"/>
  <c r="T32" i="10"/>
  <c r="C31" i="2"/>
  <c r="E18" i="34" s="1"/>
  <c r="L57" i="2"/>
  <c r="G57" i="2"/>
  <c r="M138" i="34"/>
  <c r="N149" i="34"/>
  <c r="T577" i="34"/>
  <c r="I162" i="34"/>
  <c r="D31" i="2"/>
  <c r="P139" i="34"/>
  <c r="P146" i="34"/>
  <c r="F139" i="34"/>
  <c r="L61" i="10"/>
  <c r="G41" i="10"/>
  <c r="L18" i="2"/>
  <c r="N15" i="34" s="1"/>
  <c r="N146" i="34"/>
  <c r="H170" i="34"/>
  <c r="P134" i="34"/>
  <c r="L19" i="10"/>
  <c r="M137" i="34"/>
  <c r="I142" i="34"/>
  <c r="P160" i="34"/>
  <c r="I166" i="34"/>
  <c r="H169" i="34"/>
  <c r="P135" i="34"/>
  <c r="P145" i="34"/>
  <c r="N138" i="34"/>
  <c r="M131" i="34"/>
  <c r="I145" i="34"/>
  <c r="I163" i="34"/>
  <c r="K19" i="10"/>
  <c r="H162" i="34"/>
  <c r="N57" i="2"/>
  <c r="P143" i="34"/>
  <c r="O149" i="34"/>
  <c r="N132" i="34"/>
  <c r="G39" i="2"/>
  <c r="G41" i="2" s="1"/>
  <c r="C39" i="38"/>
  <c r="I149" i="34"/>
  <c r="N145" i="34"/>
  <c r="O32" i="10"/>
  <c r="H166" i="34"/>
  <c r="H138" i="34"/>
  <c r="Q139" i="34"/>
  <c r="N137" i="34"/>
  <c r="G18" i="2"/>
  <c r="S154" i="34"/>
  <c r="F137" i="34"/>
  <c r="D32" i="10"/>
  <c r="I32" i="10"/>
  <c r="K135" i="34"/>
  <c r="K137" i="34"/>
  <c r="K134" i="34"/>
  <c r="K139" i="34"/>
  <c r="O115" i="34"/>
  <c r="S408" i="34"/>
  <c r="E69" i="11"/>
  <c r="M41" i="11"/>
  <c r="O112" i="34" s="1"/>
  <c r="E64" i="10"/>
  <c r="O120" i="34"/>
  <c r="G100" i="34"/>
  <c r="F86" i="34"/>
  <c r="U398" i="34"/>
  <c r="M61" i="11"/>
  <c r="U379" i="34" s="1"/>
  <c r="S129" i="34"/>
  <c r="M39" i="2"/>
  <c r="M41" i="2" s="1"/>
  <c r="O122" i="34"/>
  <c r="F118" i="34"/>
  <c r="F107" i="34"/>
  <c r="L121" i="34"/>
  <c r="T404" i="34"/>
  <c r="L106" i="34"/>
  <c r="S113" i="34"/>
  <c r="S116" i="34"/>
  <c r="L107" i="34"/>
  <c r="O121" i="34"/>
  <c r="F121" i="34"/>
  <c r="O83" i="34"/>
  <c r="F106" i="34"/>
  <c r="V408" i="34"/>
  <c r="G106" i="34"/>
  <c r="O106" i="34"/>
  <c r="Q100" i="34"/>
  <c r="P69" i="11"/>
  <c r="O19" i="11"/>
  <c r="P19" i="11"/>
  <c r="J61" i="11"/>
  <c r="T398" i="34"/>
  <c r="E86" i="34"/>
  <c r="O107" i="34"/>
  <c r="T69" i="11"/>
  <c r="P88" i="34"/>
  <c r="N31" i="11"/>
  <c r="P87" i="34" s="1"/>
  <c r="F89" i="34"/>
  <c r="S402" i="34"/>
  <c r="T408" i="34"/>
  <c r="V403" i="34"/>
  <c r="W401" i="34"/>
  <c r="S407" i="34"/>
  <c r="V407" i="34"/>
  <c r="M90" i="34"/>
  <c r="N94" i="34"/>
  <c r="H86" i="34"/>
  <c r="T405" i="34"/>
  <c r="U402" i="34"/>
  <c r="W400" i="34"/>
  <c r="W408" i="34"/>
  <c r="W406" i="34"/>
  <c r="S398" i="34"/>
  <c r="W399" i="34"/>
  <c r="M83" i="34"/>
  <c r="M114" i="34"/>
  <c r="K18" i="2"/>
  <c r="P96" i="34"/>
  <c r="H91" i="34"/>
  <c r="S400" i="34"/>
  <c r="V402" i="34"/>
  <c r="U403" i="34"/>
  <c r="W398" i="34"/>
  <c r="S399" i="34"/>
  <c r="V399" i="34"/>
  <c r="U401" i="34"/>
  <c r="S383" i="34"/>
  <c r="H87" i="34"/>
  <c r="T407" i="34"/>
  <c r="W404" i="34"/>
  <c r="W405" i="34"/>
  <c r="V401" i="34"/>
  <c r="V400" i="34"/>
  <c r="T401" i="34"/>
  <c r="S403" i="34"/>
  <c r="L19" i="11"/>
  <c r="F83" i="34"/>
  <c r="U399" i="34"/>
  <c r="U400" i="34"/>
  <c r="U408" i="34"/>
  <c r="S404" i="34"/>
  <c r="T402" i="34"/>
  <c r="W402" i="34"/>
  <c r="V404" i="34"/>
  <c r="K61" i="11"/>
  <c r="C12" i="37" s="1"/>
  <c r="C15" i="37" s="1"/>
  <c r="M96" i="34"/>
  <c r="F84" i="34"/>
  <c r="T400" i="34"/>
  <c r="T403" i="34"/>
  <c r="V398" i="34"/>
  <c r="V406" i="34"/>
  <c r="W403" i="34"/>
  <c r="U404" i="34"/>
  <c r="T406" i="34"/>
  <c r="K16" i="34"/>
  <c r="K39" i="2"/>
  <c r="K41" i="2" s="1"/>
  <c r="M110" i="34"/>
  <c r="F90" i="34"/>
  <c r="U407" i="34"/>
  <c r="V405" i="34"/>
  <c r="S401" i="34"/>
  <c r="T399" i="34"/>
  <c r="U405" i="34"/>
  <c r="S406" i="34"/>
  <c r="W407" i="34"/>
  <c r="Q88" i="34"/>
  <c r="Q90" i="34"/>
  <c r="H106" i="34"/>
  <c r="G41" i="11"/>
  <c r="I113" i="34" s="1"/>
  <c r="O41" i="11"/>
  <c r="Q112" i="34" s="1"/>
  <c r="S101" i="34"/>
  <c r="I116" i="34"/>
  <c r="E31" i="2"/>
  <c r="H64" i="10"/>
  <c r="E16" i="34"/>
  <c r="I121" i="34"/>
  <c r="Q122" i="34"/>
  <c r="O95" i="34"/>
  <c r="I118" i="34"/>
  <c r="Q120" i="34"/>
  <c r="I115" i="34"/>
  <c r="Q116" i="34"/>
  <c r="P109" i="34"/>
  <c r="T379" i="34"/>
  <c r="Q121" i="34"/>
  <c r="P110" i="34"/>
  <c r="N109" i="34"/>
  <c r="J122" i="34"/>
  <c r="K106" i="34"/>
  <c r="W411" i="34"/>
  <c r="G83" i="34"/>
  <c r="U411" i="34"/>
  <c r="S16" i="34"/>
  <c r="J121" i="34"/>
  <c r="F19" i="11"/>
  <c r="H69" i="11"/>
  <c r="I19" i="34"/>
  <c r="P95" i="34"/>
  <c r="I106" i="34"/>
  <c r="O96" i="34"/>
  <c r="I107" i="34"/>
  <c r="K90" i="34"/>
  <c r="H41" i="11"/>
  <c r="J113" i="34" s="1"/>
  <c r="P106" i="34"/>
  <c r="P107" i="34"/>
  <c r="Q101" i="34"/>
  <c r="O100" i="34"/>
  <c r="G38" i="37"/>
  <c r="W474" i="34" s="1"/>
  <c r="J114" i="34"/>
  <c r="K107" i="34"/>
  <c r="I87" i="34"/>
  <c r="O101" i="34"/>
  <c r="E18" i="2"/>
  <c r="G33" i="34" s="1"/>
  <c r="G13" i="34"/>
  <c r="E61" i="2"/>
  <c r="I83" i="34"/>
  <c r="G84" i="34"/>
  <c r="G61" i="11"/>
  <c r="L39" i="2"/>
  <c r="L41" i="2" s="1"/>
  <c r="K65" i="10"/>
  <c r="K66" i="10" s="1"/>
  <c r="N120" i="34"/>
  <c r="K116" i="34"/>
  <c r="J118" i="34"/>
  <c r="I89" i="34"/>
  <c r="Q84" i="34"/>
  <c r="F87" i="34"/>
  <c r="Q118" i="34"/>
  <c r="N84" i="34"/>
  <c r="H89" i="34"/>
  <c r="G90" i="34"/>
  <c r="O127" i="34"/>
  <c r="C61" i="11"/>
  <c r="J41" i="11"/>
  <c r="V385" i="34"/>
  <c r="Q95" i="34"/>
  <c r="I90" i="34"/>
  <c r="I120" i="34"/>
  <c r="Q115" i="34"/>
  <c r="O129" i="34"/>
  <c r="P94" i="34"/>
  <c r="N95" i="34"/>
  <c r="L90" i="34"/>
  <c r="N122" i="34"/>
  <c r="J115" i="34"/>
  <c r="S379" i="34"/>
  <c r="I114" i="34"/>
  <c r="I100" i="34"/>
  <c r="Q106" i="34"/>
  <c r="E84" i="34"/>
  <c r="J91" i="34"/>
  <c r="P127" i="34"/>
  <c r="M69" i="11"/>
  <c r="I91" i="34"/>
  <c r="O113" i="34"/>
  <c r="K69" i="11"/>
  <c r="N19" i="11"/>
  <c r="S107" i="34"/>
  <c r="M109" i="34"/>
  <c r="H39" i="2"/>
  <c r="H41" i="2" s="1"/>
  <c r="M100" i="34"/>
  <c r="I122" i="34"/>
  <c r="F61" i="11"/>
  <c r="F61" i="2" s="1"/>
  <c r="H12" i="34" s="1"/>
  <c r="K91" i="34"/>
  <c r="I86" i="34"/>
  <c r="I31" i="2"/>
  <c r="K87" i="34"/>
  <c r="G19" i="11"/>
  <c r="V379" i="34"/>
  <c r="L16" i="34"/>
  <c r="T377" i="34"/>
  <c r="L88" i="34"/>
  <c r="J31" i="11"/>
  <c r="I41" i="11"/>
  <c r="K121" i="34"/>
  <c r="O110" i="34"/>
  <c r="L84" i="34"/>
  <c r="G19" i="34"/>
  <c r="L118" i="34"/>
  <c r="I39" i="2"/>
  <c r="I41" i="2" s="1"/>
  <c r="I69" i="11"/>
  <c r="J83" i="34"/>
  <c r="F69" i="11"/>
  <c r="E90" i="34"/>
  <c r="J87" i="34"/>
  <c r="M106" i="34"/>
  <c r="V409" i="34"/>
  <c r="D19" i="11"/>
  <c r="G16" i="34"/>
  <c r="I16" i="34"/>
  <c r="E19" i="34"/>
  <c r="V410" i="34"/>
  <c r="O109" i="34"/>
  <c r="L83" i="34"/>
  <c r="K120" i="34"/>
  <c r="L120" i="34"/>
  <c r="I19" i="11"/>
  <c r="D45" i="37"/>
  <c r="J101" i="34"/>
  <c r="J90" i="34"/>
  <c r="E89" i="34"/>
  <c r="H113" i="34"/>
  <c r="O69" i="11"/>
  <c r="F16" i="34"/>
  <c r="J16" i="34"/>
  <c r="F19" i="34"/>
  <c r="H19" i="34"/>
  <c r="J19" i="34"/>
  <c r="K19" i="34"/>
  <c r="J19" i="11"/>
  <c r="H16" i="34"/>
  <c r="K115" i="34"/>
  <c r="L115" i="34"/>
  <c r="P101" i="34"/>
  <c r="J107" i="34"/>
  <c r="J100" i="34"/>
  <c r="E83" i="34"/>
  <c r="H31" i="2"/>
  <c r="H100" i="34"/>
  <c r="N100" i="34"/>
  <c r="G69" i="11"/>
  <c r="J89" i="34"/>
  <c r="Q107" i="34"/>
  <c r="K19" i="11"/>
  <c r="K118" i="34"/>
  <c r="L114" i="34"/>
  <c r="P100" i="34"/>
  <c r="N101" i="34"/>
  <c r="N69" i="11"/>
  <c r="H18" i="2"/>
  <c r="J15" i="34" s="1"/>
  <c r="N16" i="34"/>
  <c r="J18" i="2"/>
  <c r="H19" i="11"/>
  <c r="K114" i="34"/>
  <c r="L122" i="34"/>
  <c r="V411" i="34"/>
  <c r="J39" i="2"/>
  <c r="J41" i="2" s="1"/>
  <c r="E87" i="34"/>
  <c r="M16" i="34"/>
  <c r="N110" i="34"/>
  <c r="N96" i="34"/>
  <c r="L65" i="10"/>
  <c r="O94" i="34"/>
  <c r="T385" i="34"/>
  <c r="S474" i="34"/>
  <c r="K31" i="11"/>
  <c r="M88" i="34"/>
  <c r="F15" i="37"/>
  <c r="V438" i="34"/>
  <c r="V378" i="34"/>
  <c r="N112" i="34"/>
  <c r="N127" i="34"/>
  <c r="N113" i="34"/>
  <c r="N129" i="34"/>
  <c r="K28" i="2"/>
  <c r="M19" i="34" s="1"/>
  <c r="U409" i="34"/>
  <c r="U474" i="34"/>
  <c r="U410" i="34"/>
  <c r="U472" i="34"/>
  <c r="M65" i="10"/>
  <c r="P112" i="34"/>
  <c r="I61" i="11"/>
  <c r="M121" i="34"/>
  <c r="L101" i="34"/>
  <c r="G86" i="34"/>
  <c r="J69" i="11"/>
  <c r="M28" i="11"/>
  <c r="D61" i="11"/>
  <c r="K84" i="34"/>
  <c r="I18" i="2"/>
  <c r="M118" i="34"/>
  <c r="G89" i="34"/>
  <c r="K41" i="11"/>
  <c r="K89" i="34"/>
  <c r="M116" i="34"/>
  <c r="E107" i="34"/>
  <c r="E19" i="11"/>
  <c r="M107" i="34"/>
  <c r="M115" i="34"/>
  <c r="E106" i="34"/>
  <c r="M19" i="11"/>
  <c r="P113" i="34"/>
  <c r="G87" i="34"/>
  <c r="V474" i="34"/>
  <c r="N88" i="34" l="1"/>
  <c r="L31" i="11"/>
  <c r="D196" i="40"/>
  <c r="D196" i="39" s="1"/>
  <c r="E44" i="36"/>
  <c r="E41" i="36"/>
  <c r="E41" i="35" s="1"/>
  <c r="U597" i="34" s="1"/>
  <c r="U384" i="34"/>
  <c r="U668" i="34"/>
  <c r="U669" i="34"/>
  <c r="D41" i="37"/>
  <c r="D44" i="37"/>
  <c r="S473" i="34"/>
  <c r="C94" i="37"/>
  <c r="C94" i="35" s="1"/>
  <c r="W473" i="34"/>
  <c r="G94" i="37"/>
  <c r="T473" i="34"/>
  <c r="D94" i="37"/>
  <c r="D94" i="35" s="1"/>
  <c r="U605" i="34"/>
  <c r="M172" i="40"/>
  <c r="M172" i="39" s="1"/>
  <c r="E175" i="40"/>
  <c r="E175" i="39" s="1"/>
  <c r="E181" i="40"/>
  <c r="E181" i="39" s="1"/>
  <c r="D102" i="40"/>
  <c r="D102" i="39" s="1"/>
  <c r="T605" i="34"/>
  <c r="U602" i="34"/>
  <c r="F36" i="40"/>
  <c r="F36" i="39" s="1"/>
  <c r="T234" i="34" s="1"/>
  <c r="F26" i="39"/>
  <c r="T618" i="34" s="1"/>
  <c r="L21" i="40"/>
  <c r="L18" i="39"/>
  <c r="I135" i="40"/>
  <c r="I135" i="39" s="1"/>
  <c r="I134" i="39"/>
  <c r="E26" i="39"/>
  <c r="W596" i="34" s="1"/>
  <c r="E36" i="40"/>
  <c r="E36" i="39" s="1"/>
  <c r="S234" i="34" s="1"/>
  <c r="D120" i="39"/>
  <c r="D126" i="40"/>
  <c r="D126" i="39" s="1"/>
  <c r="D141" i="40"/>
  <c r="D141" i="39" s="1"/>
  <c r="G90" i="36"/>
  <c r="W359" i="34" s="1"/>
  <c r="I237" i="39"/>
  <c r="W255" i="34" s="1"/>
  <c r="E126" i="40"/>
  <c r="E126" i="39" s="1"/>
  <c r="S240" i="34" s="1"/>
  <c r="E116" i="39"/>
  <c r="F116" i="39"/>
  <c r="F126" i="40"/>
  <c r="F126" i="39" s="1"/>
  <c r="T240" i="34" s="1"/>
  <c r="T236" i="34"/>
  <c r="T235" i="34"/>
  <c r="K80" i="40"/>
  <c r="K80" i="39" s="1"/>
  <c r="K76" i="39"/>
  <c r="M203" i="40"/>
  <c r="M203" i="39" s="1"/>
  <c r="F237" i="39"/>
  <c r="T255" i="34" s="1"/>
  <c r="D85" i="39"/>
  <c r="W604" i="34" s="1"/>
  <c r="G126" i="40"/>
  <c r="G126" i="39" s="1"/>
  <c r="U240" i="34" s="1"/>
  <c r="F90" i="36"/>
  <c r="F90" i="35" s="1"/>
  <c r="V254" i="34" s="1"/>
  <c r="H237" i="39"/>
  <c r="V255" i="34" s="1"/>
  <c r="D104" i="42"/>
  <c r="H104" i="42" s="1"/>
  <c r="H108" i="42" s="1"/>
  <c r="W250" i="34"/>
  <c r="W251" i="34"/>
  <c r="U251" i="34"/>
  <c r="U250" i="34"/>
  <c r="S472" i="34"/>
  <c r="E160" i="46"/>
  <c r="E161" i="46" s="1"/>
  <c r="U608" i="34"/>
  <c r="I102" i="40"/>
  <c r="I102" i="39" s="1"/>
  <c r="M171" i="40"/>
  <c r="M171" i="39" s="1"/>
  <c r="W614" i="34"/>
  <c r="J21" i="40"/>
  <c r="J21" i="39" s="1"/>
  <c r="U262" i="34"/>
  <c r="U515" i="34"/>
  <c r="U514" i="34"/>
  <c r="U579" i="34"/>
  <c r="S410" i="34"/>
  <c r="S409" i="34"/>
  <c r="S277" i="34"/>
  <c r="S274" i="34"/>
  <c r="I64" i="34"/>
  <c r="C12" i="36"/>
  <c r="C12" i="35" s="1"/>
  <c r="S176" i="34" s="1"/>
  <c r="M50" i="34"/>
  <c r="K66" i="12"/>
  <c r="M49" i="34" s="1"/>
  <c r="S198" i="34"/>
  <c r="C33" i="36"/>
  <c r="N66" i="11"/>
  <c r="P104" i="34" s="1"/>
  <c r="P98" i="34"/>
  <c r="C40" i="37"/>
  <c r="D103" i="41" s="1"/>
  <c r="D81" i="37"/>
  <c r="T437" i="34" s="1"/>
  <c r="L66" i="11"/>
  <c r="N99" i="34" s="1"/>
  <c r="N98" i="34"/>
  <c r="T382" i="34"/>
  <c r="T378" i="34"/>
  <c r="L19" i="34"/>
  <c r="T438" i="34"/>
  <c r="P91" i="34"/>
  <c r="V382" i="34"/>
  <c r="L32" i="11"/>
  <c r="L87" i="34"/>
  <c r="J32" i="11"/>
  <c r="K32" i="11"/>
  <c r="V377" i="34"/>
  <c r="E13" i="34"/>
  <c r="R160" i="46"/>
  <c r="Q160" i="46"/>
  <c r="V473" i="34"/>
  <c r="F94" i="37"/>
  <c r="F94" i="35" s="1"/>
  <c r="S579" i="34"/>
  <c r="T295" i="34"/>
  <c r="S515" i="34"/>
  <c r="C40" i="38"/>
  <c r="D103" i="42" s="1"/>
  <c r="M19" i="10"/>
  <c r="P137" i="34"/>
  <c r="J31" i="12"/>
  <c r="L43" i="34" s="1"/>
  <c r="O138" i="34"/>
  <c r="M61" i="10"/>
  <c r="O137" i="34"/>
  <c r="O132" i="34"/>
  <c r="M18" i="2"/>
  <c r="O15" i="34" s="1"/>
  <c r="C23" i="38"/>
  <c r="D49" i="49" s="1"/>
  <c r="Q161" i="34"/>
  <c r="C40" i="36"/>
  <c r="H22" i="34"/>
  <c r="D69" i="36"/>
  <c r="D69" i="35" s="1"/>
  <c r="D19" i="45"/>
  <c r="L19" i="45" s="1"/>
  <c r="E19" i="45"/>
  <c r="E64" i="34"/>
  <c r="U383" i="34"/>
  <c r="L40" i="34"/>
  <c r="F32" i="2"/>
  <c r="E32" i="2"/>
  <c r="I32" i="2"/>
  <c r="I20" i="34"/>
  <c r="I22" i="34"/>
  <c r="G32" i="2"/>
  <c r="F22" i="34"/>
  <c r="D32" i="2"/>
  <c r="I17" i="34"/>
  <c r="H32" i="2"/>
  <c r="H18" i="34"/>
  <c r="H102" i="40"/>
  <c r="H102" i="39" s="1"/>
  <c r="G102" i="40"/>
  <c r="G102" i="39" s="1"/>
  <c r="I74" i="40"/>
  <c r="I74" i="39" s="1"/>
  <c r="H85" i="40"/>
  <c r="H85" i="39" s="1"/>
  <c r="M83" i="40"/>
  <c r="M83" i="39" s="1"/>
  <c r="M93" i="40"/>
  <c r="M93" i="39" s="1"/>
  <c r="M73" i="40"/>
  <c r="M73" i="39" s="1"/>
  <c r="F205" i="40"/>
  <c r="F205" i="39" s="1"/>
  <c r="M82" i="40"/>
  <c r="M82" i="39" s="1"/>
  <c r="H41" i="40"/>
  <c r="H41" i="39" s="1"/>
  <c r="G85" i="40"/>
  <c r="G85" i="39" s="1"/>
  <c r="W605" i="34"/>
  <c r="W607" i="34"/>
  <c r="I120" i="40"/>
  <c r="C44" i="38"/>
  <c r="D44" i="42"/>
  <c r="D60" i="49"/>
  <c r="D60" i="39" s="1"/>
  <c r="J121" i="42"/>
  <c r="J125" i="42" s="1"/>
  <c r="S377" i="34"/>
  <c r="S255" i="34"/>
  <c r="S360" i="34"/>
  <c r="C90" i="36"/>
  <c r="G135" i="40"/>
  <c r="G135" i="39" s="1"/>
  <c r="W360" i="34"/>
  <c r="E205" i="40"/>
  <c r="E205" i="39" s="1"/>
  <c r="F21" i="40"/>
  <c r="F21" i="39" s="1"/>
  <c r="T231" i="34" s="1"/>
  <c r="D80" i="40"/>
  <c r="D80" i="39" s="1"/>
  <c r="D47" i="40"/>
  <c r="D47" i="39" s="1"/>
  <c r="K181" i="40"/>
  <c r="K181" i="39" s="1"/>
  <c r="M179" i="40"/>
  <c r="M179" i="39" s="1"/>
  <c r="H80" i="40"/>
  <c r="H80" i="39" s="1"/>
  <c r="E156" i="40"/>
  <c r="E156" i="39" s="1"/>
  <c r="M71" i="40"/>
  <c r="M71" i="39" s="1"/>
  <c r="G74" i="40"/>
  <c r="G74" i="39" s="1"/>
  <c r="M146" i="40"/>
  <c r="M146" i="39" s="1"/>
  <c r="S336" i="34"/>
  <c r="C82" i="36"/>
  <c r="T348" i="34"/>
  <c r="D86" i="36"/>
  <c r="M190" i="40"/>
  <c r="M190" i="39" s="1"/>
  <c r="F156" i="40"/>
  <c r="F156" i="39" s="1"/>
  <c r="V360" i="34"/>
  <c r="C86" i="36"/>
  <c r="S348" i="34"/>
  <c r="I91" i="40"/>
  <c r="I91" i="39" s="1"/>
  <c r="M202" i="40"/>
  <c r="M202" i="39" s="1"/>
  <c r="L181" i="40"/>
  <c r="L181" i="39" s="1"/>
  <c r="M180" i="40"/>
  <c r="M180" i="39" s="1"/>
  <c r="S341" i="34"/>
  <c r="C84" i="35"/>
  <c r="S340" i="34"/>
  <c r="C83" i="36"/>
  <c r="I47" i="40"/>
  <c r="I47" i="39" s="1"/>
  <c r="D211" i="40"/>
  <c r="D211" i="39" s="1"/>
  <c r="H120" i="40"/>
  <c r="H120" i="39" s="1"/>
  <c r="M237" i="40"/>
  <c r="M237" i="39" s="1"/>
  <c r="V610" i="34"/>
  <c r="V608" i="34"/>
  <c r="J126" i="40"/>
  <c r="L126" i="40"/>
  <c r="H15" i="34"/>
  <c r="S33" i="34"/>
  <c r="N87" i="34"/>
  <c r="H33" i="34"/>
  <c r="T61" i="2"/>
  <c r="S31" i="34" s="1"/>
  <c r="S13" i="34"/>
  <c r="M21" i="40"/>
  <c r="M21" i="39" s="1"/>
  <c r="K21" i="40"/>
  <c r="L80" i="40"/>
  <c r="L80" i="39" s="1"/>
  <c r="K102" i="40"/>
  <c r="K102" i="39" s="1"/>
  <c r="L102" i="40"/>
  <c r="L102" i="39" s="1"/>
  <c r="M102" i="40"/>
  <c r="M102" i="39" s="1"/>
  <c r="J102" i="40"/>
  <c r="J102" i="39" s="1"/>
  <c r="K91" i="40"/>
  <c r="K91" i="39" s="1"/>
  <c r="M91" i="40"/>
  <c r="M91" i="39" s="1"/>
  <c r="L91" i="40"/>
  <c r="L91" i="39" s="1"/>
  <c r="J91" i="40"/>
  <c r="J91" i="39" s="1"/>
  <c r="M80" i="40"/>
  <c r="M80" i="39" s="1"/>
  <c r="J80" i="40"/>
  <c r="J80" i="39" s="1"/>
  <c r="M47" i="40"/>
  <c r="M47" i="39" s="1"/>
  <c r="J47" i="40"/>
  <c r="J47" i="39" s="1"/>
  <c r="L47" i="40"/>
  <c r="L47" i="39" s="1"/>
  <c r="K47" i="40"/>
  <c r="K47" i="39" s="1"/>
  <c r="U293" i="34"/>
  <c r="E33" i="35"/>
  <c r="T305" i="34"/>
  <c r="T304" i="34"/>
  <c r="T369" i="34"/>
  <c r="U367" i="34"/>
  <c r="U368" i="34"/>
  <c r="E22" i="34"/>
  <c r="S369" i="34"/>
  <c r="S304" i="34"/>
  <c r="S305" i="34"/>
  <c r="T262" i="34"/>
  <c r="T263" i="34"/>
  <c r="U369" i="34"/>
  <c r="U304" i="34"/>
  <c r="U305" i="34"/>
  <c r="H64" i="34"/>
  <c r="H65" i="34"/>
  <c r="K64" i="34"/>
  <c r="T367" i="34"/>
  <c r="D45" i="42"/>
  <c r="D61" i="49"/>
  <c r="D61" i="39" s="1"/>
  <c r="W515" i="34"/>
  <c r="W514" i="34"/>
  <c r="C45" i="38"/>
  <c r="D147" i="49"/>
  <c r="O51" i="34"/>
  <c r="D148" i="49"/>
  <c r="D148" i="48"/>
  <c r="V305" i="34"/>
  <c r="U633" i="34"/>
  <c r="V369" i="34"/>
  <c r="V383" i="34"/>
  <c r="V278" i="34"/>
  <c r="W262" i="34"/>
  <c r="W263" i="34"/>
  <c r="Q94" i="34"/>
  <c r="W367" i="34"/>
  <c r="W304" i="34"/>
  <c r="W369" i="34"/>
  <c r="W305" i="34"/>
  <c r="Q110" i="34"/>
  <c r="W181" i="34"/>
  <c r="W182" i="34"/>
  <c r="V472" i="34"/>
  <c r="H16" i="37"/>
  <c r="H16" i="36"/>
  <c r="V651" i="34"/>
  <c r="V650" i="34"/>
  <c r="R65" i="2"/>
  <c r="I16" i="35"/>
  <c r="Q65" i="11"/>
  <c r="Q65" i="12"/>
  <c r="T384" i="34"/>
  <c r="J61" i="2"/>
  <c r="L12" i="34" s="1"/>
  <c r="T198" i="34"/>
  <c r="S15" i="34"/>
  <c r="T14" i="34"/>
  <c r="S557" i="34"/>
  <c r="O160" i="46"/>
  <c r="E69" i="36"/>
  <c r="O56" i="34"/>
  <c r="M70" i="12"/>
  <c r="H45" i="42"/>
  <c r="D90" i="35"/>
  <c r="T359" i="34"/>
  <c r="T358" i="34"/>
  <c r="W385" i="34"/>
  <c r="D177" i="40"/>
  <c r="D177" i="39" s="1"/>
  <c r="G73" i="36"/>
  <c r="T604" i="34"/>
  <c r="T602" i="34"/>
  <c r="V262" i="34"/>
  <c r="V263" i="34"/>
  <c r="P65" i="10"/>
  <c r="P66" i="11"/>
  <c r="P70" i="11" s="1"/>
  <c r="V368" i="34"/>
  <c r="V367" i="34"/>
  <c r="N50" i="34"/>
  <c r="L66" i="12"/>
  <c r="Q109" i="34"/>
  <c r="M14" i="34"/>
  <c r="L61" i="2"/>
  <c r="G16" i="45" s="1"/>
  <c r="D23" i="38"/>
  <c r="D50" i="49" s="1"/>
  <c r="D50" i="39" s="1"/>
  <c r="D33" i="36"/>
  <c r="V243" i="34"/>
  <c r="D104" i="41"/>
  <c r="T31" i="11"/>
  <c r="S88" i="34"/>
  <c r="T28" i="2"/>
  <c r="J75" i="42"/>
  <c r="T278" i="34"/>
  <c r="T279" i="34"/>
  <c r="O66" i="10"/>
  <c r="O70" i="10" s="1"/>
  <c r="T277" i="34"/>
  <c r="D178" i="40"/>
  <c r="D178" i="39" s="1"/>
  <c r="H73" i="36"/>
  <c r="S452" i="34"/>
  <c r="S560" i="34"/>
  <c r="F175" i="42"/>
  <c r="Q48" i="34"/>
  <c r="G16" i="37"/>
  <c r="Q46" i="34"/>
  <c r="W280" i="34"/>
  <c r="Q61" i="34"/>
  <c r="G16" i="36"/>
  <c r="Q62" i="34"/>
  <c r="D12" i="36"/>
  <c r="E85" i="36"/>
  <c r="U345" i="34"/>
  <c r="H176" i="40"/>
  <c r="H176" i="39" s="1"/>
  <c r="V652" i="34"/>
  <c r="Q96" i="34"/>
  <c r="S368" i="34"/>
  <c r="S367" i="34"/>
  <c r="T569" i="34"/>
  <c r="T545" i="34"/>
  <c r="W464" i="34"/>
  <c r="S455" i="34"/>
  <c r="U545" i="34"/>
  <c r="G41" i="40"/>
  <c r="G41" i="39" s="1"/>
  <c r="I56" i="41"/>
  <c r="J35" i="41"/>
  <c r="I125" i="41"/>
  <c r="J122" i="41"/>
  <c r="U557" i="34"/>
  <c r="V452" i="34"/>
  <c r="E147" i="42"/>
  <c r="J70" i="41"/>
  <c r="I97" i="42"/>
  <c r="U446" i="34"/>
  <c r="J49" i="42"/>
  <c r="V563" i="34"/>
  <c r="J63" i="41"/>
  <c r="U452" i="34"/>
  <c r="J56" i="41"/>
  <c r="J104" i="42"/>
  <c r="N61" i="10"/>
  <c r="N66" i="10" s="1"/>
  <c r="N70" i="10" s="1"/>
  <c r="N19" i="10"/>
  <c r="O19" i="10"/>
  <c r="P131" i="34"/>
  <c r="W577" i="34"/>
  <c r="P138" i="34"/>
  <c r="P132" i="34"/>
  <c r="O13" i="34"/>
  <c r="E12" i="37"/>
  <c r="O98" i="34"/>
  <c r="U382" i="34"/>
  <c r="M66" i="11"/>
  <c r="M153" i="34"/>
  <c r="S293" i="34"/>
  <c r="S294" i="34"/>
  <c r="C33" i="35"/>
  <c r="G12" i="38"/>
  <c r="W484" i="34"/>
  <c r="S273" i="34"/>
  <c r="C81" i="36"/>
  <c r="S272" i="34"/>
  <c r="C15" i="36"/>
  <c r="C15" i="35" s="1"/>
  <c r="E81" i="36"/>
  <c r="U333" i="34"/>
  <c r="U272" i="34"/>
  <c r="E15" i="36"/>
  <c r="U273" i="34"/>
  <c r="S161" i="34"/>
  <c r="S160" i="34"/>
  <c r="E17" i="34"/>
  <c r="F17" i="34"/>
  <c r="E15" i="34"/>
  <c r="F18" i="34"/>
  <c r="N33" i="34"/>
  <c r="N13" i="34"/>
  <c r="S577" i="34"/>
  <c r="H14" i="34"/>
  <c r="G31" i="34"/>
  <c r="V484" i="34"/>
  <c r="J13" i="34"/>
  <c r="E160" i="34"/>
  <c r="E161" i="34"/>
  <c r="H61" i="2"/>
  <c r="J32" i="34" s="1"/>
  <c r="L66" i="10"/>
  <c r="L67" i="10" s="1"/>
  <c r="E14" i="34"/>
  <c r="U577" i="34"/>
  <c r="U578" i="34"/>
  <c r="F19" i="2"/>
  <c r="E21" i="34"/>
  <c r="H20" i="34"/>
  <c r="G14" i="34"/>
  <c r="E20" i="34"/>
  <c r="F20" i="34"/>
  <c r="M15" i="34"/>
  <c r="F161" i="34"/>
  <c r="F160" i="34"/>
  <c r="F14" i="34"/>
  <c r="F21" i="34"/>
  <c r="D19" i="2"/>
  <c r="F15" i="34"/>
  <c r="I14" i="34"/>
  <c r="V514" i="34"/>
  <c r="V579" i="34"/>
  <c r="V515" i="34"/>
  <c r="V577" i="34"/>
  <c r="I33" i="34"/>
  <c r="I15" i="34"/>
  <c r="G19" i="2"/>
  <c r="I21" i="34"/>
  <c r="H19" i="2"/>
  <c r="J21" i="34"/>
  <c r="M66" i="10"/>
  <c r="O158" i="34" s="1"/>
  <c r="N21" i="34"/>
  <c r="I160" i="34"/>
  <c r="I161" i="34"/>
  <c r="U484" i="34"/>
  <c r="O152" i="34"/>
  <c r="E12" i="38"/>
  <c r="L19" i="2"/>
  <c r="D12" i="38"/>
  <c r="D44" i="38" s="1"/>
  <c r="T484" i="34"/>
  <c r="N152" i="34"/>
  <c r="D37" i="42"/>
  <c r="C28" i="38"/>
  <c r="C23" i="35"/>
  <c r="C41" i="38"/>
  <c r="S704" i="34" s="1"/>
  <c r="C81" i="38"/>
  <c r="S543" i="34"/>
  <c r="S483" i="34"/>
  <c r="S482" i="34"/>
  <c r="M61" i="2"/>
  <c r="U177" i="34" s="1"/>
  <c r="N14" i="34"/>
  <c r="P89" i="34"/>
  <c r="L13" i="34"/>
  <c r="I112" i="34"/>
  <c r="M98" i="34"/>
  <c r="W472" i="34"/>
  <c r="G21" i="34"/>
  <c r="S438" i="34"/>
  <c r="G15" i="34"/>
  <c r="S378" i="34"/>
  <c r="C81" i="37"/>
  <c r="S437" i="34" s="1"/>
  <c r="P86" i="34"/>
  <c r="Q113" i="34"/>
  <c r="Q127" i="34"/>
  <c r="E19" i="2"/>
  <c r="K66" i="11"/>
  <c r="K61" i="2"/>
  <c r="S177" i="34" s="1"/>
  <c r="Q129" i="34"/>
  <c r="M13" i="34"/>
  <c r="S382" i="34"/>
  <c r="M33" i="34"/>
  <c r="M21" i="34"/>
  <c r="N97" i="34"/>
  <c r="G22" i="34"/>
  <c r="G18" i="34"/>
  <c r="O31" i="11"/>
  <c r="W410" i="34"/>
  <c r="G17" i="34"/>
  <c r="J31" i="2"/>
  <c r="W409" i="34"/>
  <c r="C61" i="2"/>
  <c r="E31" i="34" s="1"/>
  <c r="L91" i="34"/>
  <c r="H31" i="34"/>
  <c r="J112" i="34"/>
  <c r="H32" i="34"/>
  <c r="H13" i="34"/>
  <c r="G20" i="34"/>
  <c r="H11" i="34"/>
  <c r="L113" i="34"/>
  <c r="L112" i="34"/>
  <c r="P99" i="34"/>
  <c r="P97" i="34"/>
  <c r="M158" i="34"/>
  <c r="M151" i="34"/>
  <c r="G11" i="34"/>
  <c r="G32" i="34"/>
  <c r="G12" i="34"/>
  <c r="K70" i="10"/>
  <c r="I13" i="34"/>
  <c r="G61" i="2"/>
  <c r="K22" i="34"/>
  <c r="K18" i="34"/>
  <c r="K17" i="34"/>
  <c r="T19" i="2"/>
  <c r="L33" i="34"/>
  <c r="L15" i="34"/>
  <c r="L21" i="34"/>
  <c r="L14" i="34"/>
  <c r="J17" i="34"/>
  <c r="J22" i="34"/>
  <c r="J18" i="34"/>
  <c r="K113" i="34"/>
  <c r="K112" i="34"/>
  <c r="G12" i="37"/>
  <c r="W382" i="34"/>
  <c r="O66" i="11"/>
  <c r="W379" i="34"/>
  <c r="Q98" i="34"/>
  <c r="K19" i="2"/>
  <c r="L89" i="34"/>
  <c r="L86" i="34"/>
  <c r="T381" i="34"/>
  <c r="T380" i="34"/>
  <c r="S380" i="34"/>
  <c r="S381" i="34"/>
  <c r="J14" i="34"/>
  <c r="J33" i="34"/>
  <c r="J20" i="34"/>
  <c r="T472" i="34"/>
  <c r="T474" i="34"/>
  <c r="T409" i="34"/>
  <c r="T410" i="34"/>
  <c r="M89" i="34"/>
  <c r="M86" i="34"/>
  <c r="M87" i="34"/>
  <c r="K31" i="2"/>
  <c r="M91" i="34"/>
  <c r="I61" i="2"/>
  <c r="K13" i="34"/>
  <c r="D61" i="2"/>
  <c r="F13" i="34"/>
  <c r="M127" i="34"/>
  <c r="M112" i="34"/>
  <c r="M113" i="34"/>
  <c r="M129" i="34"/>
  <c r="M28" i="2"/>
  <c r="O19" i="34" s="1"/>
  <c r="O88" i="34"/>
  <c r="M31" i="11"/>
  <c r="M32" i="11" s="1"/>
  <c r="K33" i="34"/>
  <c r="J19" i="2"/>
  <c r="K20" i="34"/>
  <c r="I19" i="2"/>
  <c r="K14" i="34"/>
  <c r="K15" i="34"/>
  <c r="K21" i="34"/>
  <c r="V380" i="34"/>
  <c r="V381" i="34"/>
  <c r="V437" i="34"/>
  <c r="V436" i="34"/>
  <c r="D91" i="37" l="1"/>
  <c r="T471" i="34"/>
  <c r="T436" i="34"/>
  <c r="E15" i="37"/>
  <c r="E15" i="35" s="1"/>
  <c r="E44" i="37"/>
  <c r="L31" i="2"/>
  <c r="N91" i="34"/>
  <c r="N89" i="34"/>
  <c r="N86" i="34"/>
  <c r="L70" i="11"/>
  <c r="N105" i="34" s="1"/>
  <c r="U596" i="34"/>
  <c r="W650" i="34"/>
  <c r="W651" i="34"/>
  <c r="V359" i="34"/>
  <c r="N104" i="34"/>
  <c r="T668" i="34"/>
  <c r="T669" i="34"/>
  <c r="N67" i="11"/>
  <c r="N70" i="11"/>
  <c r="P105" i="34" s="1"/>
  <c r="D15" i="36"/>
  <c r="D15" i="35" s="1"/>
  <c r="D44" i="36"/>
  <c r="V358" i="34"/>
  <c r="G90" i="35"/>
  <c r="W253" i="34" s="1"/>
  <c r="S339" i="34"/>
  <c r="W358" i="34"/>
  <c r="G49" i="49"/>
  <c r="D49" i="39"/>
  <c r="W602" i="34"/>
  <c r="H85" i="36"/>
  <c r="J126" i="39"/>
  <c r="U632" i="34"/>
  <c r="D30" i="40"/>
  <c r="D30" i="39" s="1"/>
  <c r="D29" i="39"/>
  <c r="I120" i="39"/>
  <c r="I126" i="40"/>
  <c r="I126" i="39" s="1"/>
  <c r="W240" i="34" s="1"/>
  <c r="J82" i="36"/>
  <c r="L21" i="39"/>
  <c r="S236" i="34"/>
  <c r="S235" i="34"/>
  <c r="I82" i="36"/>
  <c r="K21" i="39"/>
  <c r="J85" i="36"/>
  <c r="L126" i="39"/>
  <c r="C41" i="36"/>
  <c r="P66" i="10"/>
  <c r="P70" i="10" s="1"/>
  <c r="P71" i="10" s="1"/>
  <c r="T253" i="34"/>
  <c r="T254" i="34"/>
  <c r="V253" i="34"/>
  <c r="E83" i="36"/>
  <c r="E83" i="35" s="1"/>
  <c r="G36" i="39"/>
  <c r="U234" i="34" s="1"/>
  <c r="S333" i="34"/>
  <c r="K70" i="12"/>
  <c r="M55" i="34" s="1"/>
  <c r="M56" i="34"/>
  <c r="S32" i="34"/>
  <c r="S11" i="34"/>
  <c r="C44" i="36"/>
  <c r="W616" i="34"/>
  <c r="H82" i="36"/>
  <c r="D147" i="48"/>
  <c r="C41" i="37"/>
  <c r="S668" i="34" s="1"/>
  <c r="C45" i="37"/>
  <c r="C44" i="37"/>
  <c r="M51" i="34"/>
  <c r="K32" i="2"/>
  <c r="O14" i="34"/>
  <c r="U438" i="34"/>
  <c r="T32" i="11"/>
  <c r="U32" i="11"/>
  <c r="N32" i="11"/>
  <c r="O32" i="11"/>
  <c r="P32" i="11"/>
  <c r="L38" i="34"/>
  <c r="L41" i="34"/>
  <c r="I88" i="36"/>
  <c r="J88" i="36"/>
  <c r="D173" i="40"/>
  <c r="D173" i="39" s="1"/>
  <c r="D73" i="36"/>
  <c r="D73" i="35" s="1"/>
  <c r="T615" i="34" s="1"/>
  <c r="S12" i="34"/>
  <c r="O21" i="34"/>
  <c r="O33" i="34"/>
  <c r="M19" i="2"/>
  <c r="J32" i="12"/>
  <c r="C46" i="38"/>
  <c r="D109" i="42" s="1"/>
  <c r="G109" i="42" s="1"/>
  <c r="D49" i="42"/>
  <c r="L66" i="2"/>
  <c r="L70" i="2" s="1"/>
  <c r="K32" i="12"/>
  <c r="L39" i="34"/>
  <c r="T32" i="12"/>
  <c r="G44" i="42"/>
  <c r="G49" i="42" s="1"/>
  <c r="H181" i="40"/>
  <c r="T180" i="34"/>
  <c r="T177" i="34"/>
  <c r="F20" i="45"/>
  <c r="M19" i="45"/>
  <c r="J31" i="34"/>
  <c r="N11" i="34"/>
  <c r="J12" i="34"/>
  <c r="N12" i="34"/>
  <c r="N31" i="34"/>
  <c r="N32" i="34"/>
  <c r="J11" i="34"/>
  <c r="T273" i="34"/>
  <c r="L20" i="34"/>
  <c r="J32" i="2"/>
  <c r="M31" i="34"/>
  <c r="H91" i="40"/>
  <c r="H91" i="39" s="1"/>
  <c r="F211" i="40"/>
  <c r="F211" i="39" s="1"/>
  <c r="I80" i="40"/>
  <c r="I80" i="39" s="1"/>
  <c r="T617" i="34"/>
  <c r="G91" i="40"/>
  <c r="G91" i="39" s="1"/>
  <c r="H47" i="40"/>
  <c r="H47" i="39" s="1"/>
  <c r="G60" i="49"/>
  <c r="U703" i="34"/>
  <c r="C85" i="36"/>
  <c r="S345" i="34"/>
  <c r="F166" i="40"/>
  <c r="D148" i="40" s="1"/>
  <c r="H148" i="40" s="1"/>
  <c r="D85" i="36"/>
  <c r="T345" i="34"/>
  <c r="S335" i="34"/>
  <c r="S334" i="34"/>
  <c r="D83" i="36"/>
  <c r="T339" i="34"/>
  <c r="D82" i="36"/>
  <c r="T336" i="34"/>
  <c r="G141" i="40"/>
  <c r="G141" i="39" s="1"/>
  <c r="H126" i="40"/>
  <c r="T346" i="34"/>
  <c r="D86" i="35"/>
  <c r="T347" i="34"/>
  <c r="C90" i="35"/>
  <c r="S253" i="34" s="1"/>
  <c r="S358" i="34"/>
  <c r="S359" i="34"/>
  <c r="G47" i="40"/>
  <c r="G47" i="39" s="1"/>
  <c r="M176" i="40"/>
  <c r="M176" i="39" s="1"/>
  <c r="C83" i="35"/>
  <c r="S337" i="34"/>
  <c r="S338" i="34"/>
  <c r="M205" i="40"/>
  <c r="M205" i="39" s="1"/>
  <c r="S347" i="34"/>
  <c r="S346" i="34"/>
  <c r="C86" i="35"/>
  <c r="M196" i="40"/>
  <c r="M196" i="39" s="1"/>
  <c r="S618" i="34"/>
  <c r="S617" i="34"/>
  <c r="U339" i="34"/>
  <c r="G80" i="40"/>
  <c r="G80" i="39" s="1"/>
  <c r="E166" i="40"/>
  <c r="E166" i="39" s="1"/>
  <c r="S246" i="34" s="1"/>
  <c r="E211" i="40"/>
  <c r="E211" i="39" s="1"/>
  <c r="U378" i="34"/>
  <c r="U196" i="34"/>
  <c r="U197" i="34"/>
  <c r="H61" i="49"/>
  <c r="H61" i="39" s="1"/>
  <c r="V703" i="34"/>
  <c r="V701" i="34"/>
  <c r="D63" i="49"/>
  <c r="H50" i="49"/>
  <c r="D46" i="37"/>
  <c r="D110" i="41" s="1"/>
  <c r="G147" i="48"/>
  <c r="M147" i="48" s="1"/>
  <c r="M67" i="12"/>
  <c r="N49" i="34"/>
  <c r="G147" i="49"/>
  <c r="D46" i="38"/>
  <c r="T708" i="34" s="1"/>
  <c r="H148" i="48"/>
  <c r="H150" i="48" s="1"/>
  <c r="H156" i="48" s="1"/>
  <c r="H148" i="49"/>
  <c r="H150" i="49" s="1"/>
  <c r="H156" i="49" s="1"/>
  <c r="U634" i="34"/>
  <c r="Q153" i="34"/>
  <c r="P67" i="11"/>
  <c r="Q158" i="34"/>
  <c r="P158" i="34"/>
  <c r="Q151" i="34"/>
  <c r="D41" i="36"/>
  <c r="V614" i="34"/>
  <c r="V616" i="34"/>
  <c r="D28" i="38"/>
  <c r="D38" i="42"/>
  <c r="R65" i="11"/>
  <c r="J16" i="35"/>
  <c r="R65" i="12"/>
  <c r="D81" i="36"/>
  <c r="T332" i="34" s="1"/>
  <c r="P152" i="34"/>
  <c r="T294" i="34"/>
  <c r="M67" i="11"/>
  <c r="O97" i="34"/>
  <c r="W384" i="34"/>
  <c r="W383" i="34"/>
  <c r="S19" i="34"/>
  <c r="L70" i="12"/>
  <c r="L71" i="12" s="1"/>
  <c r="N51" i="34"/>
  <c r="N56" i="34"/>
  <c r="L67" i="12"/>
  <c r="F12" i="38"/>
  <c r="T293" i="34"/>
  <c r="W279" i="34"/>
  <c r="W278" i="34"/>
  <c r="J178" i="40"/>
  <c r="V557" i="34"/>
  <c r="S632" i="34"/>
  <c r="S633" i="34"/>
  <c r="D33" i="35"/>
  <c r="T197" i="34" s="1"/>
  <c r="S86" i="34"/>
  <c r="S87" i="34"/>
  <c r="S91" i="34"/>
  <c r="S89" i="34"/>
  <c r="T31" i="2"/>
  <c r="T32" i="2" s="1"/>
  <c r="H49" i="42"/>
  <c r="L31" i="34"/>
  <c r="T272" i="34"/>
  <c r="J125" i="41"/>
  <c r="H104" i="41"/>
  <c r="H108" i="41" s="1"/>
  <c r="S545" i="34"/>
  <c r="C82" i="35"/>
  <c r="S229" i="34" s="1"/>
  <c r="D174" i="40"/>
  <c r="D174" i="39" s="1"/>
  <c r="E73" i="36"/>
  <c r="M66" i="2"/>
  <c r="H17" i="45" s="1"/>
  <c r="L32" i="34"/>
  <c r="T333" i="34"/>
  <c r="D44" i="35"/>
  <c r="U344" i="34"/>
  <c r="E85" i="35"/>
  <c r="U343" i="34"/>
  <c r="O57" i="34"/>
  <c r="O55" i="34"/>
  <c r="I16" i="37"/>
  <c r="I16" i="36"/>
  <c r="L11" i="34"/>
  <c r="I177" i="40"/>
  <c r="I177" i="39" s="1"/>
  <c r="Q65" i="10"/>
  <c r="Q66" i="10" s="1"/>
  <c r="Q66" i="11"/>
  <c r="V446" i="34"/>
  <c r="E175" i="42"/>
  <c r="V458" i="34"/>
  <c r="W243" i="34"/>
  <c r="W446" i="34"/>
  <c r="D106" i="42"/>
  <c r="P157" i="34"/>
  <c r="P159" i="34"/>
  <c r="N67" i="10"/>
  <c r="O67" i="10"/>
  <c r="P153" i="34"/>
  <c r="P151" i="34"/>
  <c r="O71" i="10"/>
  <c r="N151" i="34"/>
  <c r="L70" i="10"/>
  <c r="N157" i="34" s="1"/>
  <c r="T276" i="34"/>
  <c r="T275" i="34"/>
  <c r="S276" i="34"/>
  <c r="S275" i="34"/>
  <c r="Q157" i="34"/>
  <c r="S331" i="34"/>
  <c r="S332" i="34"/>
  <c r="W543" i="34"/>
  <c r="G81" i="38"/>
  <c r="W482" i="34"/>
  <c r="W483" i="34"/>
  <c r="E12" i="35"/>
  <c r="U176" i="34" s="1"/>
  <c r="M70" i="11"/>
  <c r="O99" i="34"/>
  <c r="O104" i="34"/>
  <c r="E81" i="37"/>
  <c r="U436" i="34" s="1"/>
  <c r="O151" i="34"/>
  <c r="N153" i="34"/>
  <c r="U275" i="34"/>
  <c r="U276" i="34"/>
  <c r="M97" i="34"/>
  <c r="U377" i="34"/>
  <c r="M57" i="34"/>
  <c r="M159" i="34"/>
  <c r="U331" i="34"/>
  <c r="U332" i="34"/>
  <c r="S196" i="34"/>
  <c r="S197" i="34"/>
  <c r="V633" i="34"/>
  <c r="D31" i="40"/>
  <c r="O153" i="34"/>
  <c r="N158" i="34"/>
  <c r="M70" i="10"/>
  <c r="O157" i="34" s="1"/>
  <c r="M67" i="10"/>
  <c r="U180" i="34"/>
  <c r="O11" i="34"/>
  <c r="O31" i="34"/>
  <c r="Q159" i="34"/>
  <c r="O12" i="34"/>
  <c r="O32" i="34"/>
  <c r="H16" i="45"/>
  <c r="V483" i="34"/>
  <c r="V482" i="34"/>
  <c r="F81" i="38"/>
  <c r="V543" i="34"/>
  <c r="S228" i="34"/>
  <c r="S542" i="34"/>
  <c r="S541" i="34"/>
  <c r="C28" i="35"/>
  <c r="S702" i="34"/>
  <c r="U543" i="34"/>
  <c r="U483" i="34"/>
  <c r="E81" i="38"/>
  <c r="U482" i="34"/>
  <c r="F16" i="45"/>
  <c r="G37" i="42"/>
  <c r="M157" i="34"/>
  <c r="G103" i="42"/>
  <c r="G108" i="42" s="1"/>
  <c r="T543" i="34"/>
  <c r="T483" i="34"/>
  <c r="T482" i="34"/>
  <c r="D81" i="38"/>
  <c r="D12" i="35"/>
  <c r="S705" i="34"/>
  <c r="C91" i="37"/>
  <c r="S477" i="34" s="1"/>
  <c r="L67" i="11"/>
  <c r="C81" i="35"/>
  <c r="S226" i="34" s="1"/>
  <c r="L18" i="34"/>
  <c r="L17" i="34"/>
  <c r="S436" i="34"/>
  <c r="S471" i="34"/>
  <c r="K66" i="2"/>
  <c r="L22" i="34"/>
  <c r="N103" i="34"/>
  <c r="M32" i="34"/>
  <c r="M11" i="34"/>
  <c r="M12" i="34"/>
  <c r="S180" i="34"/>
  <c r="S175" i="34"/>
  <c r="M104" i="34"/>
  <c r="K70" i="11"/>
  <c r="M99" i="34"/>
  <c r="Q86" i="34"/>
  <c r="Q87" i="34"/>
  <c r="Q91" i="34"/>
  <c r="Q89" i="34"/>
  <c r="E11" i="34"/>
  <c r="E12" i="34"/>
  <c r="E32" i="34"/>
  <c r="I32" i="34"/>
  <c r="I31" i="34"/>
  <c r="I11" i="34"/>
  <c r="I12" i="34"/>
  <c r="T477" i="34"/>
  <c r="T469" i="34"/>
  <c r="T470" i="34"/>
  <c r="D93" i="37"/>
  <c r="S179" i="34"/>
  <c r="S178" i="34"/>
  <c r="O67" i="11"/>
  <c r="Q104" i="34"/>
  <c r="Q97" i="34"/>
  <c r="Q99" i="34"/>
  <c r="O70" i="11"/>
  <c r="P71" i="11" s="1"/>
  <c r="W377" i="34"/>
  <c r="G81" i="37"/>
  <c r="W378" i="34"/>
  <c r="G15" i="37"/>
  <c r="W438" i="34"/>
  <c r="U381" i="34"/>
  <c r="U380" i="34"/>
  <c r="F11" i="34"/>
  <c r="F31" i="34"/>
  <c r="F32" i="34"/>
  <c r="F12" i="34"/>
  <c r="O91" i="34"/>
  <c r="O87" i="34"/>
  <c r="O86" i="34"/>
  <c r="O89" i="34"/>
  <c r="M31" i="2"/>
  <c r="K31" i="34"/>
  <c r="K12" i="34"/>
  <c r="K32" i="34"/>
  <c r="K11" i="34"/>
  <c r="G103" i="41"/>
  <c r="M18" i="34"/>
  <c r="M22" i="34"/>
  <c r="M17" i="34"/>
  <c r="M20" i="34"/>
  <c r="N20" i="34" l="1"/>
  <c r="N22" i="34"/>
  <c r="N18" i="34"/>
  <c r="N17" i="34"/>
  <c r="M32" i="2"/>
  <c r="S669" i="34"/>
  <c r="L32" i="2"/>
  <c r="N71" i="11"/>
  <c r="P103" i="34"/>
  <c r="W254" i="34"/>
  <c r="P67" i="10"/>
  <c r="U233" i="34"/>
  <c r="U232" i="34"/>
  <c r="U239" i="34"/>
  <c r="U238" i="34"/>
  <c r="G85" i="36"/>
  <c r="D147" i="40"/>
  <c r="D69" i="49"/>
  <c r="D69" i="39" s="1"/>
  <c r="D63" i="39"/>
  <c r="H52" i="49"/>
  <c r="H50" i="39"/>
  <c r="G63" i="49"/>
  <c r="G69" i="49" s="1"/>
  <c r="G69" i="39" s="1"/>
  <c r="G60" i="39"/>
  <c r="G49" i="39"/>
  <c r="G52" i="49"/>
  <c r="D31" i="39"/>
  <c r="F166" i="39"/>
  <c r="T246" i="34" s="1"/>
  <c r="H6" i="40"/>
  <c r="D148" i="39"/>
  <c r="F85" i="36"/>
  <c r="H126" i="39"/>
  <c r="V240" i="34" s="1"/>
  <c r="M178" i="40"/>
  <c r="M178" i="39" s="1"/>
  <c r="J178" i="39"/>
  <c r="F88" i="36"/>
  <c r="H181" i="39"/>
  <c r="V249" i="34" s="1"/>
  <c r="H148" i="39"/>
  <c r="U338" i="34"/>
  <c r="U337" i="34"/>
  <c r="S232" i="34"/>
  <c r="S707" i="34"/>
  <c r="T331" i="34"/>
  <c r="T652" i="34"/>
  <c r="T650" i="34"/>
  <c r="T651" i="34"/>
  <c r="F173" i="40"/>
  <c r="F173" i="39" s="1"/>
  <c r="U342" i="34"/>
  <c r="C46" i="37"/>
  <c r="D157" i="48" s="1"/>
  <c r="C44" i="35"/>
  <c r="C41" i="35"/>
  <c r="S597" i="34" s="1"/>
  <c r="D157" i="49"/>
  <c r="G157" i="49" s="1"/>
  <c r="G160" i="49" s="1"/>
  <c r="U175" i="34"/>
  <c r="U437" i="34"/>
  <c r="N29" i="34"/>
  <c r="G17" i="45"/>
  <c r="G21" i="45" s="1"/>
  <c r="O159" i="34"/>
  <c r="T178" i="34"/>
  <c r="N28" i="34"/>
  <c r="M70" i="2"/>
  <c r="O30" i="34" s="1"/>
  <c r="J31" i="40"/>
  <c r="D175" i="40"/>
  <c r="D175" i="39" s="1"/>
  <c r="U340" i="34"/>
  <c r="W345" i="34"/>
  <c r="U552" i="34"/>
  <c r="T196" i="34"/>
  <c r="U228" i="34"/>
  <c r="M211" i="40"/>
  <c r="M211" i="39" s="1"/>
  <c r="S233" i="34"/>
  <c r="S254" i="34"/>
  <c r="T241" i="34"/>
  <c r="T242" i="34"/>
  <c r="V345" i="34"/>
  <c r="D83" i="35"/>
  <c r="T338" i="34"/>
  <c r="T337" i="34"/>
  <c r="S351" i="34"/>
  <c r="C87" i="36"/>
  <c r="D147" i="39"/>
  <c r="C45" i="36"/>
  <c r="E251" i="40"/>
  <c r="S242" i="34"/>
  <c r="S241" i="34"/>
  <c r="T335" i="34"/>
  <c r="T334" i="34"/>
  <c r="D82" i="35"/>
  <c r="T343" i="34"/>
  <c r="D85" i="35"/>
  <c r="T344" i="34"/>
  <c r="U348" i="34"/>
  <c r="E86" i="36"/>
  <c r="S344" i="34"/>
  <c r="S343" i="34"/>
  <c r="C85" i="35"/>
  <c r="S238" i="34" s="1"/>
  <c r="I181" i="40"/>
  <c r="I181" i="39" s="1"/>
  <c r="J181" i="40"/>
  <c r="J181" i="39" s="1"/>
  <c r="S249" i="34"/>
  <c r="S354" i="34"/>
  <c r="C88" i="36"/>
  <c r="C88" i="35" s="1"/>
  <c r="D87" i="36"/>
  <c r="T351" i="34"/>
  <c r="T672" i="34"/>
  <c r="D158" i="48"/>
  <c r="H158" i="48" s="1"/>
  <c r="H63" i="49"/>
  <c r="H63" i="39" s="1"/>
  <c r="D78" i="38"/>
  <c r="T696" i="34" s="1"/>
  <c r="T671" i="34"/>
  <c r="M148" i="49"/>
  <c r="D110" i="42"/>
  <c r="H110" i="42" s="1"/>
  <c r="H114" i="42" s="1"/>
  <c r="T707" i="34"/>
  <c r="D158" i="49"/>
  <c r="G150" i="49"/>
  <c r="G156" i="49" s="1"/>
  <c r="D149" i="49" s="1"/>
  <c r="O152" i="49" s="1"/>
  <c r="N55" i="34"/>
  <c r="N71" i="10"/>
  <c r="M147" i="49"/>
  <c r="G150" i="48"/>
  <c r="G156" i="48" s="1"/>
  <c r="M148" i="48"/>
  <c r="I30" i="40"/>
  <c r="R65" i="10"/>
  <c r="R66" i="10" s="1"/>
  <c r="R66" i="11"/>
  <c r="U651" i="34"/>
  <c r="U650" i="34"/>
  <c r="D41" i="35"/>
  <c r="T632" i="34"/>
  <c r="T633" i="34"/>
  <c r="U652" i="34"/>
  <c r="G174" i="40"/>
  <c r="G174" i="39" s="1"/>
  <c r="H38" i="42"/>
  <c r="C93" i="37"/>
  <c r="S475" i="34" s="1"/>
  <c r="Q70" i="11"/>
  <c r="Q71" i="11" s="1"/>
  <c r="Q67" i="11"/>
  <c r="S230" i="34"/>
  <c r="J104" i="41"/>
  <c r="N57" i="34"/>
  <c r="M71" i="12"/>
  <c r="T702" i="34"/>
  <c r="S470" i="34"/>
  <c r="M29" i="34"/>
  <c r="Q70" i="10"/>
  <c r="Q71" i="10" s="1"/>
  <c r="Q67" i="10"/>
  <c r="D106" i="41"/>
  <c r="M67" i="2"/>
  <c r="S469" i="34"/>
  <c r="S598" i="34"/>
  <c r="S634" i="34"/>
  <c r="H110" i="41"/>
  <c r="H114" i="41" s="1"/>
  <c r="T601" i="34"/>
  <c r="O29" i="34"/>
  <c r="M177" i="40"/>
  <c r="M177" i="39" s="1"/>
  <c r="J16" i="36"/>
  <c r="J16" i="37"/>
  <c r="S22" i="34"/>
  <c r="S17" i="34"/>
  <c r="S18" i="34"/>
  <c r="S20" i="34"/>
  <c r="V354" i="34"/>
  <c r="S563" i="34"/>
  <c r="W458" i="34"/>
  <c r="T179" i="34"/>
  <c r="W557" i="34"/>
  <c r="C91" i="38"/>
  <c r="S582" i="34" s="1"/>
  <c r="S576" i="34"/>
  <c r="J106" i="42"/>
  <c r="M71" i="10"/>
  <c r="N159" i="34"/>
  <c r="L71" i="10"/>
  <c r="S708" i="34"/>
  <c r="W541" i="34"/>
  <c r="W542" i="34"/>
  <c r="O103" i="34"/>
  <c r="O105" i="34"/>
  <c r="M71" i="11"/>
  <c r="V634" i="34"/>
  <c r="V632" i="34"/>
  <c r="D32" i="40"/>
  <c r="W633" i="34"/>
  <c r="D33" i="40"/>
  <c r="F17" i="45"/>
  <c r="F21" i="45" s="1"/>
  <c r="F23" i="45" s="1"/>
  <c r="L67" i="2"/>
  <c r="V542" i="34"/>
  <c r="V541" i="34"/>
  <c r="J103" i="42"/>
  <c r="U541" i="34"/>
  <c r="U542" i="34"/>
  <c r="D105" i="42"/>
  <c r="G114" i="42"/>
  <c r="G42" i="42"/>
  <c r="S227" i="34"/>
  <c r="T228" i="34"/>
  <c r="T176" i="34"/>
  <c r="T175" i="34"/>
  <c r="T541" i="34"/>
  <c r="T542" i="34"/>
  <c r="T576" i="34"/>
  <c r="D91" i="38"/>
  <c r="D81" i="35"/>
  <c r="E81" i="35"/>
  <c r="U226" i="34" s="1"/>
  <c r="S594" i="34"/>
  <c r="K70" i="2"/>
  <c r="M103" i="34"/>
  <c r="M105" i="34"/>
  <c r="L71" i="11"/>
  <c r="Q103" i="34"/>
  <c r="Q105" i="34"/>
  <c r="O71" i="11"/>
  <c r="T480" i="34"/>
  <c r="D96" i="37"/>
  <c r="T476" i="34"/>
  <c r="T475" i="34"/>
  <c r="W380" i="34"/>
  <c r="W381" i="34"/>
  <c r="W437" i="34"/>
  <c r="W436" i="34"/>
  <c r="U178" i="34"/>
  <c r="U179" i="34"/>
  <c r="G108" i="41"/>
  <c r="J103" i="41"/>
  <c r="S672" i="34"/>
  <c r="H21" i="45"/>
  <c r="N30" i="34"/>
  <c r="O17" i="34"/>
  <c r="O20" i="34"/>
  <c r="O22" i="34"/>
  <c r="O18" i="34"/>
  <c r="T614" i="34"/>
  <c r="T616" i="34"/>
  <c r="W701" i="34" l="1"/>
  <c r="W703" i="34"/>
  <c r="V726" i="34"/>
  <c r="W726" i="34"/>
  <c r="H58" i="49"/>
  <c r="H52" i="39"/>
  <c r="E84" i="38"/>
  <c r="U550" i="34" s="1"/>
  <c r="G63" i="39"/>
  <c r="G52" i="39"/>
  <c r="G58" i="49"/>
  <c r="E251" i="39"/>
  <c r="S258" i="34" s="1"/>
  <c r="J31" i="39"/>
  <c r="J36" i="40"/>
  <c r="J36" i="39" s="1"/>
  <c r="I30" i="39"/>
  <c r="I36" i="40"/>
  <c r="I36" i="39" s="1"/>
  <c r="W234" i="34" s="1"/>
  <c r="K32" i="40"/>
  <c r="K32" i="39" s="1"/>
  <c r="D32" i="39"/>
  <c r="L33" i="40"/>
  <c r="L33" i="39" s="1"/>
  <c r="D33" i="39"/>
  <c r="T239" i="34"/>
  <c r="T238" i="34"/>
  <c r="S247" i="34"/>
  <c r="T230" i="34"/>
  <c r="T229" i="34"/>
  <c r="T232" i="34"/>
  <c r="W697" i="34"/>
  <c r="M173" i="40"/>
  <c r="M173" i="39" s="1"/>
  <c r="F175" i="40"/>
  <c r="F181" i="40" s="1"/>
  <c r="D45" i="36" s="1"/>
  <c r="S671" i="34"/>
  <c r="D109" i="41"/>
  <c r="G166" i="49"/>
  <c r="W695" i="34"/>
  <c r="H18" i="45"/>
  <c r="W249" i="34"/>
  <c r="G88" i="36"/>
  <c r="H88" i="36"/>
  <c r="D181" i="40"/>
  <c r="D181" i="39" s="1"/>
  <c r="W354" i="34"/>
  <c r="O28" i="34"/>
  <c r="M71" i="2"/>
  <c r="C96" i="37"/>
  <c r="S479" i="34" s="1"/>
  <c r="L71" i="2"/>
  <c r="U725" i="34"/>
  <c r="U726" i="34"/>
  <c r="S363" i="34"/>
  <c r="S361" i="34"/>
  <c r="T233" i="34"/>
  <c r="U347" i="34"/>
  <c r="U346" i="34"/>
  <c r="E86" i="35"/>
  <c r="C46" i="36"/>
  <c r="D157" i="40" s="1"/>
  <c r="C45" i="35"/>
  <c r="M181" i="40"/>
  <c r="M181" i="39" s="1"/>
  <c r="S352" i="34"/>
  <c r="S353" i="34"/>
  <c r="S239" i="34"/>
  <c r="G147" i="40"/>
  <c r="G147" i="39" s="1"/>
  <c r="M174" i="40"/>
  <c r="M174" i="39" s="1"/>
  <c r="T349" i="34"/>
  <c r="T350" i="34"/>
  <c r="D87" i="35"/>
  <c r="S349" i="34"/>
  <c r="S350" i="34"/>
  <c r="C87" i="35"/>
  <c r="S362" i="34"/>
  <c r="C91" i="36"/>
  <c r="C91" i="35" s="1"/>
  <c r="S260" i="34" s="1"/>
  <c r="S366" i="34"/>
  <c r="G157" i="48"/>
  <c r="G160" i="48" s="1"/>
  <c r="S476" i="34"/>
  <c r="S480" i="34"/>
  <c r="H160" i="48"/>
  <c r="H166" i="48" s="1"/>
  <c r="H158" i="49"/>
  <c r="W659" i="34"/>
  <c r="C93" i="38"/>
  <c r="S585" i="34" s="1"/>
  <c r="S575" i="34"/>
  <c r="S574" i="34"/>
  <c r="S596" i="34"/>
  <c r="U614" i="34"/>
  <c r="U616" i="34"/>
  <c r="T628" i="34"/>
  <c r="H13" i="40"/>
  <c r="H42" i="42"/>
  <c r="R70" i="11"/>
  <c r="R71" i="11" s="1"/>
  <c r="R67" i="11"/>
  <c r="J106" i="41"/>
  <c r="R70" i="10"/>
  <c r="R71" i="10" s="1"/>
  <c r="R67" i="10"/>
  <c r="H30" i="40"/>
  <c r="G175" i="40"/>
  <c r="G175" i="39" s="1"/>
  <c r="T598" i="34"/>
  <c r="T634" i="34"/>
  <c r="T597" i="34"/>
  <c r="S248" i="34"/>
  <c r="M30" i="34"/>
  <c r="D34" i="40"/>
  <c r="D35" i="40"/>
  <c r="D35" i="39" s="1"/>
  <c r="V598" i="34"/>
  <c r="V596" i="34"/>
  <c r="G18" i="45"/>
  <c r="U227" i="34"/>
  <c r="M28" i="34"/>
  <c r="G175" i="42"/>
  <c r="T227" i="34"/>
  <c r="T226" i="34"/>
  <c r="T575" i="34"/>
  <c r="T574" i="34"/>
  <c r="T582" i="34"/>
  <c r="D93" i="38"/>
  <c r="I105" i="42"/>
  <c r="I108" i="42" s="1"/>
  <c r="T479" i="34"/>
  <c r="T478" i="34"/>
  <c r="D105" i="41"/>
  <c r="G109" i="41"/>
  <c r="S601" i="34"/>
  <c r="H23" i="45"/>
  <c r="H22" i="45"/>
  <c r="G23" i="45"/>
  <c r="G24" i="45" s="1"/>
  <c r="G22" i="45"/>
  <c r="E45" i="38" l="1"/>
  <c r="E46" i="38" s="1"/>
  <c r="H255" i="49"/>
  <c r="G58" i="39"/>
  <c r="U237" i="34" s="1"/>
  <c r="F84" i="38"/>
  <c r="H69" i="39"/>
  <c r="V552" i="34"/>
  <c r="H58" i="39"/>
  <c r="M34" i="40"/>
  <c r="M34" i="39" s="1"/>
  <c r="D34" i="39"/>
  <c r="H30" i="39"/>
  <c r="H36" i="39"/>
  <c r="V234" i="34" s="1"/>
  <c r="S256" i="34"/>
  <c r="D36" i="40"/>
  <c r="F181" i="39"/>
  <c r="T249" i="34" s="1"/>
  <c r="F6" i="40"/>
  <c r="G6" i="40"/>
  <c r="I6" i="40" s="1"/>
  <c r="E87" i="38"/>
  <c r="U561" i="34"/>
  <c r="F87" i="37"/>
  <c r="V454" i="34" s="1"/>
  <c r="V456" i="34"/>
  <c r="F175" i="39"/>
  <c r="T244" i="34"/>
  <c r="T245" i="34"/>
  <c r="S257" i="34"/>
  <c r="S244" i="34"/>
  <c r="G251" i="49"/>
  <c r="I149" i="49"/>
  <c r="C63" i="37"/>
  <c r="D228" i="48" s="1"/>
  <c r="G228" i="48" s="1"/>
  <c r="S580" i="34"/>
  <c r="S478" i="34"/>
  <c r="S267" i="34"/>
  <c r="S581" i="34"/>
  <c r="C96" i="38"/>
  <c r="C63" i="38" s="1"/>
  <c r="S259" i="34"/>
  <c r="U241" i="34"/>
  <c r="U242" i="34"/>
  <c r="M148" i="40"/>
  <c r="M148" i="39" s="1"/>
  <c r="H150" i="40"/>
  <c r="H150" i="39" s="1"/>
  <c r="S245" i="34"/>
  <c r="G150" i="40"/>
  <c r="G150" i="39" s="1"/>
  <c r="S636" i="34"/>
  <c r="D157" i="39"/>
  <c r="C46" i="35"/>
  <c r="S600" i="34" s="1"/>
  <c r="S261" i="34"/>
  <c r="G181" i="40"/>
  <c r="S365" i="34"/>
  <c r="S372" i="34"/>
  <c r="S364" i="34"/>
  <c r="C93" i="36"/>
  <c r="M147" i="40"/>
  <c r="M147" i="39" s="1"/>
  <c r="U593" i="34"/>
  <c r="U595" i="34"/>
  <c r="V593" i="34"/>
  <c r="V595" i="34"/>
  <c r="V725" i="34"/>
  <c r="F251" i="40"/>
  <c r="F251" i="39" s="1"/>
  <c r="H160" i="49"/>
  <c r="H166" i="49" s="1"/>
  <c r="V561" i="34" s="1"/>
  <c r="D88" i="36"/>
  <c r="T352" i="34" s="1"/>
  <c r="T354" i="34"/>
  <c r="G166" i="48"/>
  <c r="C93" i="35"/>
  <c r="S266" i="34" s="1"/>
  <c r="H15" i="40"/>
  <c r="H175" i="42"/>
  <c r="T596" i="34"/>
  <c r="M35" i="40"/>
  <c r="M35" i="39" s="1"/>
  <c r="W634" i="34"/>
  <c r="W632" i="34"/>
  <c r="U560" i="34"/>
  <c r="J105" i="42"/>
  <c r="T580" i="34"/>
  <c r="T581" i="34"/>
  <c r="T585" i="34"/>
  <c r="D96" i="38"/>
  <c r="U551" i="34"/>
  <c r="E84" i="35"/>
  <c r="E91" i="38"/>
  <c r="U576" i="34"/>
  <c r="D107" i="42"/>
  <c r="H24" i="45"/>
  <c r="G114" i="41"/>
  <c r="I105" i="41"/>
  <c r="U707" i="34" l="1"/>
  <c r="D159" i="49"/>
  <c r="U708" i="34"/>
  <c r="D111" i="42"/>
  <c r="I111" i="42" s="1"/>
  <c r="I114" i="42" s="1"/>
  <c r="S583" i="34"/>
  <c r="S584" i="34"/>
  <c r="V550" i="34"/>
  <c r="V551" i="34"/>
  <c r="Y550" i="34" s="1"/>
  <c r="G181" i="39"/>
  <c r="U249" i="34" s="1"/>
  <c r="U235" i="34"/>
  <c r="U236" i="34"/>
  <c r="H5" i="40"/>
  <c r="J6" i="40" s="1"/>
  <c r="V455" i="34"/>
  <c r="E87" i="37"/>
  <c r="U456" i="34"/>
  <c r="U573" i="34"/>
  <c r="U571" i="34"/>
  <c r="U572" i="34"/>
  <c r="U559" i="34"/>
  <c r="T258" i="34"/>
  <c r="I150" i="49"/>
  <c r="H166" i="39"/>
  <c r="V246" i="34" s="1"/>
  <c r="D150" i="49"/>
  <c r="D160" i="41"/>
  <c r="D165" i="41" s="1"/>
  <c r="D231" i="48"/>
  <c r="D237" i="48" s="1"/>
  <c r="S681" i="34"/>
  <c r="M149" i="49"/>
  <c r="U354" i="34"/>
  <c r="S637" i="34"/>
  <c r="G157" i="40"/>
  <c r="G157" i="39" s="1"/>
  <c r="S635" i="34"/>
  <c r="G156" i="40"/>
  <c r="G156" i="39" s="1"/>
  <c r="S599" i="34"/>
  <c r="E88" i="36"/>
  <c r="U353" i="34" s="1"/>
  <c r="S375" i="34"/>
  <c r="S371" i="34"/>
  <c r="S370" i="34"/>
  <c r="C96" i="36"/>
  <c r="H156" i="40"/>
  <c r="H156" i="39" s="1"/>
  <c r="W595" i="34"/>
  <c r="W593" i="34"/>
  <c r="T363" i="34"/>
  <c r="T366" i="34"/>
  <c r="D88" i="35"/>
  <c r="T256" i="34" s="1"/>
  <c r="T353" i="34"/>
  <c r="D91" i="36"/>
  <c r="D93" i="36" s="1"/>
  <c r="T361" i="34"/>
  <c r="T362" i="34"/>
  <c r="D46" i="36"/>
  <c r="D158" i="40" s="1"/>
  <c r="D45" i="35"/>
  <c r="C96" i="35"/>
  <c r="S268" i="34" s="1"/>
  <c r="S265" i="34"/>
  <c r="S270" i="34"/>
  <c r="M228" i="48"/>
  <c r="G231" i="48"/>
  <c r="D228" i="49"/>
  <c r="H21" i="40"/>
  <c r="W598" i="34"/>
  <c r="U575" i="34"/>
  <c r="E93" i="38"/>
  <c r="U582" i="34"/>
  <c r="U574" i="34"/>
  <c r="T583" i="34"/>
  <c r="T584" i="34"/>
  <c r="S717" i="34"/>
  <c r="D160" i="42"/>
  <c r="C78" i="38"/>
  <c r="J107" i="42"/>
  <c r="J108" i="42" s="1"/>
  <c r="J114" i="42" s="1"/>
  <c r="D108" i="42"/>
  <c r="D114" i="42" s="1"/>
  <c r="I108" i="41"/>
  <c r="J105" i="41"/>
  <c r="J160" i="41" l="1"/>
  <c r="I159" i="49"/>
  <c r="I160" i="49" s="1"/>
  <c r="D160" i="49"/>
  <c r="U454" i="34"/>
  <c r="H251" i="49"/>
  <c r="D151" i="49"/>
  <c r="J151" i="49" s="1"/>
  <c r="J156" i="49" s="1"/>
  <c r="J166" i="49" s="1"/>
  <c r="D155" i="49" s="1"/>
  <c r="F82" i="36"/>
  <c r="T247" i="34"/>
  <c r="T248" i="34"/>
  <c r="T257" i="34"/>
  <c r="T635" i="34"/>
  <c r="F87" i="38"/>
  <c r="I156" i="49"/>
  <c r="I166" i="49" s="1"/>
  <c r="U352" i="34"/>
  <c r="E88" i="35"/>
  <c r="G160" i="40"/>
  <c r="G160" i="39" s="1"/>
  <c r="C63" i="36"/>
  <c r="S374" i="34"/>
  <c r="S373" i="34"/>
  <c r="T261" i="34"/>
  <c r="S269" i="34"/>
  <c r="D91" i="35"/>
  <c r="T267" i="34" s="1"/>
  <c r="T372" i="34"/>
  <c r="T365" i="34"/>
  <c r="T364" i="34"/>
  <c r="T636" i="34"/>
  <c r="D46" i="35"/>
  <c r="G237" i="48"/>
  <c r="D231" i="49"/>
  <c r="D237" i="49" s="1"/>
  <c r="M228" i="49"/>
  <c r="V336" i="34"/>
  <c r="S696" i="34"/>
  <c r="J160" i="42"/>
  <c r="J165" i="42" s="1"/>
  <c r="D165" i="42"/>
  <c r="U580" i="34"/>
  <c r="U585" i="34"/>
  <c r="E96" i="38"/>
  <c r="U581" i="34"/>
  <c r="J165" i="41"/>
  <c r="U455" i="34"/>
  <c r="D107" i="41"/>
  <c r="T370" i="34"/>
  <c r="T371" i="34"/>
  <c r="D96" i="36"/>
  <c r="T375" i="34"/>
  <c r="S722" i="34" l="1"/>
  <c r="S718" i="34"/>
  <c r="S724" i="34"/>
  <c r="S716" i="34"/>
  <c r="V572" i="34"/>
  <c r="V559" i="34"/>
  <c r="V571" i="34"/>
  <c r="V573" i="34"/>
  <c r="V576" i="34"/>
  <c r="H87" i="38"/>
  <c r="J251" i="49"/>
  <c r="V560" i="34"/>
  <c r="D153" i="49"/>
  <c r="L153" i="49" s="1"/>
  <c r="L156" i="49" s="1"/>
  <c r="L166" i="49" s="1"/>
  <c r="U248" i="34"/>
  <c r="U247" i="34"/>
  <c r="H158" i="40"/>
  <c r="H158" i="39" s="1"/>
  <c r="D158" i="39"/>
  <c r="F91" i="38"/>
  <c r="V575" i="34" s="1"/>
  <c r="G166" i="40"/>
  <c r="S645" i="34"/>
  <c r="D228" i="40"/>
  <c r="D228" i="39" s="1"/>
  <c r="C63" i="35"/>
  <c r="S609" i="34" s="1"/>
  <c r="E90" i="37"/>
  <c r="D93" i="35"/>
  <c r="T270" i="34" s="1"/>
  <c r="T260" i="34"/>
  <c r="T259" i="34"/>
  <c r="U697" i="34"/>
  <c r="M155" i="49"/>
  <c r="T600" i="34"/>
  <c r="T599" i="34"/>
  <c r="T637" i="34"/>
  <c r="T625" i="34"/>
  <c r="J175" i="42"/>
  <c r="U583" i="34"/>
  <c r="U584" i="34"/>
  <c r="J107" i="41"/>
  <c r="D108" i="41"/>
  <c r="T373" i="34"/>
  <c r="T374" i="34"/>
  <c r="G166" i="39" l="1"/>
  <c r="U246" i="34" s="1"/>
  <c r="V582" i="34"/>
  <c r="F93" i="38"/>
  <c r="V574" i="34"/>
  <c r="G87" i="38"/>
  <c r="D152" i="49"/>
  <c r="S646" i="34"/>
  <c r="D231" i="40"/>
  <c r="D231" i="39" s="1"/>
  <c r="S644" i="34"/>
  <c r="S652" i="34"/>
  <c r="S650" i="34"/>
  <c r="G228" i="40"/>
  <c r="G228" i="39" s="1"/>
  <c r="E87" i="36"/>
  <c r="U351" i="34"/>
  <c r="T266" i="34"/>
  <c r="D96" i="35"/>
  <c r="T268" i="34" s="1"/>
  <c r="T265" i="34"/>
  <c r="U464" i="34"/>
  <c r="U463" i="34"/>
  <c r="J87" i="38"/>
  <c r="J91" i="38" s="1"/>
  <c r="J93" i="38" s="1"/>
  <c r="J96" i="38" s="1"/>
  <c r="L251" i="49"/>
  <c r="H160" i="40"/>
  <c r="H160" i="39" s="1"/>
  <c r="H90" i="35"/>
  <c r="H91" i="38"/>
  <c r="H93" i="38" s="1"/>
  <c r="H96" i="38" s="1"/>
  <c r="J108" i="41"/>
  <c r="W559" i="34" l="1"/>
  <c r="K152" i="49"/>
  <c r="K156" i="49" s="1"/>
  <c r="K166" i="49" s="1"/>
  <c r="W560" i="34"/>
  <c r="V580" i="34"/>
  <c r="V585" i="34"/>
  <c r="F96" i="38"/>
  <c r="V581" i="34"/>
  <c r="T269" i="34"/>
  <c r="U349" i="34"/>
  <c r="U350" i="34"/>
  <c r="E87" i="35"/>
  <c r="G231" i="40"/>
  <c r="G231" i="39" s="1"/>
  <c r="M228" i="40"/>
  <c r="M228" i="39" s="1"/>
  <c r="D237" i="40"/>
  <c r="D237" i="39" s="1"/>
  <c r="V654" i="34"/>
  <c r="V653" i="34"/>
  <c r="J114" i="41"/>
  <c r="U244" i="34" l="1"/>
  <c r="U245" i="34"/>
  <c r="V584" i="34"/>
  <c r="V583" i="34"/>
  <c r="I87" i="38"/>
  <c r="I91" i="38" s="1"/>
  <c r="I93" i="38" s="1"/>
  <c r="I96" i="38" s="1"/>
  <c r="K251" i="49"/>
  <c r="D154" i="49"/>
  <c r="G237" i="40"/>
  <c r="V351" i="34"/>
  <c r="J175" i="41"/>
  <c r="G237" i="39" l="1"/>
  <c r="U255" i="34" s="1"/>
  <c r="M154" i="49"/>
  <c r="M156" i="49" s="1"/>
  <c r="M166" i="49" s="1"/>
  <c r="M251" i="49" s="1"/>
  <c r="D156" i="49"/>
  <c r="U360" i="34"/>
  <c r="E90" i="36"/>
  <c r="V695" i="34" l="1"/>
  <c r="V697" i="34"/>
  <c r="D166" i="49"/>
  <c r="U358" i="34"/>
  <c r="U359" i="34"/>
  <c r="E90" i="35"/>
  <c r="V601" i="34"/>
  <c r="V599" i="34"/>
  <c r="U254" i="34" l="1"/>
  <c r="U253" i="34"/>
  <c r="U47" i="2" l="1"/>
  <c r="U52" i="2" l="1"/>
  <c r="T45" i="34" l="1"/>
  <c r="U13" i="2" l="1"/>
  <c r="T44" i="34"/>
  <c r="U50" i="12" l="1"/>
  <c r="U50" i="2" s="1"/>
  <c r="T78" i="34"/>
  <c r="U15" i="2"/>
  <c r="T76" i="34" l="1"/>
  <c r="T77" i="34"/>
  <c r="U36" i="2" l="1"/>
  <c r="U38" i="2" l="1"/>
  <c r="U17" i="2" l="1"/>
  <c r="U14" i="2" l="1"/>
  <c r="U51" i="12"/>
  <c r="U51" i="2" s="1"/>
  <c r="U16" i="2"/>
  <c r="U39" i="12"/>
  <c r="T68" i="34" s="1"/>
  <c r="T81" i="34"/>
  <c r="T75" i="34"/>
  <c r="T67" i="34" l="1"/>
  <c r="T79" i="34"/>
  <c r="T80" i="34"/>
  <c r="T66" i="34"/>
  <c r="T72" i="34"/>
  <c r="T64" i="34"/>
  <c r="T73" i="34"/>
  <c r="T74" i="34"/>
  <c r="U39" i="2"/>
  <c r="U41" i="2" s="1"/>
  <c r="T65" i="34"/>
  <c r="U37" i="12"/>
  <c r="U37" i="2" l="1"/>
  <c r="T71" i="34"/>
  <c r="T70" i="34"/>
  <c r="U18" i="12" l="1"/>
  <c r="U19" i="12" s="1"/>
  <c r="U12" i="2"/>
  <c r="T16" i="34" s="1"/>
  <c r="T37" i="34"/>
  <c r="U23" i="12" l="1"/>
  <c r="U23" i="2" s="1"/>
  <c r="U22" i="12"/>
  <c r="U61" i="12"/>
  <c r="U30" i="12"/>
  <c r="U30" i="2" s="1"/>
  <c r="U27" i="12"/>
  <c r="U27" i="2" s="1"/>
  <c r="U26" i="12"/>
  <c r="U26" i="2" s="1"/>
  <c r="U18" i="2"/>
  <c r="T35" i="34"/>
  <c r="U25" i="12"/>
  <c r="U25" i="2" s="1"/>
  <c r="T42" i="34"/>
  <c r="U24" i="12"/>
  <c r="U24" i="2" s="1"/>
  <c r="U29" i="12"/>
  <c r="U29" i="2" s="1"/>
  <c r="T36" i="34"/>
  <c r="U28" i="12"/>
  <c r="U28" i="2" s="1"/>
  <c r="U19" i="2" l="1"/>
  <c r="U14" i="34"/>
  <c r="T13" i="34"/>
  <c r="U61" i="2"/>
  <c r="U31" i="12"/>
  <c r="U32" i="12" s="1"/>
  <c r="T40" i="34"/>
  <c r="U22" i="2"/>
  <c r="T21" i="34"/>
  <c r="T33" i="34"/>
  <c r="T15" i="34"/>
  <c r="T19" i="34" l="1"/>
  <c r="U19" i="34"/>
  <c r="U31" i="2"/>
  <c r="T38" i="34"/>
  <c r="T43" i="34"/>
  <c r="T39" i="34"/>
  <c r="T41" i="34"/>
  <c r="T11" i="34"/>
  <c r="T32" i="34"/>
  <c r="T12" i="34"/>
  <c r="T31" i="34"/>
  <c r="U32" i="2" l="1"/>
  <c r="V32" i="2"/>
  <c r="T18" i="34"/>
  <c r="T22" i="34"/>
  <c r="T17" i="34"/>
  <c r="T20" i="34"/>
  <c r="N52" i="2" l="1"/>
  <c r="O52" i="2" l="1"/>
  <c r="P52" i="2" l="1"/>
  <c r="Q52" i="2" l="1"/>
  <c r="R52" i="2" l="1"/>
  <c r="D36" i="39" l="1"/>
  <c r="H85" i="35" l="1"/>
  <c r="J85" i="35"/>
  <c r="J82" i="35"/>
  <c r="H82" i="35"/>
  <c r="V334" i="34" l="1"/>
  <c r="V335" i="34"/>
  <c r="I88" i="35"/>
  <c r="V344" i="34"/>
  <c r="F85" i="35"/>
  <c r="V343" i="34"/>
  <c r="J88" i="35"/>
  <c r="H88" i="35"/>
  <c r="V353" i="34"/>
  <c r="F88" i="35"/>
  <c r="V352" i="34"/>
  <c r="G88" i="35"/>
  <c r="W353" i="34"/>
  <c r="W352" i="34"/>
  <c r="V238" i="34" l="1"/>
  <c r="V239" i="34"/>
  <c r="V248" i="34"/>
  <c r="V247" i="34"/>
  <c r="W248" i="34"/>
  <c r="W247" i="34"/>
  <c r="I85" i="35"/>
  <c r="W343" i="34"/>
  <c r="G85" i="35"/>
  <c r="W344" i="34"/>
  <c r="W238" i="34" l="1"/>
  <c r="W239" i="34"/>
  <c r="I82" i="35"/>
  <c r="F87" i="35" l="1"/>
  <c r="V350" i="34"/>
  <c r="V349" i="34"/>
  <c r="V244" i="34" l="1"/>
  <c r="V245" i="34"/>
  <c r="I108" i="40" l="1"/>
  <c r="I111" i="40" s="1"/>
  <c r="W342" i="34" l="1"/>
  <c r="I111" i="39"/>
  <c r="I108" i="39"/>
  <c r="H108" i="40"/>
  <c r="H111" i="40" s="1"/>
  <c r="J108" i="40"/>
  <c r="J111" i="40" s="1"/>
  <c r="G84" i="36"/>
  <c r="W340" i="34" s="1"/>
  <c r="V342" i="34" l="1"/>
  <c r="J108" i="39"/>
  <c r="J111" i="39"/>
  <c r="H108" i="39"/>
  <c r="H111" i="39"/>
  <c r="V237" i="34" s="1"/>
  <c r="H84" i="36"/>
  <c r="K108" i="40"/>
  <c r="K111" i="40" s="1"/>
  <c r="F84" i="36"/>
  <c r="V340" i="34" s="1"/>
  <c r="K108" i="39" l="1"/>
  <c r="K111" i="39"/>
  <c r="I84" i="36"/>
  <c r="H84" i="35"/>
  <c r="W341" i="34"/>
  <c r="I84" i="35" l="1"/>
  <c r="F84" i="35"/>
  <c r="V341" i="34"/>
  <c r="L108" i="40"/>
  <c r="L111" i="40" s="1"/>
  <c r="L108" i="39" l="1"/>
  <c r="L111" i="39"/>
  <c r="V236" i="34"/>
  <c r="V235" i="34"/>
  <c r="J84" i="36"/>
  <c r="J84" i="35" l="1"/>
  <c r="H141" i="40"/>
  <c r="H251" i="40" l="1"/>
  <c r="D151" i="40"/>
  <c r="F86" i="36"/>
  <c r="H141" i="39"/>
  <c r="V348" i="34"/>
  <c r="V347" i="34" l="1"/>
  <c r="V346" i="34"/>
  <c r="F86" i="35"/>
  <c r="I141" i="40" l="1"/>
  <c r="V241" i="34"/>
  <c r="V242" i="34"/>
  <c r="J141" i="40"/>
  <c r="H86" i="36" l="1"/>
  <c r="J141" i="39"/>
  <c r="G86" i="36"/>
  <c r="I141" i="39"/>
  <c r="H86" i="35"/>
  <c r="W348" i="34"/>
  <c r="K141" i="40"/>
  <c r="I86" i="36" l="1"/>
  <c r="I86" i="35" s="1"/>
  <c r="K141" i="39"/>
  <c r="W347" i="34"/>
  <c r="G86" i="35"/>
  <c r="W346" i="34"/>
  <c r="L141" i="40"/>
  <c r="J86" i="36" l="1"/>
  <c r="J86" i="35" s="1"/>
  <c r="L141" i="39"/>
  <c r="M260" i="40"/>
  <c r="M141" i="40" s="1"/>
  <c r="M141" i="39" s="1"/>
  <c r="W242" i="34"/>
  <c r="W241" i="34"/>
  <c r="F83" i="36" l="1"/>
  <c r="V339" i="34" l="1"/>
  <c r="J151" i="40" l="1"/>
  <c r="V363" i="34"/>
  <c r="V338" i="34"/>
  <c r="V361" i="34"/>
  <c r="F83" i="35"/>
  <c r="V362" i="34"/>
  <c r="V337" i="34"/>
  <c r="V232" i="34" l="1"/>
  <c r="V233" i="34"/>
  <c r="J156" i="40"/>
  <c r="G83" i="36" l="1"/>
  <c r="J166" i="40"/>
  <c r="J251" i="40" s="1"/>
  <c r="H87" i="36" l="1"/>
  <c r="W339" i="34"/>
  <c r="W337" i="34" l="1"/>
  <c r="G83" i="35"/>
  <c r="W338" i="34"/>
  <c r="W232" i="34" l="1"/>
  <c r="H83" i="36"/>
  <c r="W233" i="34"/>
  <c r="H83" i="35" l="1"/>
  <c r="W637" i="34" l="1"/>
  <c r="W635" i="34"/>
  <c r="M155" i="40"/>
  <c r="L153" i="40"/>
  <c r="L156" i="40" l="1"/>
  <c r="L166" i="40" l="1"/>
  <c r="J87" i="36" l="1"/>
  <c r="K36" i="40"/>
  <c r="I83" i="36" l="1"/>
  <c r="I83" i="35" s="1"/>
  <c r="K36" i="39"/>
  <c r="L36" i="40" l="1"/>
  <c r="L251" i="40" s="1"/>
  <c r="M258" i="40"/>
  <c r="M36" i="40" s="1"/>
  <c r="M36" i="39" l="1"/>
  <c r="J83" i="36"/>
  <c r="J83" i="35" s="1"/>
  <c r="L36" i="39"/>
  <c r="N17" i="2" l="1"/>
  <c r="R13" i="2"/>
  <c r="R17" i="2"/>
  <c r="R14" i="2"/>
  <c r="O17" i="2"/>
  <c r="O14" i="2"/>
  <c r="Q13" i="2"/>
  <c r="Q17" i="2"/>
  <c r="Q14" i="2"/>
  <c r="P17" i="2"/>
  <c r="P13" i="2"/>
  <c r="P14" i="2"/>
  <c r="P45" i="34" l="1"/>
  <c r="P44" i="34"/>
  <c r="N13" i="2"/>
  <c r="N14" i="2"/>
  <c r="Q45" i="34"/>
  <c r="O13" i="2"/>
  <c r="Q44" i="34"/>
  <c r="R50" i="12" l="1"/>
  <c r="R50" i="2" s="1"/>
  <c r="R15" i="2"/>
  <c r="O18" i="12"/>
  <c r="O80" i="12" s="1"/>
  <c r="O82" i="12" s="1"/>
  <c r="O50" i="12"/>
  <c r="O50" i="2" s="1"/>
  <c r="O15" i="2"/>
  <c r="Q78" i="34"/>
  <c r="Q18" i="12"/>
  <c r="Q80" i="12" s="1"/>
  <c r="Q82" i="12" s="1"/>
  <c r="N50" i="12"/>
  <c r="N50" i="2" s="1"/>
  <c r="N15" i="2"/>
  <c r="P78" i="34"/>
  <c r="R12" i="2"/>
  <c r="R18" i="12"/>
  <c r="P12" i="2"/>
  <c r="Q50" i="12"/>
  <c r="Q50" i="2" s="1"/>
  <c r="Q15" i="2"/>
  <c r="O12" i="2"/>
  <c r="P50" i="12"/>
  <c r="P50" i="2" s="1"/>
  <c r="P15" i="2"/>
  <c r="Q12" i="2"/>
  <c r="N12" i="2"/>
  <c r="P37" i="34"/>
  <c r="R18" i="2" l="1"/>
  <c r="R80" i="12"/>
  <c r="R82" i="12" s="1"/>
  <c r="P76" i="34"/>
  <c r="P77" i="34"/>
  <c r="Q68" i="34"/>
  <c r="O51" i="12"/>
  <c r="O51" i="2" s="1"/>
  <c r="O16" i="2"/>
  <c r="Q16" i="34" s="1"/>
  <c r="Q75" i="34"/>
  <c r="P16" i="2"/>
  <c r="P51" i="12"/>
  <c r="P51" i="2" s="1"/>
  <c r="P39" i="2"/>
  <c r="R19" i="12"/>
  <c r="R61" i="12"/>
  <c r="O61" i="12"/>
  <c r="O18" i="2"/>
  <c r="Q42" i="34"/>
  <c r="Q35" i="34"/>
  <c r="Q36" i="34"/>
  <c r="Q37" i="34"/>
  <c r="N16" i="2"/>
  <c r="P16" i="34" s="1"/>
  <c r="P75" i="34"/>
  <c r="P67" i="34"/>
  <c r="N51" i="12"/>
  <c r="N51" i="2" s="1"/>
  <c r="Q51" i="12"/>
  <c r="Q51" i="2" s="1"/>
  <c r="Q16" i="2"/>
  <c r="Q39" i="2"/>
  <c r="R39" i="2"/>
  <c r="R16" i="2"/>
  <c r="R51" i="12"/>
  <c r="R51" i="2" s="1"/>
  <c r="Q76" i="34"/>
  <c r="Q18" i="2"/>
  <c r="Q61" i="12"/>
  <c r="P18" i="12"/>
  <c r="Q77" i="34"/>
  <c r="N18" i="12"/>
  <c r="R36" i="2"/>
  <c r="P81" i="34"/>
  <c r="Q36" i="2"/>
  <c r="P36" i="2"/>
  <c r="Q81" i="34"/>
  <c r="O19" i="12" l="1"/>
  <c r="N80" i="12"/>
  <c r="N82" i="12" s="1"/>
  <c r="Q19" i="12"/>
  <c r="P80" i="12"/>
  <c r="P82" i="12" s="1"/>
  <c r="Q80" i="34"/>
  <c r="Q66" i="34"/>
  <c r="P68" i="34"/>
  <c r="P80" i="34"/>
  <c r="Q66" i="12"/>
  <c r="Q61" i="2"/>
  <c r="I12" i="36"/>
  <c r="I81" i="36" s="1"/>
  <c r="P41" i="2"/>
  <c r="N19" i="12"/>
  <c r="N26" i="12"/>
  <c r="N26" i="2" s="1"/>
  <c r="N18" i="2"/>
  <c r="O19" i="2" s="1"/>
  <c r="N29" i="12"/>
  <c r="N22" i="12"/>
  <c r="N61" i="12"/>
  <c r="N23" i="12"/>
  <c r="N27" i="12"/>
  <c r="P36" i="34"/>
  <c r="N28" i="12"/>
  <c r="P35" i="34"/>
  <c r="P42" i="34"/>
  <c r="N30" i="12"/>
  <c r="N25" i="12"/>
  <c r="N24" i="12"/>
  <c r="Q79" i="34"/>
  <c r="P79" i="34"/>
  <c r="O36" i="2"/>
  <c r="P19" i="12"/>
  <c r="P18" i="2"/>
  <c r="P19" i="2" s="1"/>
  <c r="P61" i="12"/>
  <c r="N36" i="2"/>
  <c r="P66" i="34"/>
  <c r="P73" i="34"/>
  <c r="N39" i="2"/>
  <c r="N41" i="2" s="1"/>
  <c r="P64" i="34"/>
  <c r="P72" i="34"/>
  <c r="P65" i="34"/>
  <c r="P74" i="34"/>
  <c r="R41" i="2"/>
  <c r="R19" i="2"/>
  <c r="Q41" i="2"/>
  <c r="Q14" i="34"/>
  <c r="S19" i="2"/>
  <c r="Q21" i="34"/>
  <c r="Q15" i="34"/>
  <c r="Q33" i="34"/>
  <c r="R61" i="2"/>
  <c r="J12" i="36"/>
  <c r="J81" i="36" s="1"/>
  <c r="R66" i="12"/>
  <c r="Q13" i="34"/>
  <c r="O61" i="2"/>
  <c r="G12" i="36"/>
  <c r="G81" i="36" s="1"/>
  <c r="W277" i="34"/>
  <c r="O66" i="12"/>
  <c r="Q49" i="34" s="1"/>
  <c r="W274" i="34"/>
  <c r="Q50" i="34"/>
  <c r="Q67" i="34"/>
  <c r="Q74" i="34"/>
  <c r="Q72" i="34"/>
  <c r="Q64" i="34"/>
  <c r="O39" i="2"/>
  <c r="O41" i="2" s="1"/>
  <c r="Q73" i="34"/>
  <c r="Q65" i="34"/>
  <c r="Q19" i="2" l="1"/>
  <c r="N22" i="2"/>
  <c r="P40" i="34"/>
  <c r="N31" i="12"/>
  <c r="O30" i="12" s="1"/>
  <c r="N29" i="2"/>
  <c r="N24" i="2"/>
  <c r="N19" i="2"/>
  <c r="P14" i="34"/>
  <c r="P21" i="34"/>
  <c r="P33" i="34"/>
  <c r="P15" i="34"/>
  <c r="Q51" i="34"/>
  <c r="Q56" i="34"/>
  <c r="O70" i="12"/>
  <c r="Q55" i="34" s="1"/>
  <c r="O66" i="2"/>
  <c r="N25" i="2"/>
  <c r="P61" i="2"/>
  <c r="P66" i="12"/>
  <c r="Q67" i="12" s="1"/>
  <c r="H12" i="36"/>
  <c r="H81" i="36" s="1"/>
  <c r="N30" i="2"/>
  <c r="V277" i="34"/>
  <c r="P50" i="34"/>
  <c r="F33" i="36"/>
  <c r="N66" i="12"/>
  <c r="V198" i="34"/>
  <c r="V274" i="34"/>
  <c r="N61" i="2"/>
  <c r="F12" i="36"/>
  <c r="P13" i="34"/>
  <c r="V295" i="34"/>
  <c r="W272" i="34"/>
  <c r="G15" i="36"/>
  <c r="G12" i="35"/>
  <c r="W333" i="34"/>
  <c r="W273" i="34"/>
  <c r="J12" i="35"/>
  <c r="J15" i="36"/>
  <c r="J15" i="35" s="1"/>
  <c r="W177" i="34"/>
  <c r="Q11" i="34"/>
  <c r="Q12" i="34"/>
  <c r="J16" i="45"/>
  <c r="Q32" i="34"/>
  <c r="Q31" i="34"/>
  <c r="W180" i="34"/>
  <c r="N28" i="2"/>
  <c r="I12" i="35"/>
  <c r="I15" i="36"/>
  <c r="I15" i="35" s="1"/>
  <c r="N23" i="2"/>
  <c r="R70" i="12"/>
  <c r="R67" i="12"/>
  <c r="R66" i="2"/>
  <c r="N27" i="2"/>
  <c r="Q66" i="2"/>
  <c r="Q70" i="12"/>
  <c r="P49" i="34" l="1"/>
  <c r="N66" i="2"/>
  <c r="O67" i="2" s="1"/>
  <c r="O27" i="12"/>
  <c r="O27" i="2" s="1"/>
  <c r="O24" i="12"/>
  <c r="O24" i="2" s="1"/>
  <c r="O25" i="12"/>
  <c r="O25" i="2" s="1"/>
  <c r="O29" i="12"/>
  <c r="O29" i="2" s="1"/>
  <c r="O23" i="12"/>
  <c r="O28" i="12"/>
  <c r="W295" i="34" s="1"/>
  <c r="O70" i="2"/>
  <c r="Q28" i="34" s="1"/>
  <c r="O22" i="12"/>
  <c r="O22" i="2" s="1"/>
  <c r="P11" i="34"/>
  <c r="I16" i="45"/>
  <c r="V180" i="34"/>
  <c r="P31" i="34"/>
  <c r="V177" i="34"/>
  <c r="P12" i="34"/>
  <c r="P32" i="34"/>
  <c r="I81" i="35"/>
  <c r="J81" i="35"/>
  <c r="J91" i="36"/>
  <c r="P66" i="2"/>
  <c r="Q67" i="2" s="1"/>
  <c r="P70" i="12"/>
  <c r="P71" i="12" s="1"/>
  <c r="P67" i="12"/>
  <c r="Q70" i="2"/>
  <c r="P56" i="34"/>
  <c r="N70" i="12"/>
  <c r="O71" i="12" s="1"/>
  <c r="P51" i="34"/>
  <c r="N67" i="12"/>
  <c r="W176" i="34"/>
  <c r="W228" i="34"/>
  <c r="W175" i="34"/>
  <c r="V294" i="34"/>
  <c r="F33" i="35"/>
  <c r="V293" i="34"/>
  <c r="O67" i="12"/>
  <c r="W275" i="34"/>
  <c r="G15" i="35"/>
  <c r="W276" i="34"/>
  <c r="J17" i="45"/>
  <c r="Q29" i="34"/>
  <c r="R67" i="2"/>
  <c r="R70" i="2"/>
  <c r="Q57" i="34"/>
  <c r="G81" i="35"/>
  <c r="W331" i="34"/>
  <c r="W332" i="34"/>
  <c r="O30" i="2"/>
  <c r="R71" i="12"/>
  <c r="O26" i="12"/>
  <c r="N31" i="2"/>
  <c r="P39" i="34"/>
  <c r="N32" i="12"/>
  <c r="P43" i="34"/>
  <c r="P38" i="34"/>
  <c r="P41" i="34"/>
  <c r="O23" i="2"/>
  <c r="F81" i="36"/>
  <c r="F12" i="35"/>
  <c r="F15" i="36"/>
  <c r="V273" i="34"/>
  <c r="V333" i="34"/>
  <c r="V272" i="34"/>
  <c r="H15" i="36"/>
  <c r="H15" i="35" s="1"/>
  <c r="H12" i="35"/>
  <c r="P19" i="34"/>
  <c r="G33" i="36" l="1"/>
  <c r="G33" i="35" s="1"/>
  <c r="W198" i="34"/>
  <c r="O28" i="2"/>
  <c r="O31" i="12"/>
  <c r="P22" i="12" s="1"/>
  <c r="P22" i="2" s="1"/>
  <c r="P55" i="34"/>
  <c r="Q40" i="34"/>
  <c r="R71" i="2"/>
  <c r="O26" i="2"/>
  <c r="J21" i="45"/>
  <c r="N32" i="2"/>
  <c r="P17" i="34"/>
  <c r="P18" i="34"/>
  <c r="P22" i="34"/>
  <c r="P20" i="34"/>
  <c r="F15" i="35"/>
  <c r="V276" i="34"/>
  <c r="V275" i="34"/>
  <c r="W227" i="34"/>
  <c r="W226" i="34"/>
  <c r="P70" i="2"/>
  <c r="P71" i="2" s="1"/>
  <c r="P67" i="2"/>
  <c r="V175" i="34"/>
  <c r="V176" i="34"/>
  <c r="V228" i="34"/>
  <c r="W178" i="34"/>
  <c r="W179" i="34"/>
  <c r="F91" i="36"/>
  <c r="V331" i="34"/>
  <c r="V332" i="34"/>
  <c r="F81" i="35"/>
  <c r="V366" i="34"/>
  <c r="W294" i="34"/>
  <c r="W293" i="34"/>
  <c r="V196" i="34"/>
  <c r="V197" i="34"/>
  <c r="N71" i="12"/>
  <c r="P57" i="34"/>
  <c r="Q71" i="12"/>
  <c r="P29" i="34"/>
  <c r="N70" i="2"/>
  <c r="O71" i="2" s="1"/>
  <c r="N67" i="2"/>
  <c r="I17" i="45"/>
  <c r="J18" i="45" s="1"/>
  <c r="Q30" i="34"/>
  <c r="H81" i="35"/>
  <c r="H91" i="36"/>
  <c r="J93" i="36"/>
  <c r="Q38" i="34" l="1"/>
  <c r="P24" i="12"/>
  <c r="P28" i="12"/>
  <c r="P28" i="2" s="1"/>
  <c r="P29" i="12"/>
  <c r="P29" i="2" s="1"/>
  <c r="O31" i="2"/>
  <c r="Q17" i="34" s="1"/>
  <c r="P30" i="12"/>
  <c r="P30" i="2" s="1"/>
  <c r="Q41" i="34"/>
  <c r="O32" i="12"/>
  <c r="P26" i="12"/>
  <c r="P26" i="2" s="1"/>
  <c r="P27" i="12"/>
  <c r="P27" i="2" s="1"/>
  <c r="P25" i="12"/>
  <c r="P25" i="2" s="1"/>
  <c r="Q43" i="34"/>
  <c r="Q39" i="34"/>
  <c r="Q19" i="34"/>
  <c r="P23" i="12"/>
  <c r="P23" i="2" s="1"/>
  <c r="J96" i="36"/>
  <c r="Q71" i="2"/>
  <c r="V364" i="34"/>
  <c r="V372" i="34"/>
  <c r="F93" i="36"/>
  <c r="V365" i="34"/>
  <c r="J23" i="45"/>
  <c r="V179" i="34"/>
  <c r="V178" i="34"/>
  <c r="N71" i="2"/>
  <c r="P30" i="34"/>
  <c r="P24" i="2"/>
  <c r="H93" i="36"/>
  <c r="P28" i="34"/>
  <c r="I21" i="45"/>
  <c r="J22" i="45" s="1"/>
  <c r="I18" i="45"/>
  <c r="W196" i="34"/>
  <c r="W197" i="34"/>
  <c r="V227" i="34"/>
  <c r="V226" i="34"/>
  <c r="Q20" i="34" l="1"/>
  <c r="H33" i="36"/>
  <c r="H33" i="35" s="1"/>
  <c r="O32" i="2"/>
  <c r="Q18" i="34"/>
  <c r="Q22" i="34"/>
  <c r="S32" i="2"/>
  <c r="P31" i="12"/>
  <c r="Q22" i="12" s="1"/>
  <c r="H96" i="36"/>
  <c r="I22" i="45"/>
  <c r="I23" i="45"/>
  <c r="I24" i="45" s="1"/>
  <c r="F96" i="36"/>
  <c r="V375" i="34"/>
  <c r="V371" i="34"/>
  <c r="V370" i="34"/>
  <c r="Q29" i="12" l="1"/>
  <c r="P31" i="2"/>
  <c r="P32" i="2" s="1"/>
  <c r="Q25" i="12"/>
  <c r="Q25" i="2" s="1"/>
  <c r="Q26" i="12"/>
  <c r="Q26" i="2" s="1"/>
  <c r="Q27" i="12"/>
  <c r="Q27" i="2" s="1"/>
  <c r="Q23" i="12"/>
  <c r="Q23" i="2" s="1"/>
  <c r="Q30" i="12"/>
  <c r="Q30" i="2" s="1"/>
  <c r="Q28" i="12"/>
  <c r="Q28" i="2" s="1"/>
  <c r="P32" i="12"/>
  <c r="Q24" i="12"/>
  <c r="Q24" i="2" s="1"/>
  <c r="V373" i="34"/>
  <c r="V374" i="34"/>
  <c r="Q29" i="2"/>
  <c r="J24" i="45"/>
  <c r="Q22" i="2"/>
  <c r="Q31" i="12" l="1"/>
  <c r="R22" i="12" s="1"/>
  <c r="R22" i="2" s="1"/>
  <c r="I33" i="36"/>
  <c r="I33" i="35" s="1"/>
  <c r="R27" i="12" l="1"/>
  <c r="R27" i="2" s="1"/>
  <c r="R29" i="12"/>
  <c r="R29" i="2" s="1"/>
  <c r="Q31" i="2"/>
  <c r="Q32" i="2" s="1"/>
  <c r="R30" i="12"/>
  <c r="R30" i="2" s="1"/>
  <c r="R25" i="12"/>
  <c r="R25" i="2" s="1"/>
  <c r="R28" i="12"/>
  <c r="J33" i="36" s="1"/>
  <c r="J33" i="35" s="1"/>
  <c r="R23" i="12"/>
  <c r="R23" i="2" s="1"/>
  <c r="Q32" i="12"/>
  <c r="R24" i="12"/>
  <c r="R24" i="2" s="1"/>
  <c r="R26" i="12"/>
  <c r="R26" i="2" s="1"/>
  <c r="R28" i="2" l="1"/>
  <c r="R31" i="12"/>
  <c r="R31" i="2" s="1"/>
  <c r="R32" i="2" s="1"/>
  <c r="R32" i="12" l="1"/>
  <c r="N38" i="2"/>
  <c r="N37" i="2" l="1"/>
  <c r="P71" i="34"/>
  <c r="P70" i="34"/>
  <c r="O38" i="2" l="1"/>
  <c r="O37" i="2" l="1"/>
  <c r="Q70" i="34"/>
  <c r="Q71" i="34"/>
  <c r="P38" i="2" l="1"/>
  <c r="P37" i="2"/>
  <c r="Q37" i="2" l="1"/>
  <c r="Q38" i="2"/>
  <c r="R37" i="2" l="1"/>
  <c r="R38" i="2"/>
  <c r="U133" i="34" l="1"/>
  <c r="U148" i="34"/>
  <c r="U150" i="34"/>
  <c r="V14" i="2"/>
  <c r="U16" i="34" s="1"/>
  <c r="V18" i="10"/>
  <c r="U131" i="34" l="1"/>
  <c r="U138" i="34"/>
  <c r="V61" i="10"/>
  <c r="U137" i="34"/>
  <c r="V19" i="10"/>
  <c r="V18" i="2"/>
  <c r="U132" i="34"/>
  <c r="U33" i="34" l="1"/>
  <c r="U20" i="34"/>
  <c r="U21" i="34"/>
  <c r="V19" i="2"/>
  <c r="U15" i="34"/>
  <c r="U152" i="34"/>
  <c r="V61" i="2"/>
  <c r="U13" i="34"/>
  <c r="E23" i="38"/>
  <c r="U11" i="34" l="1"/>
  <c r="U12" i="34"/>
  <c r="U31" i="34"/>
  <c r="U32" i="34"/>
  <c r="D51" i="49"/>
  <c r="D39" i="42"/>
  <c r="E28" i="38"/>
  <c r="E78" i="38" l="1"/>
  <c r="U701" i="34"/>
  <c r="U702" i="34"/>
  <c r="I39" i="42"/>
  <c r="I42" i="42" s="1"/>
  <c r="I175" i="42" s="1"/>
  <c r="D42" i="42"/>
  <c r="D175" i="42" s="1"/>
  <c r="D51" i="39"/>
  <c r="I51" i="49"/>
  <c r="D52" i="49"/>
  <c r="I52" i="49" l="1"/>
  <c r="I51" i="39"/>
  <c r="U696" i="34"/>
  <c r="U695" i="34"/>
  <c r="T703" i="34"/>
  <c r="T697" i="34"/>
  <c r="D58" i="49"/>
  <c r="T701" i="34"/>
  <c r="T695" i="34"/>
  <c r="D52" i="39"/>
  <c r="D251" i="49" l="1"/>
  <c r="D58" i="39"/>
  <c r="S703" i="34"/>
  <c r="S701" i="34"/>
  <c r="S695" i="34"/>
  <c r="S697" i="34"/>
  <c r="T593" i="34"/>
  <c r="T595" i="34"/>
  <c r="I52" i="39"/>
  <c r="I58" i="49"/>
  <c r="I58" i="39" l="1"/>
  <c r="W237" i="34" s="1"/>
  <c r="I251" i="49"/>
  <c r="G84" i="38"/>
  <c r="S595" i="34"/>
  <c r="S593" i="34"/>
  <c r="W573" i="34" l="1"/>
  <c r="W572" i="34"/>
  <c r="G84" i="35"/>
  <c r="G91" i="38"/>
  <c r="W576" i="34"/>
  <c r="W550" i="34"/>
  <c r="W551" i="34"/>
  <c r="W571" i="34"/>
  <c r="W235" i="34" l="1"/>
  <c r="W236" i="34"/>
  <c r="W574" i="34"/>
  <c r="W575" i="34"/>
  <c r="G93" i="38"/>
  <c r="W582" i="34"/>
  <c r="W585" i="34" l="1"/>
  <c r="G96" i="38"/>
  <c r="W580" i="34"/>
  <c r="W581" i="34"/>
  <c r="W583" i="34" l="1"/>
  <c r="W584" i="34"/>
  <c r="J65" i="11" l="1"/>
  <c r="J66" i="11" s="1"/>
  <c r="H65" i="12"/>
  <c r="J62" i="34" s="1"/>
  <c r="I65" i="11"/>
  <c r="K96" i="34" s="1"/>
  <c r="H65" i="11"/>
  <c r="K95" i="34" s="1"/>
  <c r="I65" i="12"/>
  <c r="I66" i="12" s="1"/>
  <c r="G65" i="2"/>
  <c r="J25" i="34" s="1"/>
  <c r="J65" i="12"/>
  <c r="L50" i="34" s="1"/>
  <c r="M25" i="34"/>
  <c r="L111" i="34"/>
  <c r="M26" i="34"/>
  <c r="L63" i="34"/>
  <c r="L27" i="34"/>
  <c r="T65" i="2"/>
  <c r="S27" i="34" s="1"/>
  <c r="T26" i="34"/>
  <c r="J27" i="34"/>
  <c r="J111" i="34"/>
  <c r="J63" i="34"/>
  <c r="K25" i="34"/>
  <c r="K26" i="34"/>
  <c r="K27" i="34"/>
  <c r="L26" i="34"/>
  <c r="K63" i="34"/>
  <c r="K111" i="34"/>
  <c r="L25" i="34"/>
  <c r="J65" i="10" l="1"/>
  <c r="J66" i="10" s="1"/>
  <c r="K67" i="10" s="1"/>
  <c r="I27" i="34"/>
  <c r="K50" i="34"/>
  <c r="L96" i="34"/>
  <c r="L47" i="34"/>
  <c r="K61" i="34"/>
  <c r="M94" i="34"/>
  <c r="M95" i="34"/>
  <c r="L110" i="34"/>
  <c r="K62" i="34"/>
  <c r="J98" i="34"/>
  <c r="F65" i="2"/>
  <c r="I25" i="34" s="1"/>
  <c r="H66" i="11"/>
  <c r="J109" i="34"/>
  <c r="I111" i="34"/>
  <c r="S25" i="34"/>
  <c r="U65" i="2"/>
  <c r="T27" i="34" s="1"/>
  <c r="K94" i="34"/>
  <c r="K48" i="34"/>
  <c r="H70" i="11"/>
  <c r="J103" i="34" s="1"/>
  <c r="J104" i="34"/>
  <c r="L158" i="34"/>
  <c r="L151" i="34"/>
  <c r="L153" i="34"/>
  <c r="J70" i="10"/>
  <c r="L48" i="34"/>
  <c r="J99" i="34"/>
  <c r="K56" i="34"/>
  <c r="K51" i="34"/>
  <c r="I70" i="12"/>
  <c r="V65" i="2"/>
  <c r="U25" i="34" s="1"/>
  <c r="I66" i="11"/>
  <c r="K97" i="34" s="1"/>
  <c r="J70" i="11"/>
  <c r="L104" i="34"/>
  <c r="L99" i="34"/>
  <c r="K67" i="11"/>
  <c r="L46" i="34"/>
  <c r="K109" i="34"/>
  <c r="H66" i="12"/>
  <c r="J61" i="34"/>
  <c r="I65" i="10"/>
  <c r="I66" i="10" s="1"/>
  <c r="L95" i="34"/>
  <c r="K47" i="34"/>
  <c r="M47" i="34"/>
  <c r="K110" i="34"/>
  <c r="K46" i="34"/>
  <c r="L61" i="34"/>
  <c r="M46" i="34"/>
  <c r="L94" i="34"/>
  <c r="J48" i="34"/>
  <c r="T65" i="11"/>
  <c r="S94" i="34" s="1"/>
  <c r="C17" i="35"/>
  <c r="C18" i="35" s="1"/>
  <c r="C19" i="35" s="1"/>
  <c r="K49" i="34"/>
  <c r="K98" i="34"/>
  <c r="J50" i="34"/>
  <c r="S47" i="34"/>
  <c r="J66" i="12"/>
  <c r="L62" i="34"/>
  <c r="T65" i="12"/>
  <c r="S46" i="34" s="1"/>
  <c r="L109" i="34"/>
  <c r="L97" i="34"/>
  <c r="L98" i="34"/>
  <c r="S63" i="34"/>
  <c r="S26" i="34"/>
  <c r="G65" i="11"/>
  <c r="J26" i="34"/>
  <c r="G65" i="12"/>
  <c r="S111" i="34"/>
  <c r="I63" i="34"/>
  <c r="J96" i="34"/>
  <c r="H65" i="10"/>
  <c r="H66" i="10" s="1"/>
  <c r="J97" i="34"/>
  <c r="J110" i="34"/>
  <c r="S95" i="34"/>
  <c r="H63" i="34" l="1"/>
  <c r="F65" i="11"/>
  <c r="H111" i="34"/>
  <c r="F65" i="12"/>
  <c r="H62" i="34" s="1"/>
  <c r="I26" i="34"/>
  <c r="E65" i="2"/>
  <c r="G27" i="34" s="1"/>
  <c r="T111" i="34"/>
  <c r="T25" i="34"/>
  <c r="T63" i="34"/>
  <c r="H27" i="34"/>
  <c r="D17" i="35"/>
  <c r="D18" i="35" s="1"/>
  <c r="D19" i="35" s="1"/>
  <c r="U26" i="34"/>
  <c r="U65" i="11"/>
  <c r="T110" i="34" s="1"/>
  <c r="U65" i="12"/>
  <c r="T46" i="34" s="1"/>
  <c r="J51" i="34"/>
  <c r="H66" i="2"/>
  <c r="H70" i="12"/>
  <c r="I71" i="12" s="1"/>
  <c r="J55" i="34"/>
  <c r="J56" i="34"/>
  <c r="F66" i="12"/>
  <c r="H49" i="34" s="1"/>
  <c r="H50" i="34"/>
  <c r="I46" i="34"/>
  <c r="H61" i="34"/>
  <c r="K71" i="10"/>
  <c r="L159" i="34"/>
  <c r="I70" i="11"/>
  <c r="K103" i="34" s="1"/>
  <c r="K104" i="34"/>
  <c r="I67" i="11"/>
  <c r="K99" i="34"/>
  <c r="U27" i="34"/>
  <c r="V65" i="12"/>
  <c r="U111" i="34"/>
  <c r="U63" i="34"/>
  <c r="V65" i="11"/>
  <c r="U94" i="34" s="1"/>
  <c r="L157" i="34"/>
  <c r="I66" i="2"/>
  <c r="J66" i="2"/>
  <c r="J67" i="12"/>
  <c r="J70" i="12"/>
  <c r="K67" i="12"/>
  <c r="L56" i="34"/>
  <c r="L51" i="34"/>
  <c r="G63" i="34"/>
  <c r="G111" i="34"/>
  <c r="K57" i="34"/>
  <c r="J151" i="34"/>
  <c r="J158" i="34"/>
  <c r="J153" i="34"/>
  <c r="H70" i="10"/>
  <c r="J157" i="34" s="1"/>
  <c r="C17" i="36"/>
  <c r="C18" i="36" s="1"/>
  <c r="C19" i="36" s="1"/>
  <c r="T66" i="12"/>
  <c r="S49" i="34" s="1"/>
  <c r="S48" i="34"/>
  <c r="S61" i="34"/>
  <c r="S50" i="34"/>
  <c r="S62" i="34"/>
  <c r="T47" i="34"/>
  <c r="G66" i="11"/>
  <c r="I97" i="34" s="1"/>
  <c r="G65" i="10"/>
  <c r="G66" i="10" s="1"/>
  <c r="H67" i="10" s="1"/>
  <c r="I96" i="34"/>
  <c r="J95" i="34"/>
  <c r="I109" i="34"/>
  <c r="I98" i="34"/>
  <c r="I110" i="34"/>
  <c r="J94" i="34"/>
  <c r="T61" i="34"/>
  <c r="I70" i="10"/>
  <c r="K157" i="34" s="1"/>
  <c r="I67" i="10"/>
  <c r="K153" i="34"/>
  <c r="K151" i="34"/>
  <c r="K158" i="34"/>
  <c r="K71" i="11"/>
  <c r="L105" i="34"/>
  <c r="J105" i="34"/>
  <c r="D17" i="37"/>
  <c r="D18" i="37" s="1"/>
  <c r="D19" i="37" s="1"/>
  <c r="T109" i="34"/>
  <c r="U95" i="34"/>
  <c r="T96" i="34"/>
  <c r="L103" i="34"/>
  <c r="I67" i="12"/>
  <c r="I61" i="34"/>
  <c r="G66" i="12"/>
  <c r="H67" i="12" s="1"/>
  <c r="I62" i="34"/>
  <c r="J46" i="34"/>
  <c r="I50" i="34"/>
  <c r="J47" i="34"/>
  <c r="I48" i="34"/>
  <c r="S591" i="34"/>
  <c r="L49" i="34"/>
  <c r="J49" i="34"/>
  <c r="J67" i="11"/>
  <c r="K55" i="34"/>
  <c r="C17" i="37"/>
  <c r="C18" i="37" s="1"/>
  <c r="C19" i="37" s="1"/>
  <c r="T65" i="10"/>
  <c r="T66" i="10" s="1"/>
  <c r="T95" i="34"/>
  <c r="S96" i="34"/>
  <c r="S110" i="34"/>
  <c r="T94" i="34"/>
  <c r="S109" i="34"/>
  <c r="S98" i="34"/>
  <c r="T66" i="11"/>
  <c r="S97" i="34" s="1"/>
  <c r="F65" i="10"/>
  <c r="F66" i="10" s="1"/>
  <c r="H110" i="34"/>
  <c r="F66" i="11"/>
  <c r="H97" i="34" s="1"/>
  <c r="H109" i="34"/>
  <c r="H98" i="34"/>
  <c r="I94" i="34"/>
  <c r="I95" i="34"/>
  <c r="H96" i="34"/>
  <c r="J67" i="10"/>
  <c r="H26" i="34" l="1"/>
  <c r="E65" i="11"/>
  <c r="I47" i="34"/>
  <c r="H25" i="34"/>
  <c r="H48" i="34"/>
  <c r="D65" i="2"/>
  <c r="D65" i="12" s="1"/>
  <c r="E65" i="12"/>
  <c r="G61" i="34" s="1"/>
  <c r="T98" i="34"/>
  <c r="U65" i="10"/>
  <c r="U66" i="10" s="1"/>
  <c r="T158" i="34" s="1"/>
  <c r="U66" i="11"/>
  <c r="U70" i="11" s="1"/>
  <c r="T62" i="34"/>
  <c r="I49" i="34"/>
  <c r="T50" i="34"/>
  <c r="U47" i="34"/>
  <c r="U66" i="12"/>
  <c r="U70" i="12" s="1"/>
  <c r="T55" i="34" s="1"/>
  <c r="T48" i="34"/>
  <c r="D17" i="36"/>
  <c r="D18" i="36" s="1"/>
  <c r="D19" i="36" s="1"/>
  <c r="B13" i="40" s="1"/>
  <c r="T590" i="34"/>
  <c r="T591" i="34"/>
  <c r="E17" i="36"/>
  <c r="E18" i="36" s="1"/>
  <c r="E19" i="36" s="1"/>
  <c r="U62" i="34"/>
  <c r="U48" i="34"/>
  <c r="U61" i="34"/>
  <c r="U50" i="34"/>
  <c r="V66" i="12"/>
  <c r="U49" i="34" s="1"/>
  <c r="J71" i="12"/>
  <c r="K71" i="12"/>
  <c r="L57" i="34"/>
  <c r="G62" i="34"/>
  <c r="G50" i="34"/>
  <c r="D12" i="41"/>
  <c r="D12" i="48"/>
  <c r="S662" i="34" s="1"/>
  <c r="S663" i="34"/>
  <c r="C78" i="37"/>
  <c r="J67" i="2"/>
  <c r="L29" i="34"/>
  <c r="J70" i="2"/>
  <c r="L7" i="45"/>
  <c r="K67" i="2"/>
  <c r="H56" i="34"/>
  <c r="F70" i="12"/>
  <c r="H55" i="34" s="1"/>
  <c r="F66" i="2"/>
  <c r="H51" i="34"/>
  <c r="H153" i="34"/>
  <c r="F70" i="10"/>
  <c r="H157" i="34" s="1"/>
  <c r="H151" i="34"/>
  <c r="H158" i="34"/>
  <c r="S56" i="34"/>
  <c r="T70" i="12"/>
  <c r="S55" i="34" s="1"/>
  <c r="T66" i="2"/>
  <c r="T67" i="12"/>
  <c r="S51" i="34"/>
  <c r="L55" i="34"/>
  <c r="I71" i="11"/>
  <c r="K105" i="34"/>
  <c r="S153" i="34"/>
  <c r="S158" i="34"/>
  <c r="T67" i="10"/>
  <c r="S151" i="34"/>
  <c r="T70" i="10"/>
  <c r="I71" i="10"/>
  <c r="K159" i="34"/>
  <c r="S627" i="34"/>
  <c r="C78" i="36"/>
  <c r="D12" i="40"/>
  <c r="S626" i="34" s="1"/>
  <c r="G98" i="34"/>
  <c r="H95" i="34"/>
  <c r="G110" i="34"/>
  <c r="E66" i="11"/>
  <c r="G97" i="34" s="1"/>
  <c r="E65" i="10"/>
  <c r="E66" i="10" s="1"/>
  <c r="F67" i="10" s="1"/>
  <c r="G96" i="34"/>
  <c r="G109" i="34"/>
  <c r="H94" i="34"/>
  <c r="I70" i="2"/>
  <c r="I67" i="2"/>
  <c r="K29" i="34"/>
  <c r="J71" i="10"/>
  <c r="S104" i="34"/>
  <c r="T70" i="11"/>
  <c r="T67" i="11"/>
  <c r="S99" i="34"/>
  <c r="J159" i="34"/>
  <c r="T97" i="34"/>
  <c r="J71" i="11"/>
  <c r="I153" i="34"/>
  <c r="I151" i="34"/>
  <c r="G70" i="10"/>
  <c r="I157" i="34" s="1"/>
  <c r="I158" i="34"/>
  <c r="G67" i="10"/>
  <c r="F63" i="34"/>
  <c r="D65" i="11"/>
  <c r="G26" i="34"/>
  <c r="F27" i="34"/>
  <c r="G25" i="34"/>
  <c r="E17" i="37"/>
  <c r="E18" i="37" s="1"/>
  <c r="E19" i="37" s="1"/>
  <c r="V65" i="10"/>
  <c r="V66" i="10" s="1"/>
  <c r="V66" i="11"/>
  <c r="U97" i="34" s="1"/>
  <c r="U96" i="34"/>
  <c r="U110" i="34"/>
  <c r="U98" i="34"/>
  <c r="U109" i="34"/>
  <c r="J57" i="34"/>
  <c r="D13" i="48"/>
  <c r="D78" i="37"/>
  <c r="T663" i="34"/>
  <c r="D13" i="41"/>
  <c r="H13" i="41" s="1"/>
  <c r="H17" i="41" s="1"/>
  <c r="H175" i="41" s="1"/>
  <c r="U46" i="34"/>
  <c r="G70" i="11"/>
  <c r="I103" i="34" s="1"/>
  <c r="G67" i="11"/>
  <c r="I104" i="34"/>
  <c r="I99" i="34"/>
  <c r="H67" i="11"/>
  <c r="J29" i="34"/>
  <c r="H70" i="2"/>
  <c r="J28" i="34" s="1"/>
  <c r="F70" i="11"/>
  <c r="H103" i="34" s="1"/>
  <c r="H99" i="34"/>
  <c r="H104" i="34"/>
  <c r="G66" i="2"/>
  <c r="I56" i="34"/>
  <c r="G67" i="12"/>
  <c r="I51" i="34"/>
  <c r="G70" i="12"/>
  <c r="I55" i="34" s="1"/>
  <c r="U67" i="11" l="1"/>
  <c r="T99" i="34"/>
  <c r="T104" i="34"/>
  <c r="C65" i="2"/>
  <c r="E63" i="34" s="1"/>
  <c r="U67" i="10"/>
  <c r="U70" i="10"/>
  <c r="T157" i="34" s="1"/>
  <c r="T153" i="34"/>
  <c r="T151" i="34"/>
  <c r="H47" i="34"/>
  <c r="H46" i="34"/>
  <c r="E66" i="12"/>
  <c r="G49" i="34" s="1"/>
  <c r="F111" i="34"/>
  <c r="G48" i="34"/>
  <c r="T49" i="34"/>
  <c r="T51" i="34"/>
  <c r="U67" i="12"/>
  <c r="U66" i="2"/>
  <c r="T56" i="34"/>
  <c r="T627" i="34"/>
  <c r="D78" i="36"/>
  <c r="D78" i="35" s="1"/>
  <c r="T626" i="34"/>
  <c r="H71" i="12"/>
  <c r="H71" i="10"/>
  <c r="F67" i="11"/>
  <c r="H13" i="48"/>
  <c r="T664" i="34"/>
  <c r="D13" i="39"/>
  <c r="D66" i="12"/>
  <c r="F48" i="34"/>
  <c r="F61" i="34"/>
  <c r="F50" i="34"/>
  <c r="F62" i="34"/>
  <c r="G47" i="34"/>
  <c r="G46" i="34"/>
  <c r="E17" i="45"/>
  <c r="L9" i="45"/>
  <c r="T105" i="34"/>
  <c r="U71" i="11"/>
  <c r="K30" i="34"/>
  <c r="I71" i="2"/>
  <c r="G12" i="40"/>
  <c r="D12" i="39"/>
  <c r="S625" i="34"/>
  <c r="S628" i="34"/>
  <c r="K71" i="2"/>
  <c r="J71" i="2"/>
  <c r="L30" i="34"/>
  <c r="E111" i="34"/>
  <c r="C65" i="11"/>
  <c r="F26" i="34"/>
  <c r="C65" i="12"/>
  <c r="K28" i="34"/>
  <c r="C78" i="35"/>
  <c r="S624" i="34"/>
  <c r="S623" i="34"/>
  <c r="H159" i="34"/>
  <c r="E66" i="2"/>
  <c r="F67" i="2" s="1"/>
  <c r="V66" i="2"/>
  <c r="V67" i="12"/>
  <c r="U51" i="34"/>
  <c r="V70" i="12"/>
  <c r="U56" i="34"/>
  <c r="S660" i="34"/>
  <c r="G70" i="2"/>
  <c r="H71" i="2" s="1"/>
  <c r="I29" i="34"/>
  <c r="G67" i="2"/>
  <c r="F110" i="34"/>
  <c r="G95" i="34"/>
  <c r="D65" i="10"/>
  <c r="D66" i="10" s="1"/>
  <c r="E67" i="10" s="1"/>
  <c r="G94" i="34"/>
  <c r="F96" i="34"/>
  <c r="F98" i="34"/>
  <c r="D66" i="11"/>
  <c r="E67" i="11" s="1"/>
  <c r="F109" i="34"/>
  <c r="T57" i="34"/>
  <c r="U71" i="12"/>
  <c r="H67" i="2"/>
  <c r="E70" i="10"/>
  <c r="G157" i="34" s="1"/>
  <c r="G158" i="34"/>
  <c r="G153" i="34"/>
  <c r="G151" i="34"/>
  <c r="U67" i="2"/>
  <c r="U70" i="2"/>
  <c r="T28" i="34" s="1"/>
  <c r="T29" i="34"/>
  <c r="T71" i="11"/>
  <c r="S105" i="34"/>
  <c r="E70" i="11"/>
  <c r="G103" i="34" s="1"/>
  <c r="G99" i="34"/>
  <c r="G104" i="34"/>
  <c r="T71" i="10"/>
  <c r="S159" i="34"/>
  <c r="T67" i="2"/>
  <c r="S29" i="34"/>
  <c r="T70" i="2"/>
  <c r="F70" i="2"/>
  <c r="H29" i="34"/>
  <c r="S664" i="34"/>
  <c r="G12" i="48"/>
  <c r="G15" i="48" s="1"/>
  <c r="D14" i="40"/>
  <c r="D15" i="40" s="1"/>
  <c r="B14" i="40"/>
  <c r="U627" i="34"/>
  <c r="I105" i="34"/>
  <c r="G71" i="11"/>
  <c r="H71" i="11"/>
  <c r="H105" i="34"/>
  <c r="S57" i="34"/>
  <c r="T71" i="12"/>
  <c r="H57" i="34"/>
  <c r="G12" i="41"/>
  <c r="G17" i="41" s="1"/>
  <c r="G175" i="41" s="1"/>
  <c r="U104" i="34"/>
  <c r="V67" i="11"/>
  <c r="V70" i="11"/>
  <c r="U99" i="34"/>
  <c r="S103" i="34"/>
  <c r="U151" i="34"/>
  <c r="V70" i="10"/>
  <c r="U157" i="34" s="1"/>
  <c r="V67" i="10"/>
  <c r="U158" i="34"/>
  <c r="U153" i="34"/>
  <c r="I57" i="34"/>
  <c r="G71" i="12"/>
  <c r="J30" i="34"/>
  <c r="T660" i="34"/>
  <c r="D14" i="48"/>
  <c r="D15" i="48" s="1"/>
  <c r="D14" i="41"/>
  <c r="I14" i="41" s="1"/>
  <c r="I17" i="41" s="1"/>
  <c r="U663" i="34"/>
  <c r="I159" i="34"/>
  <c r="G71" i="10"/>
  <c r="T103" i="34"/>
  <c r="U71" i="10"/>
  <c r="T159" i="34"/>
  <c r="T662" i="34"/>
  <c r="S157" i="34"/>
  <c r="L28" i="34"/>
  <c r="E67" i="12" l="1"/>
  <c r="E70" i="12"/>
  <c r="F71" i="12" s="1"/>
  <c r="F67" i="12"/>
  <c r="T623" i="34"/>
  <c r="T624" i="34"/>
  <c r="G56" i="34"/>
  <c r="F25" i="34"/>
  <c r="G51" i="34"/>
  <c r="U626" i="34"/>
  <c r="F97" i="34"/>
  <c r="F49" i="34"/>
  <c r="I28" i="34"/>
  <c r="U662" i="34"/>
  <c r="D21" i="40"/>
  <c r="D15" i="39"/>
  <c r="V71" i="12"/>
  <c r="U57" i="34"/>
  <c r="U105" i="34"/>
  <c r="V71" i="11"/>
  <c r="D70" i="10"/>
  <c r="F157" i="34" s="1"/>
  <c r="F158" i="34"/>
  <c r="F153" i="34"/>
  <c r="F151" i="34"/>
  <c r="S588" i="34"/>
  <c r="G159" i="34"/>
  <c r="V67" i="2"/>
  <c r="U29" i="34"/>
  <c r="V70" i="2"/>
  <c r="U28" i="34" s="1"/>
  <c r="S592" i="34"/>
  <c r="S590" i="34"/>
  <c r="U103" i="34"/>
  <c r="G57" i="34"/>
  <c r="E50" i="34"/>
  <c r="E62" i="34"/>
  <c r="C66" i="12"/>
  <c r="E61" i="34"/>
  <c r="F47" i="34"/>
  <c r="F46" i="34"/>
  <c r="H30" i="34"/>
  <c r="T71" i="2"/>
  <c r="S30" i="34"/>
  <c r="G12" i="39"/>
  <c r="V590" i="34" s="1"/>
  <c r="G15" i="40"/>
  <c r="D17" i="41"/>
  <c r="U159" i="34"/>
  <c r="V71" i="10"/>
  <c r="E98" i="34"/>
  <c r="F95" i="34"/>
  <c r="E110" i="34"/>
  <c r="F94" i="34"/>
  <c r="E109" i="34"/>
  <c r="C66" i="11"/>
  <c r="E97" i="34" s="1"/>
  <c r="C65" i="10"/>
  <c r="C66" i="10" s="1"/>
  <c r="D67" i="10" s="1"/>
  <c r="I14" i="48"/>
  <c r="I15" i="48" s="1"/>
  <c r="U664" i="34"/>
  <c r="I30" i="34"/>
  <c r="G71" i="2"/>
  <c r="D70" i="12"/>
  <c r="F55" i="34" s="1"/>
  <c r="F51" i="34"/>
  <c r="F56" i="34"/>
  <c r="D66" i="2"/>
  <c r="E67" i="2" s="1"/>
  <c r="D14" i="39"/>
  <c r="U628" i="34"/>
  <c r="I14" i="40"/>
  <c r="S28" i="34"/>
  <c r="T30" i="34"/>
  <c r="U71" i="2"/>
  <c r="F104" i="34"/>
  <c r="D70" i="11"/>
  <c r="F99" i="34"/>
  <c r="G29" i="34"/>
  <c r="D17" i="45"/>
  <c r="D21" i="45" s="1"/>
  <c r="E70" i="2"/>
  <c r="F71" i="2" s="1"/>
  <c r="L17" i="45"/>
  <c r="G21" i="48"/>
  <c r="U690" i="34"/>
  <c r="U689" i="34"/>
  <c r="G55" i="34"/>
  <c r="T592" i="34"/>
  <c r="G105" i="34"/>
  <c r="T588" i="34"/>
  <c r="D21" i="48"/>
  <c r="V664" i="34"/>
  <c r="U55" i="34"/>
  <c r="H28" i="34"/>
  <c r="F71" i="11"/>
  <c r="F71" i="10"/>
  <c r="M17" i="45"/>
  <c r="F18" i="45"/>
  <c r="E21" i="45"/>
  <c r="H15" i="48"/>
  <c r="H13" i="39"/>
  <c r="D67" i="11" l="1"/>
  <c r="F105" i="34"/>
  <c r="G30" i="34"/>
  <c r="U30" i="34"/>
  <c r="V71" i="2"/>
  <c r="F159" i="34"/>
  <c r="C70" i="12"/>
  <c r="E57" i="34" s="1"/>
  <c r="E56" i="34"/>
  <c r="E51" i="34"/>
  <c r="C66" i="2"/>
  <c r="C70" i="2" s="1"/>
  <c r="G251" i="48"/>
  <c r="U468" i="34" s="1"/>
  <c r="E82" i="37"/>
  <c r="E45" i="37"/>
  <c r="E46" i="37" s="1"/>
  <c r="D149" i="48"/>
  <c r="L21" i="45"/>
  <c r="D23" i="45"/>
  <c r="L23" i="45" s="1"/>
  <c r="V690" i="34"/>
  <c r="H21" i="48"/>
  <c r="H15" i="39"/>
  <c r="V689" i="34"/>
  <c r="I15" i="40"/>
  <c r="I14" i="39"/>
  <c r="F22" i="45"/>
  <c r="E23" i="45"/>
  <c r="M21" i="45"/>
  <c r="G28" i="34"/>
  <c r="W690" i="34"/>
  <c r="I21" i="48"/>
  <c r="W689" i="34"/>
  <c r="E71" i="11"/>
  <c r="U592" i="34"/>
  <c r="U653" i="34"/>
  <c r="G21" i="40"/>
  <c r="U654" i="34"/>
  <c r="G15" i="39"/>
  <c r="E49" i="34"/>
  <c r="E71" i="10"/>
  <c r="F57" i="34"/>
  <c r="D67" i="12"/>
  <c r="E153" i="34"/>
  <c r="E151" i="34"/>
  <c r="C70" i="10"/>
  <c r="E159" i="34" s="1"/>
  <c r="E158" i="34"/>
  <c r="V592" i="34"/>
  <c r="F103" i="34"/>
  <c r="F29" i="34"/>
  <c r="D70" i="2"/>
  <c r="E104" i="34"/>
  <c r="C70" i="11"/>
  <c r="E105" i="34" s="1"/>
  <c r="E99" i="34"/>
  <c r="E71" i="12"/>
  <c r="D21" i="39"/>
  <c r="D71" i="10" l="1"/>
  <c r="E55" i="34"/>
  <c r="E103" i="34"/>
  <c r="D67" i="2"/>
  <c r="E157" i="34"/>
  <c r="D71" i="12"/>
  <c r="D71" i="2"/>
  <c r="F30" i="34"/>
  <c r="V618" i="34"/>
  <c r="V617" i="34"/>
  <c r="H251" i="48"/>
  <c r="H21" i="39"/>
  <c r="V231" i="34" s="1"/>
  <c r="F82" i="37"/>
  <c r="V441" i="34"/>
  <c r="D151" i="48"/>
  <c r="G82" i="37"/>
  <c r="W441" i="34"/>
  <c r="U618" i="34"/>
  <c r="U617" i="34"/>
  <c r="M23" i="45"/>
  <c r="F24" i="45"/>
  <c r="I149" i="48"/>
  <c r="I150" i="48" s="1"/>
  <c r="I156" i="48" s="1"/>
  <c r="D150" i="48"/>
  <c r="F28" i="34"/>
  <c r="D159" i="48"/>
  <c r="U671" i="34"/>
  <c r="U672" i="34"/>
  <c r="D111" i="41"/>
  <c r="E78" i="37"/>
  <c r="E45" i="36"/>
  <c r="E46" i="36" s="1"/>
  <c r="D149" i="40"/>
  <c r="U336" i="34"/>
  <c r="E82" i="36"/>
  <c r="G21" i="39"/>
  <c r="U231" i="34" s="1"/>
  <c r="G251" i="40"/>
  <c r="E91" i="37"/>
  <c r="U440" i="34"/>
  <c r="U439" i="34"/>
  <c r="U471" i="34"/>
  <c r="U466" i="34"/>
  <c r="U467" i="34"/>
  <c r="E71" i="2"/>
  <c r="I21" i="40"/>
  <c r="I15" i="39"/>
  <c r="D71" i="11"/>
  <c r="M149" i="48" l="1"/>
  <c r="W439" i="34"/>
  <c r="W440" i="34"/>
  <c r="D160" i="48"/>
  <c r="I159" i="48"/>
  <c r="I160" i="48" s="1"/>
  <c r="I166" i="48" s="1"/>
  <c r="J151" i="48"/>
  <c r="D151" i="39"/>
  <c r="V466" i="34"/>
  <c r="V471" i="34"/>
  <c r="V440" i="34"/>
  <c r="V467" i="34"/>
  <c r="F82" i="35"/>
  <c r="V439" i="34"/>
  <c r="F91" i="37"/>
  <c r="W617" i="34"/>
  <c r="W618" i="34"/>
  <c r="V468" i="34"/>
  <c r="H251" i="39"/>
  <c r="V258" i="34" s="1"/>
  <c r="U469" i="34"/>
  <c r="E93" i="37"/>
  <c r="U470" i="34"/>
  <c r="U477" i="34"/>
  <c r="U335" i="34"/>
  <c r="U334" i="34"/>
  <c r="E82" i="35"/>
  <c r="E91" i="36"/>
  <c r="U361" i="34"/>
  <c r="U362" i="34"/>
  <c r="U366" i="34"/>
  <c r="W336" i="34"/>
  <c r="I21" i="39"/>
  <c r="W231" i="34" s="1"/>
  <c r="D150" i="40"/>
  <c r="D150" i="39" s="1"/>
  <c r="D149" i="39"/>
  <c r="I149" i="40"/>
  <c r="M149" i="40"/>
  <c r="M149" i="39" s="1"/>
  <c r="U636" i="34"/>
  <c r="D159" i="40"/>
  <c r="U635" i="34" s="1"/>
  <c r="E78" i="36"/>
  <c r="U660" i="34"/>
  <c r="G251" i="39"/>
  <c r="U258" i="34" s="1"/>
  <c r="U363" i="34"/>
  <c r="D114" i="41"/>
  <c r="D175" i="41" s="1"/>
  <c r="I111" i="41"/>
  <c r="I114" i="41" s="1"/>
  <c r="I175" i="41" s="1"/>
  <c r="W456" i="34" l="1"/>
  <c r="G87" i="37"/>
  <c r="D152" i="48"/>
  <c r="I251" i="48"/>
  <c r="W468" i="34" s="1"/>
  <c r="U475" i="34"/>
  <c r="U480" i="34"/>
  <c r="E96" i="37"/>
  <c r="U476" i="34"/>
  <c r="J156" i="48"/>
  <c r="J151" i="39"/>
  <c r="S688" i="34"/>
  <c r="S682" i="34"/>
  <c r="S680" i="34"/>
  <c r="S686" i="34"/>
  <c r="I159" i="40"/>
  <c r="D160" i="40"/>
  <c r="D160" i="39" s="1"/>
  <c r="D159" i="39"/>
  <c r="V469" i="34"/>
  <c r="F91" i="35"/>
  <c r="F93" i="37"/>
  <c r="V477" i="34"/>
  <c r="V470" i="34"/>
  <c r="V261" i="34"/>
  <c r="V257" i="34"/>
  <c r="V256" i="34"/>
  <c r="V229" i="34"/>
  <c r="V230" i="34"/>
  <c r="U637" i="34"/>
  <c r="E93" i="36"/>
  <c r="U372" i="34"/>
  <c r="U365" i="34"/>
  <c r="E91" i="35"/>
  <c r="U364" i="34"/>
  <c r="U256" i="34"/>
  <c r="U230" i="34"/>
  <c r="U229" i="34"/>
  <c r="U261" i="34"/>
  <c r="U257" i="34"/>
  <c r="I150" i="40"/>
  <c r="I149" i="39"/>
  <c r="U625" i="34"/>
  <c r="W335" i="34"/>
  <c r="G82" i="35"/>
  <c r="W334" i="34"/>
  <c r="U623" i="34"/>
  <c r="E78" i="35"/>
  <c r="U624" i="34"/>
  <c r="V476" i="34" l="1"/>
  <c r="V475" i="34"/>
  <c r="F96" i="37"/>
  <c r="V480" i="34"/>
  <c r="U478" i="34"/>
  <c r="U479" i="34"/>
  <c r="E96" i="36"/>
  <c r="U375" i="34"/>
  <c r="U370" i="34"/>
  <c r="U371" i="34"/>
  <c r="J166" i="48"/>
  <c r="J156" i="39"/>
  <c r="V260" i="34"/>
  <c r="V259" i="34"/>
  <c r="V267" i="34"/>
  <c r="F93" i="35"/>
  <c r="K152" i="48"/>
  <c r="K156" i="48" s="1"/>
  <c r="K166" i="48" s="1"/>
  <c r="W230" i="34"/>
  <c r="W229" i="34"/>
  <c r="S610" i="34"/>
  <c r="S614" i="34"/>
  <c r="S608" i="34"/>
  <c r="S616" i="34"/>
  <c r="I159" i="39"/>
  <c r="I160" i="40"/>
  <c r="I160" i="39" s="1"/>
  <c r="U588" i="34"/>
  <c r="W454" i="34"/>
  <c r="W455" i="34"/>
  <c r="W467" i="34"/>
  <c r="G91" i="37"/>
  <c r="W466" i="34"/>
  <c r="W471" i="34"/>
  <c r="U260" i="34"/>
  <c r="U259" i="34"/>
  <c r="U267" i="34"/>
  <c r="E93" i="35"/>
  <c r="I150" i="39"/>
  <c r="I156" i="40"/>
  <c r="J251" i="48" l="1"/>
  <c r="J251" i="39" s="1"/>
  <c r="J166" i="39"/>
  <c r="H87" i="37"/>
  <c r="D153" i="48"/>
  <c r="D155" i="48"/>
  <c r="I156" i="39"/>
  <c r="U373" i="34"/>
  <c r="U374" i="34"/>
  <c r="V478" i="34"/>
  <c r="V479" i="34"/>
  <c r="G93" i="37"/>
  <c r="W477" i="34"/>
  <c r="W469" i="34"/>
  <c r="W470" i="34"/>
  <c r="U266" i="34"/>
  <c r="U265" i="34"/>
  <c r="E96" i="35"/>
  <c r="U270" i="34"/>
  <c r="I87" i="37"/>
  <c r="I91" i="37" s="1"/>
  <c r="I93" i="37" s="1"/>
  <c r="I96" i="37" s="1"/>
  <c r="D154" i="48"/>
  <c r="K251" i="48"/>
  <c r="F96" i="35"/>
  <c r="V265" i="34"/>
  <c r="V266" i="34"/>
  <c r="V270" i="34"/>
  <c r="V269" i="34" l="1"/>
  <c r="V268" i="34"/>
  <c r="H91" i="37"/>
  <c r="H87" i="35"/>
  <c r="W476" i="34"/>
  <c r="W480" i="34"/>
  <c r="W475" i="34"/>
  <c r="G96" i="37"/>
  <c r="M154" i="48"/>
  <c r="T659" i="34"/>
  <c r="T661" i="34"/>
  <c r="U268" i="34"/>
  <c r="U269" i="34"/>
  <c r="W351" i="34"/>
  <c r="I166" i="39"/>
  <c r="W246" i="34" s="1"/>
  <c r="G87" i="36"/>
  <c r="I251" i="40"/>
  <c r="M155" i="48"/>
  <c r="M155" i="39" s="1"/>
  <c r="D155" i="39"/>
  <c r="U661" i="34"/>
  <c r="U659" i="34"/>
  <c r="D153" i="39"/>
  <c r="L153" i="48"/>
  <c r="S659" i="34"/>
  <c r="S661" i="34"/>
  <c r="D156" i="48"/>
  <c r="M156" i="48" l="1"/>
  <c r="M166" i="48" s="1"/>
  <c r="M251" i="48" s="1"/>
  <c r="L153" i="39"/>
  <c r="L156" i="48"/>
  <c r="S587" i="34"/>
  <c r="S589" i="34"/>
  <c r="I251" i="39"/>
  <c r="W258" i="34" s="1"/>
  <c r="W363" i="34"/>
  <c r="K152" i="40"/>
  <c r="D152" i="39"/>
  <c r="W350" i="34"/>
  <c r="G87" i="35"/>
  <c r="W349" i="34"/>
  <c r="G91" i="36"/>
  <c r="W366" i="34"/>
  <c r="W362" i="34"/>
  <c r="W361" i="34"/>
  <c r="W479" i="34"/>
  <c r="W478" i="34"/>
  <c r="D166" i="48"/>
  <c r="D251" i="48" s="1"/>
  <c r="V659" i="34"/>
  <c r="H93" i="37"/>
  <c r="H96" i="37" s="1"/>
  <c r="H91" i="35"/>
  <c r="H93" i="35" s="1"/>
  <c r="H96" i="35" s="1"/>
  <c r="K156" i="40" l="1"/>
  <c r="K152" i="39"/>
  <c r="L166" i="48"/>
  <c r="L156" i="39"/>
  <c r="G93" i="36"/>
  <c r="G91" i="35"/>
  <c r="W372" i="34"/>
  <c r="W364" i="34"/>
  <c r="W365" i="34"/>
  <c r="W245" i="34"/>
  <c r="W244" i="34"/>
  <c r="W257" i="34"/>
  <c r="W256" i="34"/>
  <c r="W261" i="34"/>
  <c r="W259" i="34" l="1"/>
  <c r="W267" i="34"/>
  <c r="G93" i="35"/>
  <c r="W260" i="34"/>
  <c r="W375" i="34"/>
  <c r="W371" i="34"/>
  <c r="G96" i="36"/>
  <c r="W370" i="34"/>
  <c r="L166" i="39"/>
  <c r="L251" i="48"/>
  <c r="L251" i="39" s="1"/>
  <c r="J87" i="37"/>
  <c r="K166" i="40"/>
  <c r="K156" i="39"/>
  <c r="K166" i="39" l="1"/>
  <c r="I87" i="36"/>
  <c r="K251" i="40"/>
  <c r="K251" i="39" s="1"/>
  <c r="J91" i="37"/>
  <c r="J87" i="35"/>
  <c r="W373" i="34"/>
  <c r="W374" i="34"/>
  <c r="G96" i="35"/>
  <c r="W265" i="34"/>
  <c r="W270" i="34"/>
  <c r="W266" i="34"/>
  <c r="W269" i="34" l="1"/>
  <c r="W268" i="34"/>
  <c r="J93" i="37"/>
  <c r="J96" i="37" s="1"/>
  <c r="J91" i="35"/>
  <c r="J93" i="35" s="1"/>
  <c r="J96" i="35" s="1"/>
  <c r="I91" i="36"/>
  <c r="I87" i="35"/>
  <c r="V637" i="34"/>
  <c r="V635" i="34"/>
  <c r="D154" i="39"/>
  <c r="M154" i="40"/>
  <c r="D156" i="40"/>
  <c r="T589" i="34" l="1"/>
  <c r="T587" i="34"/>
  <c r="D156" i="39"/>
  <c r="D166" i="40"/>
  <c r="M156" i="40"/>
  <c r="M154" i="39"/>
  <c r="I91" i="35"/>
  <c r="I93" i="35" s="1"/>
  <c r="I96" i="35" s="1"/>
  <c r="I93" i="36"/>
  <c r="I96" i="36" s="1"/>
  <c r="M166" i="40" l="1"/>
  <c r="M156" i="39"/>
  <c r="V589" i="34"/>
  <c r="V587" i="34"/>
  <c r="D166" i="39"/>
  <c r="M166" i="39" l="1"/>
  <c r="D108" i="40"/>
  <c r="D111" i="40" s="1"/>
  <c r="D111" i="39" s="1"/>
  <c r="D108" i="39"/>
  <c r="M107" i="40"/>
  <c r="D107" i="40"/>
  <c r="D107" i="39" s="1"/>
  <c r="D251" i="40"/>
  <c r="D251" i="39" s="1"/>
  <c r="W587" i="34" l="1"/>
  <c r="W589" i="34"/>
  <c r="W601" i="34"/>
  <c r="W599" i="34"/>
  <c r="U599" i="34"/>
  <c r="U601" i="34"/>
  <c r="U587" i="34"/>
  <c r="U589" i="34"/>
  <c r="M108" i="40"/>
  <c r="M107" i="39"/>
  <c r="M111" i="40" l="1"/>
  <c r="M108" i="39"/>
  <c r="M112" i="40" l="1"/>
  <c r="M111" i="39"/>
  <c r="M251" i="40"/>
  <c r="M25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tc={C530955E-528F-4141-8E5A-4E37CDBBCD7E}</author>
  </authors>
  <commentList>
    <comment ref="U64" authorId="0" shapeId="0" xr:uid="{00000000-0006-0000-0100-000001000000}">
      <text>
        <t>[Threaded comment]
Your version of Excel allows you to read this threaded comment; however, any edits to it will get removed if the file is opened in a newer version of Excel. Learn more: https://go.microsoft.com/fwlink/?linkid=870924
Comment:
    Source: https://eur03.safelinks.protection.outlook.com/?url=https%3A%2F%2Fwww.imf.org%2Fen%2FPublications%2FWEO%2Fweo-database%2F2022%2FApril%2Fweo-report%3Fc%3D112%2C%26s%3DPCPIPCH%2C%26sy%3D2017%26ey%3D2027%26ssm%3D0%26scsm%3D1%26scc%3D0%26ssd%3D1%26ssc%3D0%26sic%3D0%26sort%3Dcountry%26ds%3D.%26br%3D1&amp;data=05%7C01%7CBronwyn.Fraser%40caa.co.uk%7Cbd71588c0f094b32c30108da4eca9632%7Cc4edd5ba10c34fe3946a7c9c446ab8c8%7C0%7C0%7C637908929541602752%7CUnknown%7CTWFpbGZsb3d8eyJWIjoiMC4wLjAwMDAiLCJQIjoiV2luMzIiLCJBTiI6Ik1haWwiLCJXVCI6Mn0%3D%7C3000%7C%7C%7C&amp;sdata=GK4bvaUOhid72G8VCvksSifnCnqFPmmSVQBu1Ph%2FZRw%3D&amp;reserved=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TSITSONI Viktoria</author>
    <author>Fraser Bronwyn</author>
    <author>Carter Stewart</author>
  </authors>
  <commentList>
    <comment ref="F14" authorId="0" shapeId="0" xr:uid="{00000000-0006-0000-0400-000001000000}">
      <text>
        <r>
          <rPr>
            <sz val="9"/>
            <color indexed="81"/>
            <rFont val="Tahoma"/>
            <family val="2"/>
          </rPr>
          <t xml:space="preserve">In line with the corrected RP2 reporting Tables
</t>
        </r>
      </text>
    </comment>
    <comment ref="H14" authorId="0" shapeId="0" xr:uid="{00000000-0006-0000-0400-000002000000}">
      <text>
        <r>
          <rPr>
            <sz val="9"/>
            <color indexed="81"/>
            <rFont val="Tahoma"/>
            <family val="2"/>
          </rPr>
          <t xml:space="preserve">In line with the corrected RP2 reporting Tables
</t>
        </r>
      </text>
    </comment>
    <comment ref="F30" authorId="0" shapeId="0" xr:uid="{00000000-0006-0000-0400-000003000000}">
      <text>
        <r>
          <rPr>
            <sz val="9"/>
            <color indexed="81"/>
            <rFont val="Tahoma"/>
            <family val="2"/>
          </rPr>
          <t>In line with the corrected RP2 reporting tables</t>
        </r>
      </text>
    </comment>
    <comment ref="H30" authorId="0" shapeId="0" xr:uid="{00000000-0006-0000-0400-000004000000}">
      <text>
        <r>
          <rPr>
            <sz val="9"/>
            <color indexed="81"/>
            <rFont val="Tahoma"/>
            <family val="2"/>
          </rPr>
          <t>In line with the corrected RP2 reporting tables</t>
        </r>
      </text>
    </comment>
    <comment ref="K30" authorId="1" shapeId="0" xr:uid="{00000000-0006-0000-0400-000005000000}">
      <text>
        <r>
          <rPr>
            <b/>
            <sz val="9"/>
            <color indexed="81"/>
            <rFont val="Tahoma"/>
            <family val="2"/>
          </rPr>
          <t>Fraser Bronwyn:</t>
        </r>
        <r>
          <rPr>
            <sz val="9"/>
            <color indexed="81"/>
            <rFont val="Tahoma"/>
            <family val="2"/>
          </rPr>
          <t xml:space="preserve">
These costs have been updated in line with updated ECTL forecast budget, released September 2019</t>
        </r>
      </text>
    </comment>
    <comment ref="O64" authorId="2" shapeId="0" xr:uid="{00000000-0006-0000-0400-000007000000}">
      <text>
        <r>
          <rPr>
            <b/>
            <sz val="9"/>
            <color indexed="81"/>
            <rFont val="Tahoma"/>
            <family val="2"/>
          </rPr>
          <t>CAA:</t>
        </r>
        <r>
          <rPr>
            <sz val="9"/>
            <color indexed="81"/>
            <rFont val="Tahoma"/>
            <family val="2"/>
          </rPr>
          <t xml:space="preserve">
Changed formula to include inflation to put NSA costs in real 2017 prices</t>
        </r>
      </text>
    </comment>
    <comment ref="O66" authorId="2" shapeId="0" xr:uid="{00000000-0006-0000-0400-000008000000}">
      <text>
        <r>
          <rPr>
            <b/>
            <sz val="9"/>
            <color indexed="81"/>
            <rFont val="Tahoma"/>
            <family val="2"/>
          </rPr>
          <t>CAA:</t>
        </r>
        <r>
          <rPr>
            <sz val="9"/>
            <color indexed="81"/>
            <rFont val="Tahoma"/>
            <family val="2"/>
          </rPr>
          <t xml:space="preserve">
Changed formula to put Determined costs in real 2017 prices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Carter Stewart</author>
  </authors>
  <commentList>
    <comment ref="G15" authorId="0" shapeId="0" xr:uid="{00000000-0006-0000-0600-000001000000}">
      <text>
        <r>
          <rPr>
            <b/>
            <sz val="9"/>
            <color indexed="81"/>
            <rFont val="Tahoma"/>
            <family val="2"/>
          </rPr>
          <t>CAA:</t>
        </r>
        <r>
          <rPr>
            <sz val="9"/>
            <color indexed="81"/>
            <rFont val="Tahoma"/>
            <family val="2"/>
          </rPr>
          <t xml:space="preserve">
Corrected formula, following discussion with European Commission on treatment of inflation for current cost accounting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Carter Stewart</author>
    <author>Shane Curran</author>
  </authors>
  <commentList>
    <comment ref="G15" authorId="0" shapeId="0" xr:uid="{00000000-0006-0000-0700-000001000000}">
      <text>
        <r>
          <rPr>
            <b/>
            <sz val="9"/>
            <color indexed="81"/>
            <rFont val="Tahoma"/>
            <family val="2"/>
          </rPr>
          <t>CAA:</t>
        </r>
        <r>
          <rPr>
            <sz val="9"/>
            <color indexed="81"/>
            <rFont val="Tahoma"/>
            <family val="2"/>
          </rPr>
          <t xml:space="preserve">
Corrected formula, following discussion with European Commission</t>
        </r>
      </text>
    </comment>
    <comment ref="F96" authorId="1" shapeId="0" xr:uid="{FE35146E-10E5-449D-AA49-DD6A3DFAD82A}">
      <text>
        <r>
          <rPr>
            <b/>
            <sz val="9"/>
            <color indexed="81"/>
            <rFont val="Tahoma"/>
            <family val="2"/>
          </rPr>
          <t xml:space="preserve">CAA:
</t>
        </r>
        <r>
          <rPr>
            <sz val="9"/>
            <color indexed="81"/>
            <rFont val="Tahoma"/>
            <family val="2"/>
          </rPr>
          <t>Unit rate has changed from earlier November submission due to update of TSU value at T1 MET U68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Shane Curran</author>
  </authors>
  <commentList>
    <comment ref="F96" authorId="0" shapeId="0" xr:uid="{76A6F384-B3C0-4195-A015-FF3807B30B26}">
      <text>
        <r>
          <rPr>
            <b/>
            <sz val="9"/>
            <color indexed="81"/>
            <rFont val="Tahoma"/>
            <family val="2"/>
          </rPr>
          <t xml:space="preserve">CAA:
</t>
        </r>
        <r>
          <rPr>
            <sz val="9"/>
            <color indexed="81"/>
            <rFont val="Tahoma"/>
            <family val="2"/>
          </rPr>
          <t>Unit rate has changed from earlier November submission due to update of TSU value at T1 MET U68</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HOKKACI Rana</author>
    <author>LAJIC Natasa</author>
    <author>Fraser Bronwyn</author>
    <author>Kwok Maggie</author>
    <author>Shane Curran</author>
    <author>Carter Stewart</author>
  </authors>
  <commentList>
    <comment ref="J6" authorId="0" shapeId="0" xr:uid="{859CE5C3-F242-4DB8-B3B9-1E46F7546CF0}">
      <text>
        <r>
          <rPr>
            <b/>
            <sz val="9"/>
            <color indexed="81"/>
            <rFont val="Tahoma"/>
            <family val="2"/>
          </rPr>
          <t xml:space="preserve">Comment: Please see the calculations on the left hand side </t>
        </r>
        <r>
          <rPr>
            <sz val="9"/>
            <color indexed="81"/>
            <rFont val="Tahoma"/>
            <family val="2"/>
          </rPr>
          <t xml:space="preserve">
</t>
        </r>
      </text>
    </comment>
    <comment ref="D36" authorId="0" shapeId="0" xr:uid="{8298E4D1-8CA3-4ADD-892B-BADCB8451D90}">
      <text>
        <r>
          <rPr>
            <sz val="9"/>
            <color indexed="81"/>
            <rFont val="Tahoma"/>
            <family val="2"/>
          </rPr>
          <t xml:space="preserve">Please check this figure the amount comes from the cell D258 comes from the external source and this amount in much  higher than the adjustments which were correcly calculated in table2 to for traffic sharing for the year 2020-2021 and 2022
</t>
        </r>
      </text>
    </comment>
    <comment ref="M107" authorId="1" shapeId="0" xr:uid="{00000000-0006-0000-0A00-000001000000}">
      <text>
        <r>
          <rPr>
            <sz val="9"/>
            <color indexed="81"/>
            <rFont val="Tahoma"/>
            <family val="2"/>
          </rPr>
          <t xml:space="preserve">
The UK uses a Regulatory Asset Base (RAB) approach to track the amount invested by NERL to provide services to users that is yet to be recovered from users through allowances for regulatory depreciation. The UK RAB rules are designed to be able to reflect the Commission’s methodology regarding costs exempt from cost sharing, and is explained through the RAB rules. By way of illustration, the draft RAB rules for RP3 are set out in CAP1830b - https://publicapps.caa.co.uk/docs/33/CAP%201830b%20RAB%20Rules.pdf. However, minor adjustments are required to be made to the European en route cost reporting tables to accurately reflect the UK’s RAB approach.
For pensions costs exempt from cost sharing, the amount is added to the RAB and depreciated over 15 years through unit charges. This smooths charges, as the amount of costs exempt from the previous period is not recovered/returned in one lump sum in N+2 period. We have included the return through the RAB for each year in T3 ANSP, cells E75 to I75 (the sum of depreciation and return). This is then included as an adjustment to the unit rate in T2 ANSP, cell C84 to G84. These amounts are also reflected in the CAA Final Decision version of the NATS financial model.
For spectrum costs exempt, the total spectrum variance over the previous reference period is subtracted from the RAB in the first year of the next reference period. As it is subtracted from the RAB, it flows back to charges through the lower allowed return as so an additional reduction on the unit rate is not required.
We are happy to explain this in detail if required.-</t>
        </r>
      </text>
    </comment>
    <comment ref="D145" authorId="2" shapeId="0" xr:uid="{00000000-0006-0000-0A00-000002000000}">
      <text>
        <r>
          <rPr>
            <b/>
            <sz val="8"/>
            <color indexed="81"/>
            <rFont val="Arial"/>
            <family val="2"/>
          </rPr>
          <t>Fraser Bronwyn:</t>
        </r>
        <r>
          <rPr>
            <sz val="8"/>
            <color indexed="81"/>
            <rFont val="Arial"/>
            <family val="2"/>
          </rPr>
          <t xml:space="preserve">
This figure reflects the traffic adjusment for 2019, as well as the adjustment made for INEA funds. See Additional Information for further detail.</t>
        </r>
      </text>
    </comment>
    <comment ref="H158" authorId="3" shapeId="0" xr:uid="{63C7B8FF-4547-460A-A20B-2B837FD4642D}">
      <text>
        <r>
          <rPr>
            <b/>
            <sz val="9"/>
            <color indexed="81"/>
            <rFont val="Tahoma"/>
            <family val="2"/>
          </rPr>
          <t>Kwok Maggie:</t>
        </r>
        <r>
          <rPr>
            <sz val="9"/>
            <color indexed="81"/>
            <rFont val="Tahoma"/>
            <family val="2"/>
          </rPr>
          <t xml:space="preserve">
</t>
        </r>
      </text>
    </comment>
    <comment ref="H166" authorId="4" shapeId="0" xr:uid="{1B79C8B4-C304-486D-8369-E8136E64926C}">
      <text>
        <r>
          <rPr>
            <b/>
            <sz val="9"/>
            <color indexed="81"/>
            <rFont val="Tahoma"/>
            <family val="2"/>
          </rPr>
          <t xml:space="preserve">CAA
</t>
        </r>
        <r>
          <rPr>
            <sz val="9"/>
            <color indexed="81"/>
            <rFont val="Tahoma"/>
            <family val="2"/>
          </rPr>
          <t>This value, known as the TVAR, is sourced from the CAA price control model (PCM) for NR23. 
There is a small difference between this and the calcuated value (H148 + H158 = 38,275).</t>
        </r>
      </text>
    </comment>
    <comment ref="M170" authorId="5" shapeId="0" xr:uid="{00000000-0006-0000-0A00-000003000000}">
      <text>
        <r>
          <rPr>
            <b/>
            <sz val="9"/>
            <color indexed="81"/>
            <rFont val="Tahoma"/>
            <family val="2"/>
          </rPr>
          <t>CAA:</t>
        </r>
        <r>
          <rPr>
            <sz val="9"/>
            <color indexed="81"/>
            <rFont val="Tahoma"/>
            <family val="2"/>
          </rPr>
          <t xml:space="preserve">
Changed formula. Repayment of INEA funding recovered in 2019</t>
        </r>
      </text>
    </comment>
    <comment ref="D173" authorId="2" shapeId="0" xr:uid="{00000000-0006-0000-0A00-000004000000}">
      <text>
        <r>
          <rPr>
            <b/>
            <sz val="9"/>
            <color indexed="81"/>
            <rFont val="Tahoma"/>
            <family val="2"/>
          </rPr>
          <t>Fraser Bronwyn:</t>
        </r>
        <r>
          <rPr>
            <sz val="9"/>
            <color indexed="81"/>
            <rFont val="Tahoma"/>
            <family val="2"/>
          </rPr>
          <t xml:space="preserve">
See Additional Information - NERL will return c.£10.4m in 2021, out of the total of c.£32.4m INEA funds, with the rest being returned in 2022.</t>
        </r>
      </text>
    </comment>
    <comment ref="H251" authorId="0" shapeId="0" xr:uid="{54F27CAF-DC5E-4620-832A-E426ECD463D0}">
      <text>
        <r>
          <rPr>
            <b/>
            <sz val="9"/>
            <color indexed="81"/>
            <rFont val="Tahoma"/>
            <family val="2"/>
          </rPr>
          <t xml:space="preserve">comment: formula updated to take into account all the adjusments
</t>
        </r>
        <r>
          <rPr>
            <sz val="9"/>
            <color indexed="81"/>
            <rFont val="Tahoma"/>
            <family val="2"/>
          </rPr>
          <t xml:space="preserve">
</t>
        </r>
      </text>
    </comment>
    <comment ref="M256" authorId="1" shapeId="0" xr:uid="{00000000-0006-0000-0A00-000005000000}">
      <text>
        <r>
          <rPr>
            <sz val="9"/>
            <color indexed="81"/>
            <rFont val="Tahoma"/>
            <family val="2"/>
          </rPr>
          <t xml:space="preserve">
The UK uses a Regulatory Asset Base (RAB) approach to track the amount invested by NERL to provide services to users that is yet to be recovered from users through allowances for regulatory depreciation. The UK RAB rules are designed to be able to reflect the Commission’s methodology regarding costs exempt from cost sharing, and is explained through the RAB rules. By way of illustration, the draft RAB rules for RP3 are set out in CAP1830b - https://publicapps.caa.co.uk/docs/33/CAP%201830b%20RAB%20Rules.pdf. However, minor adjustments are required to be made to the European en route cost reporting tables to accurately reflect the UK’s RAB approach.
For pensions costs exempt from cost sharing, the amount is added to the RAB and depreciated over 15 years through unit charges. This smooths charges, as the amount of costs exempt from the previous period is not recovered/returned in one lump sum in N+2 period. We have included the return through the RAB for each year in T3 ANSP, cells E75 to I75 (the sum of depreciation and return). This is then included as an adjustment to the unit rate in T2 ANSP, cell C84 to G84. These amounts are also reflected in the CAA Final Decision version of the NATS financial model.
For spectrum costs exempt, the total spectrum variance over the previous reference period is subtracted from the RAB in the first year of the next reference period. As it is subtracted from the RAB, it flows back to charges through the lower allowed return as so an additional reduction on the unit rate is not required.
We are happy to explain this in detail if required.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HOKKACI Rana</author>
  </authors>
  <commentList>
    <comment ref="H58" authorId="0" shapeId="0" xr:uid="{31FFCC93-6307-4B52-B9E4-99F25B456F05}">
      <text>
        <r>
          <rPr>
            <b/>
            <sz val="9"/>
            <color indexed="81"/>
            <rFont val="Tahoma"/>
            <family val="2"/>
          </rPr>
          <t>Comment: number of digits increased</t>
        </r>
        <r>
          <rPr>
            <sz val="9"/>
            <color indexed="81"/>
            <rFont val="Tahoma"/>
            <family val="2"/>
          </rPr>
          <t xml:space="preserve">
</t>
        </r>
      </text>
    </comment>
  </commentList>
</comments>
</file>

<file path=xl/sharedStrings.xml><?xml version="1.0" encoding="utf-8"?>
<sst xmlns="http://schemas.openxmlformats.org/spreadsheetml/2006/main" count="4036" uniqueCount="979">
  <si>
    <t>Legend for the Check sheet</t>
  </si>
  <si>
    <t>Cells highlighted in green indicate that the items checked are equal and different to 0</t>
  </si>
  <si>
    <t>Cells highlighted in Qale yellow indicate that the items entering the check are blank or 0</t>
  </si>
  <si>
    <t>Cells highlighted in red indicate that the items checked are not equal</t>
  </si>
  <si>
    <t>Cells highlighted in pale yellow indicate that one of the items entering the check is blank or 0</t>
  </si>
  <si>
    <t>#DIV/0</t>
  </si>
  <si>
    <t>Cells highlighted in orange indicate formulae that resulted in error</t>
  </si>
  <si>
    <t>N/A</t>
  </si>
  <si>
    <t>Cells highlighted in white with grey "N/A" indicate that the check is not applicable for the given combination of year and/or RP</t>
  </si>
  <si>
    <t>Actual</t>
  </si>
  <si>
    <t>Determined</t>
  </si>
  <si>
    <t>INFORMATION ON COSTS AND UNIT COSTS - TABLE 1</t>
  </si>
  <si>
    <t>Rounding 
(dec. plcs)</t>
  </si>
  <si>
    <t>#</t>
  </si>
  <si>
    <t>Item</t>
  </si>
  <si>
    <t>Checks for Route TABLE 1 (consolidated)</t>
  </si>
  <si>
    <t xml:space="preserve"> #001</t>
  </si>
  <si>
    <t>4.2</t>
  </si>
  <si>
    <t>Check that values in Table 1 Consolidated are sums of the same items across all the entities (in '000 NC)</t>
  </si>
  <si>
    <t>Total determined/actual costs (in '000 NC)</t>
  </si>
  <si>
    <t>Sum of Total determined/actual costs for all entities (in '000 NC)</t>
  </si>
  <si>
    <t xml:space="preserve"> #002</t>
  </si>
  <si>
    <t>1.6</t>
  </si>
  <si>
    <t>Check the sum of costs by nature (in '000 NC)</t>
  </si>
  <si>
    <t>Total costs by nature (in '000 NC)</t>
  </si>
  <si>
    <t>Sum of items 1.1 to 1.5 (in '000 NC)</t>
  </si>
  <si>
    <t xml:space="preserve"> #003</t>
  </si>
  <si>
    <t>2.10</t>
  </si>
  <si>
    <t>Check the sum of costs by service (in '000 NC)</t>
  </si>
  <si>
    <t>Total costs by service (in '000 NC)</t>
  </si>
  <si>
    <t>Sum of items 2.1 to 2.9 (in '000 NC)</t>
  </si>
  <si>
    <t xml:space="preserve"> #004</t>
  </si>
  <si>
    <t>Check that total costs by nature equals total costs by service (in '000 NC)</t>
  </si>
  <si>
    <t>#100</t>
  </si>
  <si>
    <t>5.1</t>
  </si>
  <si>
    <t>Check that inflation rate is not negative</t>
  </si>
  <si>
    <t>Inflation rate</t>
  </si>
  <si>
    <t xml:space="preserve"> #009</t>
  </si>
  <si>
    <t>5.2</t>
  </si>
  <si>
    <t>Check calculation of Determined/Actual inflation index (base 100 in 2017)</t>
  </si>
  <si>
    <t>Calculated price index</t>
  </si>
  <si>
    <t>Price Index</t>
  </si>
  <si>
    <t xml:space="preserve"> #017b</t>
  </si>
  <si>
    <t>5.5</t>
  </si>
  <si>
    <t>Check calculation of the unit cost for RP3</t>
  </si>
  <si>
    <t>Total costs real terms / Total service units</t>
  </si>
  <si>
    <t>Unit Cost</t>
  </si>
  <si>
    <t>#063</t>
  </si>
  <si>
    <t>Check total costs after deduction of costs for exempted VFR</t>
  </si>
  <si>
    <t>Total determined/actual costs(in '000 NC)</t>
  </si>
  <si>
    <t>Total costs by service deducted by Costs for exempted VFR flights (in '000 NC)</t>
  </si>
  <si>
    <t>Checks for Route Table 1 ANSP</t>
  </si>
  <si>
    <t>2.1</t>
  </si>
  <si>
    <t>#091</t>
  </si>
  <si>
    <t>1.1</t>
  </si>
  <si>
    <t>Check that pension costs (in '000 NC) are filled in and different from 0</t>
  </si>
  <si>
    <t>Pension costs (in '000 NC)</t>
  </si>
  <si>
    <t xml:space="preserve"> #014b RP3</t>
  </si>
  <si>
    <t>5.3</t>
  </si>
  <si>
    <t>Check total costs into real terms (in '000 NC) RP3-current cost accounting</t>
  </si>
  <si>
    <t>Total determined/actual costs after deduction of costs for exempted VFR flights / price index (in '000 NC)</t>
  </si>
  <si>
    <t>Total costs real terms (in '000 NC)</t>
  </si>
  <si>
    <t xml:space="preserve"> #016</t>
  </si>
  <si>
    <t>5.4</t>
  </si>
  <si>
    <t>Check that Service Units are the same for all entities (in '000)</t>
  </si>
  <si>
    <t>Total Service Units (ANSP)</t>
  </si>
  <si>
    <t>Total Service Units (Consolidated)</t>
  </si>
  <si>
    <t xml:space="preserve"> #006</t>
  </si>
  <si>
    <t>Check that inflation rate for the entity is the same as at Charging Zone level (in %)</t>
  </si>
  <si>
    <t>Inflation rate (%) (ANSP)</t>
  </si>
  <si>
    <t>Inflation rate (%) (Consolidated)</t>
  </si>
  <si>
    <t xml:space="preserve"> #006b</t>
  </si>
  <si>
    <t>Check that inflation index for the entity is the same as at Charging Zone level (in %)</t>
  </si>
  <si>
    <t>Price Index (ANSP)</t>
  </si>
  <si>
    <t>Price Index (Consolidated)</t>
  </si>
  <si>
    <t xml:space="preserve"> #019</t>
  </si>
  <si>
    <t>3.5</t>
  </si>
  <si>
    <t>Check calculation of cost of capital pre-tax rate</t>
  </si>
  <si>
    <t>Cost of capital pre tax rate (%)</t>
  </si>
  <si>
    <t>Cost of capital / total asset base (%)</t>
  </si>
  <si>
    <t xml:space="preserve"> #020</t>
  </si>
  <si>
    <t>3.8</t>
  </si>
  <si>
    <t>Check proportion of financing through equity is coherent with components</t>
  </si>
  <si>
    <t>Proportion of financing through equity calculated from components is (in %):</t>
  </si>
  <si>
    <t>Proportion of financing through equity is (in %):</t>
  </si>
  <si>
    <t xml:space="preserve"> #018</t>
  </si>
  <si>
    <t>3.4</t>
  </si>
  <si>
    <t>Check total asset base (in '000 NC)</t>
  </si>
  <si>
    <t>Sum of assets (in '000 NC)</t>
  </si>
  <si>
    <t>Total asset base (in '000 NC)</t>
  </si>
  <si>
    <t>#065</t>
  </si>
  <si>
    <t>Check that no cost of capital is calculated if no asset base is reported</t>
  </si>
  <si>
    <t>Cost of capital (in '000 NC)</t>
  </si>
  <si>
    <t>#087</t>
  </si>
  <si>
    <t>3.10</t>
  </si>
  <si>
    <t>Check that depreciation in item 3.10 is the same as in item 1.3 (in '000 NC)</t>
  </si>
  <si>
    <t>Depreciation - item 3.10 (in '000 NC)</t>
  </si>
  <si>
    <t>Depreciation - item 1.3 (in '000 NC)</t>
  </si>
  <si>
    <t>#088</t>
  </si>
  <si>
    <t>3.11</t>
  </si>
  <si>
    <t>Check that cost of capital in item 3.11 is calculated based on NBV of fixed assets (in '000 NC)</t>
  </si>
  <si>
    <t>Cost of capital - item 3.11 (in '000 NC)</t>
  </si>
  <si>
    <t>NBV of fixed assets * WACC rate (in '000 NC)</t>
  </si>
  <si>
    <t>Checks for Route Table 1 MET</t>
  </si>
  <si>
    <t xml:space="preserve"> #014 RP3</t>
  </si>
  <si>
    <t xml:space="preserve">Check total costs into real terms (in '000 NC) RP3 </t>
  </si>
  <si>
    <t>Total Service Units (MET)</t>
  </si>
  <si>
    <t>Checks for Route Table 1 NSA</t>
  </si>
  <si>
    <t xml:space="preserve">Check the sum of costs by nature (in '000 NC) </t>
  </si>
  <si>
    <t>#068</t>
  </si>
  <si>
    <t>3.13</t>
  </si>
  <si>
    <t>Check that Eurocontrol costs (in '000 Euro) are filled in and different from 0</t>
  </si>
  <si>
    <t>Eurocontrol costs (in '000 Euro)</t>
  </si>
  <si>
    <t>#068b</t>
  </si>
  <si>
    <t>3.15</t>
  </si>
  <si>
    <t>Check calculation of Eurocontrol costs (in '000 NC)</t>
  </si>
  <si>
    <t>Eurocontrol costs (in '000 NC)</t>
  </si>
  <si>
    <t>Eurocontrol costs (in '000 Euro) * exchange rate</t>
  </si>
  <si>
    <t xml:space="preserve"> #054</t>
  </si>
  <si>
    <t>Check that Eurocontrol costs are = to T1 NSA (Other States costs)</t>
  </si>
  <si>
    <t>Eurocontrol costs reported in item 3.15 (in '000 NC)</t>
  </si>
  <si>
    <t>Other State costs reported in item 2.9 (in '000 NC)</t>
  </si>
  <si>
    <t xml:space="preserve"> #055</t>
  </si>
  <si>
    <r>
      <t xml:space="preserve">Check that Eurocontrol costs are </t>
    </r>
    <r>
      <rPr>
        <sz val="11"/>
        <rFont val="Calibri"/>
        <family val="2"/>
      </rPr>
      <t>≤</t>
    </r>
    <r>
      <rPr>
        <sz val="11"/>
        <rFont val="Calibri"/>
        <family val="2"/>
        <charset val="238"/>
        <scheme val="minor"/>
      </rPr>
      <t xml:space="preserve"> to T1 NSA (Other operating costs)</t>
    </r>
  </si>
  <si>
    <t>Other operating costs of NSA reported in item 1.2 (in '000 NC)</t>
  </si>
  <si>
    <t>Total Service Units (NSA)</t>
  </si>
  <si>
    <t>CALCULATION OF UNIT RATES - TABLE 2</t>
  </si>
  <si>
    <t>Reference Period 3</t>
  </si>
  <si>
    <t>Checks for T2 (consolidated)</t>
  </si>
  <si>
    <t xml:space="preserve"> #023</t>
  </si>
  <si>
    <t>Consistency of determined costs in nominal terms (VFR excl.) with T1 Consolidated</t>
  </si>
  <si>
    <t>Determined costs in nominal terms - VFR excl. - Table 2 Item 1.1 (in '000 NC)</t>
  </si>
  <si>
    <t>Total determined/actual costs - Table 1 (in '000 NC)</t>
  </si>
  <si>
    <t xml:space="preserve"> #023b</t>
  </si>
  <si>
    <t>Consistency of determined costs subject to inflation adjustment with T1 Consolidated</t>
  </si>
  <si>
    <t>Determined costs subject to inflation adjustment - Table 2 (in '000 NC)</t>
  </si>
  <si>
    <t>Determined costs subject to inflation adjustment - Table 1 (in '000 NC)</t>
  </si>
  <si>
    <t xml:space="preserve"> #025</t>
  </si>
  <si>
    <t>2.2</t>
  </si>
  <si>
    <t>Consistency of forecast inflation index with T1 Consolidated</t>
  </si>
  <si>
    <t>Forecast inflation index - Table 2</t>
  </si>
  <si>
    <t>Forecast inflation index - Table 1</t>
  </si>
  <si>
    <t xml:space="preserve"> #024</t>
  </si>
  <si>
    <t>2.3</t>
  </si>
  <si>
    <t>Consistency of actual inflation index with T1 Consolidated</t>
  </si>
  <si>
    <t>Actual inflation index - Table 2</t>
  </si>
  <si>
    <t>Actual inflation index - Table 1</t>
  </si>
  <si>
    <t xml:space="preserve"> #024b</t>
  </si>
  <si>
    <t>2.4</t>
  </si>
  <si>
    <t>Calculation of the difference between actual and forecast inflation index (in %)</t>
  </si>
  <si>
    <t>Actual / forecast inflation index - Table 2 (in %)</t>
  </si>
  <si>
    <t>Actual / forecast inflation index - Table 1 (in %)</t>
  </si>
  <si>
    <t xml:space="preserve"> #029</t>
  </si>
  <si>
    <t>Calculation of inflation adjustment relating to year n</t>
  </si>
  <si>
    <t>Inflation adjustment (in '000 NC)</t>
  </si>
  <si>
    <t>Calculated inflation adjustment (in '000 NC)</t>
  </si>
  <si>
    <t xml:space="preserve"> #082</t>
  </si>
  <si>
    <t>Sum of differences between determined and actual costs relating to year n</t>
  </si>
  <si>
    <t>Differences between determined and actual costs relating to year n (in '000 NC)</t>
  </si>
  <si>
    <t>Sum of items 3.1 to 3.7 (in '000 NC)</t>
  </si>
  <si>
    <t xml:space="preserve"> #023c</t>
  </si>
  <si>
    <t>4.1</t>
  </si>
  <si>
    <t>Consistency of determined costs subject to traffic risk-sharing with T1 Consolidated</t>
  </si>
  <si>
    <t>Determined costs subject to traffic risk-sharing - Table 2 (in '000 NC)</t>
  </si>
  <si>
    <t>Determined costs subject to traffic risk-sharing - Table 1 (in '000 NC)</t>
  </si>
  <si>
    <t xml:space="preserve"> #027</t>
  </si>
  <si>
    <t>4.6</t>
  </si>
  <si>
    <t>Consistency of forecast total service units (performance plan) with T1 Consolidated</t>
  </si>
  <si>
    <t>Forecast total service units - Table 2 (in '000)</t>
  </si>
  <si>
    <t>Forecast total service units - Table 1 (in '000)</t>
  </si>
  <si>
    <t xml:space="preserve"> #026</t>
  </si>
  <si>
    <t>Consistency of actual total service units with T1 Consolidated</t>
  </si>
  <si>
    <t>Actual total service units - Table 2 (in '000)</t>
  </si>
  <si>
    <t>Actual total service units - Table 1 (in '000)</t>
  </si>
  <si>
    <t xml:space="preserve"> #030</t>
  </si>
  <si>
    <t>Calculation of the difference between actual and forecast total service units (in %)</t>
  </si>
  <si>
    <t>Actual / forecast total service units - Table 1 (%)</t>
  </si>
  <si>
    <t>Actual / forecast total service units - Table 2 (%)</t>
  </si>
  <si>
    <t xml:space="preserve"> #032</t>
  </si>
  <si>
    <t>4.9</t>
  </si>
  <si>
    <t>Calculation of traffic risk-sharing adjustment relating to year n</t>
  </si>
  <si>
    <t>Traffic risk-sharing adjustment (in '000 NC)</t>
  </si>
  <si>
    <t>Calculated traffic risk-sharing adjustment (in '000 NC)</t>
  </si>
  <si>
    <t xml:space="preserve"> #034</t>
  </si>
  <si>
    <t>Calculation of traffic adjustment for determined costs not subject to traffic risk-sharing</t>
  </si>
  <si>
    <t>Traffic adjustment (in '000 NC)</t>
  </si>
  <si>
    <t>Calculated traffic adjustment (in '000 NC)</t>
  </si>
  <si>
    <t>Calculation of traffic adjustment for adjustments to year n unit rate not subject to traffic risk-sharing</t>
  </si>
  <si>
    <t>Sum of traffic adjustment</t>
  </si>
  <si>
    <t>Traffic adjustments relating to year n (in '000 NC)</t>
  </si>
  <si>
    <t>Sum of items 5.1 and 5.2 (in '000 NC)</t>
  </si>
  <si>
    <t xml:space="preserve"> #082b</t>
  </si>
  <si>
    <t>6.4</t>
  </si>
  <si>
    <t>Sum of financial incentives relating to year n</t>
  </si>
  <si>
    <t>Financial incentives relating to year n (in '000 NC)</t>
  </si>
  <si>
    <t>Sum of items 6.1 to 6.3 (in '000 NC)</t>
  </si>
  <si>
    <t xml:space="preserve"> #039</t>
  </si>
  <si>
    <t>10.5</t>
  </si>
  <si>
    <t>Sum of other revenues relating to year n</t>
  </si>
  <si>
    <t>Total other revenues relating to year n (in '000 NC)</t>
  </si>
  <si>
    <t>Sum of items 10.1 to 10.4 (in '000 NC)</t>
  </si>
  <si>
    <t>13.1</t>
  </si>
  <si>
    <t>Determined costs in nominal terms (VFR excl.)</t>
  </si>
  <si>
    <t>Determined costs in nominal terms - Item 13.1 (in '000 NC)</t>
  </si>
  <si>
    <t>Determined costs in nominal terms - Item 1.1 (in '000 NC)</t>
  </si>
  <si>
    <t>#071</t>
  </si>
  <si>
    <t>13.2</t>
  </si>
  <si>
    <t>Consistency of inflation adjustment carried-over to unit rate year n with T3</t>
  </si>
  <si>
    <t>Amounts carried-over from Table 2 (in '000 NC)</t>
  </si>
  <si>
    <t>Amounts carried-over from Table 3 (in '000 NC)</t>
  </si>
  <si>
    <t>#073</t>
  </si>
  <si>
    <t>13.3</t>
  </si>
  <si>
    <t>Consistency of traffic risk-sharing adjustment carried-over to unit rate year n with T3</t>
  </si>
  <si>
    <t>#074</t>
  </si>
  <si>
    <t>13.4</t>
  </si>
  <si>
    <t>Consistency of costs exempt from cost-sharing carried-over to unit rate year n with T3</t>
  </si>
  <si>
    <t>#075</t>
  </si>
  <si>
    <t>13.5</t>
  </si>
  <si>
    <t>Consistency of financial incentives carried-over to unit rate year n with T3</t>
  </si>
  <si>
    <t>#076</t>
  </si>
  <si>
    <t>13.6</t>
  </si>
  <si>
    <t>Consistency of modulation of charges carried-over to unit rate year n with T3</t>
  </si>
  <si>
    <t>#077</t>
  </si>
  <si>
    <t>13.7</t>
  </si>
  <si>
    <t>Consistency of traffic adjustment carried-over to unit rate year n with T3</t>
  </si>
  <si>
    <t>#079</t>
  </si>
  <si>
    <t>13.8</t>
  </si>
  <si>
    <t>Consistency of other revenues carried-over to unit rate year n with T3</t>
  </si>
  <si>
    <t>#080</t>
  </si>
  <si>
    <t>13.9</t>
  </si>
  <si>
    <t>Consistency of cross-financing carried-over to unit rate year n with T3</t>
  </si>
  <si>
    <t>#078b</t>
  </si>
  <si>
    <t>13.10</t>
  </si>
  <si>
    <t>Consistency of revenue differences from temporary application of UR with T3</t>
  </si>
  <si>
    <t>#070</t>
  </si>
  <si>
    <t>13.2-13.10</t>
  </si>
  <si>
    <t>Consistency of total adjustments carried over to unit rate year n with T3</t>
  </si>
  <si>
    <t>Sum of amounts carried-over from Table 2 (in '000 NC)</t>
  </si>
  <si>
    <t>Sum of amounts carried-over from Table 3 (in '000 NC)</t>
  </si>
  <si>
    <t xml:space="preserve"> #040</t>
  </si>
  <si>
    <t>13.11</t>
  </si>
  <si>
    <t>Grand total for the calculation of year n unit rate</t>
  </si>
  <si>
    <t>Grand total for the calculation of year n unit rate (in '000 NC)</t>
  </si>
  <si>
    <t>Sum of items 13.1 to 13.10 (in '000 NC)</t>
  </si>
  <si>
    <t xml:space="preserve"> #027b</t>
  </si>
  <si>
    <t>13.12</t>
  </si>
  <si>
    <t>Forecast total service units for year n (performance plan)</t>
  </si>
  <si>
    <t>Forecast total service units - Item  13.12 (in '000)</t>
  </si>
  <si>
    <t>Forecast total service units - Item  4.6 (in '000)</t>
  </si>
  <si>
    <t xml:space="preserve"> #081</t>
  </si>
  <si>
    <t>13.13</t>
  </si>
  <si>
    <t>Calculation of the unit rate for year n</t>
  </si>
  <si>
    <t>Unit Rate for year n</t>
  </si>
  <si>
    <t>Grand total for the calculation of year n unit rate / Forecast total service units</t>
  </si>
  <si>
    <t xml:space="preserve"> #081b</t>
  </si>
  <si>
    <t>14</t>
  </si>
  <si>
    <t>Calculation of the applicable unit rate for year n</t>
  </si>
  <si>
    <t>Applicable unit rate for year n</t>
  </si>
  <si>
    <t>Unit Rate for year n - Reduction as per Art. 29(6)</t>
  </si>
  <si>
    <t>Checks for T2 ANSP</t>
  </si>
  <si>
    <t xml:space="preserve"> #089</t>
  </si>
  <si>
    <t>% of traffic deviation set as deadband is 2%</t>
  </si>
  <si>
    <t>% of traffic deviation</t>
  </si>
  <si>
    <t xml:space="preserve"> #035</t>
  </si>
  <si>
    <t>4.3</t>
  </si>
  <si>
    <t>% of TRS additional revenue returned to users is 70%</t>
  </si>
  <si>
    <t>% additional revenue returned to users in year n+2</t>
  </si>
  <si>
    <t xml:space="preserve"> #036</t>
  </si>
  <si>
    <t>4.4</t>
  </si>
  <si>
    <t>% of TRS loss borne by users is 70%</t>
  </si>
  <si>
    <t>% loss of revenue borne by airspace users in year n+2</t>
  </si>
  <si>
    <t xml:space="preserve"> #090</t>
  </si>
  <si>
    <t>4.5</t>
  </si>
  <si>
    <t>% of traffic deviation set as threshold is 10%</t>
  </si>
  <si>
    <t>Checks for T2 MET</t>
  </si>
  <si>
    <t>Checks for T2 NSA</t>
  </si>
  <si>
    <t>Checks for T3 (consolidated)</t>
  </si>
  <si>
    <t>i</t>
  </si>
  <si>
    <t>Total adjustments relating to year n to be carried-over</t>
  </si>
  <si>
    <t>Sum of amounts to be carried-over from Table 2 (in '000 NC)</t>
  </si>
  <si>
    <t>Sum of amounts to be carried-over from Table 3 (in '000 NC)</t>
  </si>
  <si>
    <t>ii</t>
  </si>
  <si>
    <t>Inflation adjustment</t>
  </si>
  <si>
    <t>Amounts to be carried-over from Table 2 (in '000 NC)</t>
  </si>
  <si>
    <t>Amounts to be carried-over from Table 3 (in '000 NC)</t>
  </si>
  <si>
    <t>iii</t>
  </si>
  <si>
    <t>Costs exempt</t>
  </si>
  <si>
    <t>iv</t>
  </si>
  <si>
    <t>Traffic risk-sharing</t>
  </si>
  <si>
    <t>v</t>
  </si>
  <si>
    <t>Traffic adjustment</t>
  </si>
  <si>
    <t>vi</t>
  </si>
  <si>
    <t>Financial incentives</t>
  </si>
  <si>
    <t>vii</t>
  </si>
  <si>
    <t>Modulation of charges</t>
  </si>
  <si>
    <t>viii</t>
  </si>
  <si>
    <t>Revision of the unit rate</t>
  </si>
  <si>
    <t>#083</t>
  </si>
  <si>
    <t>ix</t>
  </si>
  <si>
    <t>Cross-financing</t>
  </si>
  <si>
    <t>#084</t>
  </si>
  <si>
    <t>x</t>
  </si>
  <si>
    <t>Other revenues</t>
  </si>
  <si>
    <t>#085</t>
  </si>
  <si>
    <t>xi</t>
  </si>
  <si>
    <t>Check that adjustments from current and future years are not anticipatively included in T3 and are equal to 0</t>
  </si>
  <si>
    <t>Sum of adjustments (in '000 NC)</t>
  </si>
  <si>
    <t>#086</t>
  </si>
  <si>
    <t>xii</t>
  </si>
  <si>
    <t>Check that no costs exempt from cost-sharing from RP2 are charged/reimbursed before 2021</t>
  </si>
  <si>
    <t>Costs exempt from cost-sharing from RP2: amounts carried over to year n (in '000 NC)</t>
  </si>
  <si>
    <t>Carry-over of costs exempt from cost-sharing from RP2 must be = 0</t>
  </si>
  <si>
    <t>Checks for T3 ANSP</t>
  </si>
  <si>
    <t>Checks for T3 MET new</t>
  </si>
  <si>
    <t>Checks for T3 NSA new</t>
  </si>
  <si>
    <t>Table 1 - Total Costs and Unit Costs</t>
  </si>
  <si>
    <t>United Kingdom</t>
  </si>
  <si>
    <t>Currency : GBP £</t>
  </si>
  <si>
    <t>All Entities</t>
  </si>
  <si>
    <t>Actual costs 2012-2019</t>
  </si>
  <si>
    <t>Determined costs - RP3</t>
  </si>
  <si>
    <t>Determined costs - NR23</t>
  </si>
  <si>
    <t>Actual costs - RP3</t>
  </si>
  <si>
    <t>Actual Costs NR23</t>
  </si>
  <si>
    <t>Cost details</t>
  </si>
  <si>
    <t>1.     Detail by nature (in nominal terms)</t>
  </si>
  <si>
    <t>1.1   Staff</t>
  </si>
  <si>
    <t xml:space="preserve">         of which, pension costs</t>
  </si>
  <si>
    <t>1.2   Other operating costs</t>
  </si>
  <si>
    <t>1.3   Depreciation</t>
  </si>
  <si>
    <t>1.4   Cost of capital</t>
  </si>
  <si>
    <t>1.5   Exceptional items</t>
  </si>
  <si>
    <t>1.6   Total costs</t>
  </si>
  <si>
    <t>Total          % n/n-1</t>
  </si>
  <si>
    <t>2.     Detail by service (in nominal terms)</t>
  </si>
  <si>
    <t>2.1   Air Traffic Management</t>
  </si>
  <si>
    <t>2.2   Communication</t>
  </si>
  <si>
    <t>2.3   Navigation</t>
  </si>
  <si>
    <t>2.4   Surveillance</t>
  </si>
  <si>
    <t>2.5   Search and rescue</t>
  </si>
  <si>
    <t>2.6   Aeronautical Information</t>
  </si>
  <si>
    <t>2.7   Meteorological services</t>
  </si>
  <si>
    <t>2.8   Supervision costs</t>
  </si>
  <si>
    <t>2.9   Other State costs</t>
  </si>
  <si>
    <t>2.10 Total costs</t>
  </si>
  <si>
    <t>3.   Complementary information (in nominal terms)</t>
  </si>
  <si>
    <t>Average asset base</t>
  </si>
  <si>
    <t>3.1  Net book val. fixed assets</t>
  </si>
  <si>
    <t>3.2  Adjustments total assets</t>
  </si>
  <si>
    <t>3.3  Net current assets</t>
  </si>
  <si>
    <t>3.4  Total asset base</t>
  </si>
  <si>
    <t>Cost of capital %</t>
  </si>
  <si>
    <t>3.5  Cost of capital pre tax rate</t>
  </si>
  <si>
    <t>3.6  Return on equity</t>
  </si>
  <si>
    <t>3.7  Average interest on debts</t>
  </si>
  <si>
    <t>3.8  Share of financing through equity</t>
  </si>
  <si>
    <t>Costs of common projects</t>
  </si>
  <si>
    <t>3.9  Common projects</t>
  </si>
  <si>
    <t xml:space="preserve">Costs of new and existing investments </t>
  </si>
  <si>
    <t>3.10  Depreciation</t>
  </si>
  <si>
    <t xml:space="preserve">3.11  Cost of capital </t>
  </si>
  <si>
    <t xml:space="preserve">3.12  Cost of leasing </t>
  </si>
  <si>
    <t xml:space="preserve">Eurocontrol costs </t>
  </si>
  <si>
    <t>3.13 Eurocontrol costs (Euro)</t>
  </si>
  <si>
    <t>3.14 Exchange rate (if applicable)</t>
  </si>
  <si>
    <t>3.15 Eurocontrol costs (national currency)</t>
  </si>
  <si>
    <t>4.  Total costs after deduction of costs for services to exempted flights (in nominal terms)</t>
  </si>
  <si>
    <t>4.1  Costs for exempted VFR flights</t>
  </si>
  <si>
    <t xml:space="preserve">4.2  Total determined/actual costs </t>
  </si>
  <si>
    <t>5.  Cost-efficiency KPI - Determined/Actual Unit Cost (in real terms)</t>
  </si>
  <si>
    <t>5.1  Inflation  %</t>
  </si>
  <si>
    <t>5.2  Inflation index (1)</t>
  </si>
  <si>
    <t>5.3  Total costs real terms (2)</t>
  </si>
  <si>
    <t>5.4 Total Service Units</t>
  </si>
  <si>
    <t>5.5 Unit cost in real terms prices (3)</t>
  </si>
  <si>
    <t>HICP and CPI are the same index in the UK. 2020 actual inflation figure from: https://www.ons.gov.uk/economy/inflationandpriceindices/datasets/consumerpriceinflation</t>
  </si>
  <si>
    <t>Costs and asset base items in '000  -  Service units in '000</t>
  </si>
  <si>
    <t xml:space="preserve">(1)  Inflation index - Base 100 in 2017, Forecast inflation index 2019 as per the Performance Plan. </t>
  </si>
  <si>
    <t xml:space="preserve">(2)   Determined costs (performance plan) and actual costs in real terms </t>
  </si>
  <si>
    <t>(3)   Determined unit costs (performance plan) and actual unit costs in real terms</t>
  </si>
  <si>
    <t>NERL</t>
  </si>
  <si>
    <t>Includes furlough</t>
  </si>
  <si>
    <t>n/a</t>
  </si>
  <si>
    <t>EC element of RAB only</t>
  </si>
  <si>
    <t xml:space="preserve">(1)  Inflation index - Base 100 in 2017, Forecast inflation 2019 as per the Performance Plan. </t>
  </si>
  <si>
    <t>Met Office</t>
  </si>
  <si>
    <t>Determined  - RP3</t>
  </si>
  <si>
    <t>Actual Costs - RP3 3</t>
  </si>
  <si>
    <t>UK CAA + DfT Eurocontrol</t>
  </si>
  <si>
    <t>2020 DC</t>
  </si>
  <si>
    <t>2020 A</t>
  </si>
  <si>
    <t>Total EUROCONTROL Cost Base (€000)</t>
  </si>
  <si>
    <t>From Actual ECTL costs, circulated 21 May 2021</t>
  </si>
  <si>
    <t>UK share (%)</t>
  </si>
  <si>
    <t>UK Share of EUROCONTROL Cost base (€000)</t>
  </si>
  <si>
    <t>Average exchange rate (1EUR =  x GBP)</t>
  </si>
  <si>
    <t>From Actual annual 2020 exchange rates, circulated 3 February 2021</t>
  </si>
  <si>
    <t>UK Share of EUROCONTROL Cost base (GBP 000)</t>
  </si>
  <si>
    <t>2021 DC</t>
  </si>
  <si>
    <t>2021 A</t>
  </si>
  <si>
    <t xml:space="preserve">Table 2 - Unit rate calculation </t>
  </si>
  <si>
    <t>NR23</t>
  </si>
  <si>
    <t>Table 2 A - Adjustments relating to year n</t>
  </si>
  <si>
    <t>A. Cost-sharing</t>
  </si>
  <si>
    <t>Determined costs</t>
  </si>
  <si>
    <t>Inflation adjustment calculation</t>
  </si>
  <si>
    <t>2.1       Determined costs subject to inflation adjustment</t>
  </si>
  <si>
    <t>2.2       Forecast inflation index - Table 1</t>
  </si>
  <si>
    <t>2.3       Actual inflation index  - Table 1</t>
  </si>
  <si>
    <t>2.4       Actual / forecast total inflation index (in %)</t>
  </si>
  <si>
    <r>
      <t xml:space="preserve">3.1       New and existing investments </t>
    </r>
    <r>
      <rPr>
        <i/>
        <sz val="8"/>
        <rFont val="Calibri"/>
        <family val="2"/>
      </rPr>
      <t>(Art. 28(4))</t>
    </r>
  </si>
  <si>
    <r>
      <t xml:space="preserve">3.3       Competent authorities and qualified entities costs </t>
    </r>
    <r>
      <rPr>
        <i/>
        <sz val="8"/>
        <rFont val="Calibri"/>
        <family val="2"/>
      </rPr>
      <t>(Art. 28(5))</t>
    </r>
  </si>
  <si>
    <r>
      <t xml:space="preserve">3.4       Eurocontrol costs </t>
    </r>
    <r>
      <rPr>
        <i/>
        <sz val="8"/>
        <rFont val="Calibri"/>
        <family val="2"/>
      </rPr>
      <t>(Art. 28(5))</t>
    </r>
  </si>
  <si>
    <r>
      <t xml:space="preserve">3.5       Pension costs </t>
    </r>
    <r>
      <rPr>
        <i/>
        <sz val="8"/>
        <rFont val="Calibri"/>
        <family val="2"/>
      </rPr>
      <t>(Art. 28(6))</t>
    </r>
  </si>
  <si>
    <r>
      <t xml:space="preserve">3.6       Interest on loans </t>
    </r>
    <r>
      <rPr>
        <i/>
        <sz val="8"/>
        <rFont val="Calibri"/>
        <family val="2"/>
      </rPr>
      <t>(Art. 28(6))</t>
    </r>
  </si>
  <si>
    <r>
      <t>3.7       Changes in law</t>
    </r>
    <r>
      <rPr>
        <i/>
        <sz val="8"/>
        <rFont val="Calibri"/>
        <family val="2"/>
      </rPr>
      <t xml:space="preserve"> (Art. 28(6))</t>
    </r>
  </si>
  <si>
    <t>B. Traffic risk sharing</t>
  </si>
  <si>
    <t>Traffic risk sharing adjustment</t>
  </si>
  <si>
    <t>4.1       Determined costs subject to traffic risk sharing</t>
  </si>
  <si>
    <t>4.6       Forecast total service units (performance plan)</t>
  </si>
  <si>
    <t>4.7       Actual total service units</t>
  </si>
  <si>
    <t>4.8       Actual / forecast total service units (in %)</t>
  </si>
  <si>
    <t>Traffic adjustments</t>
  </si>
  <si>
    <t>C. Financial incentive schemes on capacity and environment</t>
  </si>
  <si>
    <t>Adjustments relating to financial incentives</t>
  </si>
  <si>
    <t>D. Other adjustments</t>
  </si>
  <si>
    <t xml:space="preserve">Revision of the unit rate </t>
  </si>
  <si>
    <t>8.1       Temporary unit rate applied in year n</t>
  </si>
  <si>
    <t>Cross-financing between charging zones</t>
  </si>
  <si>
    <t>9.1       Cross-financing to (-) / from (+) other charging zone(s) relating to year n</t>
  </si>
  <si>
    <t>Application of a lower unit rate</t>
  </si>
  <si>
    <t>12        Total adjustments relating to year n</t>
  </si>
  <si>
    <t>Table 2 B - Calculation of the unit rate for year n (1)</t>
  </si>
  <si>
    <t>13.11  Grand total for the calculation of year n unit rate</t>
  </si>
  <si>
    <t>13.12  Forecast total service units for year n (performance plan)</t>
  </si>
  <si>
    <t>14        Applicable unit rate for year n</t>
  </si>
  <si>
    <t>Costs, revenues and other amounts  in '000  -  Service units in '000</t>
  </si>
  <si>
    <r>
      <t xml:space="preserve">(1) Including adjustments relating to previous reference periods </t>
    </r>
    <r>
      <rPr>
        <i/>
        <sz val="8"/>
        <rFont val="Calibri"/>
        <family val="2"/>
      </rPr>
      <t>(Art. 25(2)(l))</t>
    </r>
  </si>
  <si>
    <t xml:space="preserve">1.1       Determined costs in nominal terms - VFR excl. - Table 1 </t>
  </si>
  <si>
    <t xml:space="preserve">2.5       Inflation adjustment relating to year n </t>
  </si>
  <si>
    <t xml:space="preserve">3.1       New and existing investments </t>
  </si>
  <si>
    <t xml:space="preserve">3.3       Competent authorities and qualified entities costs </t>
  </si>
  <si>
    <t xml:space="preserve">3.4       Eurocontrol costs </t>
  </si>
  <si>
    <t xml:space="preserve">3.5       Pension costs </t>
  </si>
  <si>
    <t xml:space="preserve">3.6       Interest on loans </t>
  </si>
  <si>
    <r>
      <t>3.7       Changes in law</t>
    </r>
    <r>
      <rPr>
        <i/>
        <sz val="8"/>
        <rFont val="Calibri"/>
        <family val="2"/>
      </rPr>
      <t xml:space="preserve"> </t>
    </r>
  </si>
  <si>
    <t xml:space="preserve">3.8       Differences between determined and actual costs relating to year n </t>
  </si>
  <si>
    <t>RP3 TRS recovery to be agreed as part of NR23</t>
  </si>
  <si>
    <t>EC version taken</t>
  </si>
  <si>
    <t>Financial incentives not being claimed - see additional information</t>
  </si>
  <si>
    <t>These figures reflect the pension cost variance being recovered over 15 years. See note in T3 ANSP, cell 75.</t>
  </si>
  <si>
    <t>Have linked in 'T3 ANSP' row 256</t>
  </si>
  <si>
    <t>No financial incentives being claimed - see additional information</t>
  </si>
  <si>
    <t>Applied for difference in 2020 unit rate (see C63)</t>
  </si>
  <si>
    <t>Tie to NR23 plan</t>
  </si>
  <si>
    <t>2022 formula updated</t>
  </si>
  <si>
    <t>Table 3 - Complementary information on adjustments</t>
  </si>
  <si>
    <t>FILTER</t>
  </si>
  <si>
    <t>Complementary information on adjustments</t>
  </si>
  <si>
    <t>Amounts</t>
  </si>
  <si>
    <t>After RP</t>
  </si>
  <si>
    <t>Inflation adjustment 2018</t>
  </si>
  <si>
    <t>Inflation adjustment 2019</t>
  </si>
  <si>
    <t>RP2</t>
  </si>
  <si>
    <t>Total inflation adjustment up to 2019</t>
  </si>
  <si>
    <t>Inflation adjustment 2020</t>
  </si>
  <si>
    <t>Inflation adjustment 2021</t>
  </si>
  <si>
    <t>Inflation adjustment 2022</t>
  </si>
  <si>
    <t>RP3</t>
  </si>
  <si>
    <t>Total inflation adjustment up to 2022</t>
  </si>
  <si>
    <t>Inflation adjustment 2023</t>
  </si>
  <si>
    <t>Inflation adjustment 2024</t>
  </si>
  <si>
    <t>Inflation adjustment 2025</t>
  </si>
  <si>
    <t>Inflation adjustment 2026</t>
  </si>
  <si>
    <t>Inflation adjustment 2027</t>
  </si>
  <si>
    <t>Total</t>
  </si>
  <si>
    <t>Total inflation Adjustment (Art. 26)*</t>
  </si>
  <si>
    <t>Traffic risk sharing up to 2017</t>
  </si>
  <si>
    <t>Traffic risk sharing 2018</t>
  </si>
  <si>
    <t>Traffic risk sharing 2019</t>
  </si>
  <si>
    <t>Total traffic risk sharing adjustements up to 2019</t>
  </si>
  <si>
    <t>Traffic risk sharing 2020</t>
  </si>
  <si>
    <t>Traffic risk sharing 2021</t>
  </si>
  <si>
    <t>Traffic risk sharing 2022</t>
  </si>
  <si>
    <t>Total traffic risk sharing adjustements up to 2022</t>
  </si>
  <si>
    <t>Traffic risk sharing 2023</t>
  </si>
  <si>
    <t>Traffic risk sharing 2024</t>
  </si>
  <si>
    <t>Traffic risk sharing 2025</t>
  </si>
  <si>
    <t>Traffic risk sharing 2026</t>
  </si>
  <si>
    <t>Traffic risk sharing 2027</t>
  </si>
  <si>
    <t>Total traffic risk sharing adjustment (Art. 27(2) to 27(5))*</t>
  </si>
  <si>
    <t>Difference in investment costs 2020</t>
  </si>
  <si>
    <t>Difference in investment costs 2021</t>
  </si>
  <si>
    <t>Difference in investment costs 2022</t>
  </si>
  <si>
    <t>Total difference in investment costs up to 2022</t>
  </si>
  <si>
    <t>Difference in investment costs 2023</t>
  </si>
  <si>
    <t>Difference in investment costs 2024</t>
  </si>
  <si>
    <t>Difference in investment costs 2025</t>
  </si>
  <si>
    <t>Difference in investment costs 2026</t>
  </si>
  <si>
    <t>Difference in investment costs 2027</t>
  </si>
  <si>
    <t>Total adjustment relating to investment costs (Art. 28(4))</t>
  </si>
  <si>
    <t>Difference in competent authorities and QEs costs 2020</t>
  </si>
  <si>
    <t>Difference in competent authorities and QEs costs 2021</t>
  </si>
  <si>
    <t>Difference in competent authorities and QEs costs 2022</t>
  </si>
  <si>
    <t>Total competent authorities and QEs adjustements up to 2022</t>
  </si>
  <si>
    <t>Difference in competent authorities and QEs costs 2023</t>
  </si>
  <si>
    <t>Difference in competent authorities and QEs costs 2024</t>
  </si>
  <si>
    <t>Difference in competent authorities and QEs costs 2025</t>
  </si>
  <si>
    <t>Difference in competent authorities and QEs costs 2026</t>
  </si>
  <si>
    <t>Difference in competent authorities and QEs costs 2027</t>
  </si>
  <si>
    <t>Total adjustment relating to competent authorities and QEs costs (Art. 28(5))</t>
  </si>
  <si>
    <t>Difference in Eurocontrol costs 2020</t>
  </si>
  <si>
    <t>Difference in Eurocontrol costs 2021</t>
  </si>
  <si>
    <t>Difference in Eurocontrol costs 2022</t>
  </si>
  <si>
    <t>Total Eurocontrol adjustments up to 2022</t>
  </si>
  <si>
    <t>Difference in Eurocontrol costs 2023</t>
  </si>
  <si>
    <t>Difference in Eurocontrol costs 2024</t>
  </si>
  <si>
    <t>Difference in Eurocontrol costs 2025</t>
  </si>
  <si>
    <t>Difference in Eurocontrol costs 2026</t>
  </si>
  <si>
    <t>Difference in Eurocontrol costs 2027</t>
  </si>
  <si>
    <t>Total adjustment relating to Eurocontrol costs (Art. 28(5))</t>
  </si>
  <si>
    <t>Difference in pension costs 2020</t>
  </si>
  <si>
    <t>Difference in pension costs 2021</t>
  </si>
  <si>
    <t>Difference in pension costs 2022</t>
  </si>
  <si>
    <t>Total pension cost adjustements up to 2022</t>
  </si>
  <si>
    <t>Difference in pension costs 2023</t>
  </si>
  <si>
    <t>Difference in pension costs 2024</t>
  </si>
  <si>
    <t>Difference in pension costs 2025</t>
  </si>
  <si>
    <t>Difference in pension costs 2026</t>
  </si>
  <si>
    <t>Difference in pension costs 2027</t>
  </si>
  <si>
    <t>Total adjustment relating to pension costs (Art. 28(6))</t>
  </si>
  <si>
    <t>Difference in interest on loans 2020</t>
  </si>
  <si>
    <t>Difference in interest on loans 2021</t>
  </si>
  <si>
    <t>Difference in interest on loans 2022</t>
  </si>
  <si>
    <t>Total interest on loans adjustement up to 2022</t>
  </si>
  <si>
    <t>Difference in interest on loans 2023</t>
  </si>
  <si>
    <t>Difference in interest on loans 2024</t>
  </si>
  <si>
    <t>Difference in interest on loans 2025</t>
  </si>
  <si>
    <t>Difference in interest on loans 2026</t>
  </si>
  <si>
    <t>Difference in interest on loans 2027</t>
  </si>
  <si>
    <t>Total adjustment relating to interest on loans (Art. 28(6))</t>
  </si>
  <si>
    <t>Costs relating to change in law 2020</t>
  </si>
  <si>
    <t>Costs relating to change in law 2021</t>
  </si>
  <si>
    <t>Costs relating to change in law 2022</t>
  </si>
  <si>
    <t>Costs relating to change in law 2023</t>
  </si>
  <si>
    <t>Costs relating to change in law 2024</t>
  </si>
  <si>
    <t>Costs relating to change in law 2025</t>
  </si>
  <si>
    <t>Costs relating to change in law 2026</t>
  </si>
  <si>
    <t>Costs relating to change in law 2027</t>
  </si>
  <si>
    <t>Total adjustment relating to change in law (Art. 28(6))</t>
  </si>
  <si>
    <t>Cost exempt from cost sharing up to 2017</t>
  </si>
  <si>
    <t>Cost exempt from cost sharing 2018</t>
  </si>
  <si>
    <t>Cost exempt from cost sharing from 2019</t>
  </si>
  <si>
    <t>Total adjustment relating to cost exempt up to 2019</t>
  </si>
  <si>
    <t>Cost exempt from cost sharing up to 2020</t>
  </si>
  <si>
    <t>Cost exempt from cost sharing 2021</t>
  </si>
  <si>
    <t>Cost exempt from cost sharing from 2022</t>
  </si>
  <si>
    <t>Total adjustment relating to cost exempt from previous RPs</t>
  </si>
  <si>
    <t>Financial incentives year up to 2017</t>
  </si>
  <si>
    <t>Financial incentives year 2018</t>
  </si>
  <si>
    <t>Financial incentives year 2019</t>
  </si>
  <si>
    <t>Total financial incentives up to 2019</t>
  </si>
  <si>
    <t>Financial incentives year 2020</t>
  </si>
  <si>
    <t>Financial incentives year 2021</t>
  </si>
  <si>
    <t>Financial incentives year 2022</t>
  </si>
  <si>
    <t>Total financial incentives adjustements up to 2022</t>
  </si>
  <si>
    <t>Financial incentives year 2023</t>
  </si>
  <si>
    <t>Financial incentives year 2024</t>
  </si>
  <si>
    <t>Financial incentives year 2025</t>
  </si>
  <si>
    <t>Financial incentives year 2026</t>
  </si>
  <si>
    <t>Financial incentives year 2027</t>
  </si>
  <si>
    <t>Total financial incentives (Art. 11(3) and 11(4))*</t>
  </si>
  <si>
    <t>Modulation of charges  up to 2017</t>
  </si>
  <si>
    <t>Modulation of charges  year 2018</t>
  </si>
  <si>
    <t>Modulation of charges  year 2019</t>
  </si>
  <si>
    <t>Total modulation of charges up 2019</t>
  </si>
  <si>
    <t>Modulation of charges 2020</t>
  </si>
  <si>
    <t>Modulation of charges 2021</t>
  </si>
  <si>
    <t>Modulation of charges 2022</t>
  </si>
  <si>
    <t>Total modulation of charges adjustement up to 2022</t>
  </si>
  <si>
    <t>Modulation of charges 2023</t>
  </si>
  <si>
    <t>Modulation of charges 2024</t>
  </si>
  <si>
    <t>Modulation of charges 2025</t>
  </si>
  <si>
    <t>Modulation of charges 2026</t>
  </si>
  <si>
    <t>Modulation of charges 2027</t>
  </si>
  <si>
    <t>Total adjustment relating to modulation of charges (Art. 32(1))*</t>
  </si>
  <si>
    <t>Traffic adjustment up to 2017</t>
  </si>
  <si>
    <t>Traffic adjustment 2018</t>
  </si>
  <si>
    <t>Traffic adjustment 2019</t>
  </si>
  <si>
    <t>Total traffic adjustments up to 2019</t>
  </si>
  <si>
    <t>Traffic adjustment on adjustments from previous RPs 2020</t>
  </si>
  <si>
    <t>Traffic adjustment on adjustments from previous RPs 2021</t>
  </si>
  <si>
    <t>Traffic adjustment on adjustments from previous RPs 2022</t>
  </si>
  <si>
    <t>Total traffic adjustments on adjustments from previous RPs up to 2022</t>
  </si>
  <si>
    <t>Traffic adjustment on adjustments from previous RPs 2023</t>
  </si>
  <si>
    <t>Traffic adjustment on adjustments from previous RPs 2024</t>
  </si>
  <si>
    <t>Traffic adjustment on adjustments from previous RPs 2025</t>
  </si>
  <si>
    <t>Traffic adjustment on adjustments from previous RPs 2026</t>
  </si>
  <si>
    <t>Traffic adjustment on adjustments from previous RPs 2027</t>
  </si>
  <si>
    <t>Total traffic adjustment on adjustments from previous reference periods</t>
  </si>
  <si>
    <t>Traffic adjustment 2020</t>
  </si>
  <si>
    <t>Traffic adjustment 2021</t>
  </si>
  <si>
    <t>Traffic adjustment 2022</t>
  </si>
  <si>
    <t>Total traffic adjustements up to 2022</t>
  </si>
  <si>
    <t>Traffic adjustment 2023</t>
  </si>
  <si>
    <t>Traffic adjustment 2024</t>
  </si>
  <si>
    <t>Traffic adjustment 2025</t>
  </si>
  <si>
    <t>Traffic adjustment 2026</t>
  </si>
  <si>
    <t>Traffic adjustment 2027</t>
  </si>
  <si>
    <t>Total traffic adjustment (Art. 27(8) and 27(9))*</t>
  </si>
  <si>
    <t>Revenues received from Union assistance programmes up to 2017</t>
  </si>
  <si>
    <t>Revenues received from Union assistance programmes in 2018</t>
  </si>
  <si>
    <t>Revenues received from Union assistance programmes in 2019</t>
  </si>
  <si>
    <t>Total revenues received from Union assistance programmes up to 2019</t>
  </si>
  <si>
    <t>Revenues received from Union assistance programmes in 2020</t>
  </si>
  <si>
    <t>Revenues received from Union assistance programmes in 2021</t>
  </si>
  <si>
    <t>Revenues received from Union assistance programmes in 2022</t>
  </si>
  <si>
    <t>Total revenues received from Union assistance programmes up to 2022</t>
  </si>
  <si>
    <t>Revenues received from Union assistance programmes in 2023</t>
  </si>
  <si>
    <t>Revenues received from Union assistance programmes in 2024</t>
  </si>
  <si>
    <t>Revenues received from Union assistance programmes in 2025</t>
  </si>
  <si>
    <t>Revenues received from Union assistance programmes in 2026</t>
  </si>
  <si>
    <t>Revenues received from Union assistance programmes in 2027</t>
  </si>
  <si>
    <t>Total revenues received from Union assistance programmes (Art. 25(3)(a))*</t>
  </si>
  <si>
    <t>Revenues received from national public funding up to 2017</t>
  </si>
  <si>
    <t>Revenues received from national public funding in 2018</t>
  </si>
  <si>
    <t>Revenues received from national public funding in 2019</t>
  </si>
  <si>
    <t>Total revenues received from national public funding up to 2019</t>
  </si>
  <si>
    <t>Revenues received from national public funding in 2020</t>
  </si>
  <si>
    <t>Revenues received from national public funding in 2021</t>
  </si>
  <si>
    <t>Revenues received from national public funding in 2022</t>
  </si>
  <si>
    <t>Total revenues received from national public funding up to 2022</t>
  </si>
  <si>
    <t>Revenues received from national public funding in 2023</t>
  </si>
  <si>
    <t>Revenues received from national public funding in 2024</t>
  </si>
  <si>
    <t>Revenues received from national public funding in 2025</t>
  </si>
  <si>
    <t>Revenues received from national public funding in 2026</t>
  </si>
  <si>
    <t>Revenues received from national public funding in 2027</t>
  </si>
  <si>
    <t>Total revenues received from national public funding (Art. 25(3)(a))*</t>
  </si>
  <si>
    <t>Revenues from commercial activities up to 2017</t>
  </si>
  <si>
    <t>Revenues from commercial activities in 2018</t>
  </si>
  <si>
    <t>Revenues from commercial activities in 2019</t>
  </si>
  <si>
    <t>Total revenues from commercial activities up to 2019</t>
  </si>
  <si>
    <t>Revenues from commercial activities in 2020</t>
  </si>
  <si>
    <t>Revenues from commercial activities in 2021</t>
  </si>
  <si>
    <t>Revenues from commercial activities in 2022</t>
  </si>
  <si>
    <t>Total revenues from commercial activities up to 2022</t>
  </si>
  <si>
    <t>Revenues from commercial activities in 2023</t>
  </si>
  <si>
    <t>Revenues from commercial activities in 2024</t>
  </si>
  <si>
    <t>Revenues from commercial activities in 2025</t>
  </si>
  <si>
    <t>Revenues from commercial activities in 2026</t>
  </si>
  <si>
    <t>Revenues from commercial activities in 2027</t>
  </si>
  <si>
    <t>Total revenues from commercial activities (Art. 25(3)(b))*</t>
  </si>
  <si>
    <t>Revenues from contracts with airport operators up to 2017</t>
  </si>
  <si>
    <t>Revenues from contracts with airport operators in 2018</t>
  </si>
  <si>
    <t>Revenues from contracts with airport operators in 2019</t>
  </si>
  <si>
    <t>Total revenues from contracts with airport operators up to 2019</t>
  </si>
  <si>
    <t>Revenues from contracts with airport operators in 2020</t>
  </si>
  <si>
    <t>Revenues from contracts with airport operators in 2021</t>
  </si>
  <si>
    <t>Revenues from contracts with airport operators in 2022</t>
  </si>
  <si>
    <t>Total revenues from contracts with airport operators up to 2022</t>
  </si>
  <si>
    <t>Revenues from contracts with airport operators in 2023</t>
  </si>
  <si>
    <t>Revenues from contracts with airport operators in 2024</t>
  </si>
  <si>
    <t>Revenues from contracts with airport operators in 2025</t>
  </si>
  <si>
    <t>Revenues from contracts with airport operators in 2026</t>
  </si>
  <si>
    <t>Revenues from contracts with airport operators in 2027</t>
  </si>
  <si>
    <t>Total revenues from contracts with airport operators (Art. 25(3)(c))*</t>
  </si>
  <si>
    <t>Revenue difference - revision of UR 2020</t>
  </si>
  <si>
    <t>Revenue difference - revision of UR 2021</t>
  </si>
  <si>
    <t>Revenue difference - revision of UR 2022</t>
  </si>
  <si>
    <t>Total revenues differences up to 2022</t>
  </si>
  <si>
    <t>Revenue difference - revision of UR 2023</t>
  </si>
  <si>
    <t>Revenue difference - revision of UR 2024</t>
  </si>
  <si>
    <t>Revenue difference - revision of UR 2025</t>
  </si>
  <si>
    <t>Revenue difference - revision of UR 2026</t>
  </si>
  <si>
    <t>Revenue difference - revision of UR 2027</t>
  </si>
  <si>
    <t>Total revenue differences from temporary application of UR (Art. 29(5))</t>
  </si>
  <si>
    <t>Cross-financing to (-) / from (+) other charging zone(s) relating to 2020</t>
  </si>
  <si>
    <t>Cross-financing to (-) / from (+) other charging zone(s) relating to 2021</t>
  </si>
  <si>
    <t>Cross-financing to (-) / from (+) other charging zone(s) relating to 2022</t>
  </si>
  <si>
    <t>Total cross financing up to 2022</t>
  </si>
  <si>
    <t>Cross-financing to (-) / from (+) other charging zone(s) relating to 2023</t>
  </si>
  <si>
    <t>Cross-financing to (-) / from (+) other charging zone(s) relating to 2024</t>
  </si>
  <si>
    <t>Cross-financing to (-) / from (+) other charging zone(s) relating to 2025</t>
  </si>
  <si>
    <t>Cross-financing to (-) / from (+) other charging zone(s) relating to 2026</t>
  </si>
  <si>
    <t>Cross-financing to (-) / from (+) other charging zone(s) relating to 2027</t>
  </si>
  <si>
    <t>Total cross-financing to (-) / from (+) other charging zone(s)</t>
  </si>
  <si>
    <t>Total adjustments</t>
  </si>
  <si>
    <t>RP2 cost reporting, RT2 ANSP, K13</t>
  </si>
  <si>
    <t>RP2 cost reporting, RT2 ANSP, L13</t>
  </si>
  <si>
    <t>RP2 cost reporting, RT2 ANSP, SUM I31 and J31</t>
  </si>
  <si>
    <t>RP2 cost reporting, RT2 ANSP, K31</t>
  </si>
  <si>
    <t>RP2 cost reporting, RT2 ANSP, L31</t>
  </si>
  <si>
    <t>TRS not applied to 2022 rate - to be recovered over NR23</t>
  </si>
  <si>
    <t>See row 258 for TRS assumed in NR23 plan</t>
  </si>
  <si>
    <t>Mechanics of spreadspread not used as TRS relating to CY22</t>
  </si>
  <si>
    <t>cannot be determined at this point.</t>
  </si>
  <si>
    <t>RP2 RTs, T3 A, SUM of items 3.7 and 3.10 + outstanding amount of 5.0 MGBP relating to costs exempt 2014</t>
  </si>
  <si>
    <t>RP2 RTs, T3 A, SUM of items 3.7 and 3.10</t>
  </si>
  <si>
    <t>RP2 cost reporting, T3, sum C136-138</t>
  </si>
  <si>
    <t>RP2 cost reporting, T3, C139</t>
  </si>
  <si>
    <t>RP2 cost reporting, T3, C140</t>
  </si>
  <si>
    <t>No financial incentives being claimed in 2020</t>
  </si>
  <si>
    <t>RP2 cost reporting, RT2 ANSP, K34</t>
  </si>
  <si>
    <t>RP2 cost reporting, RT2 ANSP, L34</t>
  </si>
  <si>
    <t>2020 unit rate adjustment returned in 2022</t>
  </si>
  <si>
    <t>Amounts  in '000  (national currency)</t>
  </si>
  <si>
    <t>* Including carry-overs relating to the previous reference period(s)</t>
  </si>
  <si>
    <t>Adjustments relating to the UK RAB rules</t>
  </si>
  <si>
    <t>RP3 traffic risk share</t>
  </si>
  <si>
    <t>Modulation (used for smoothing)</t>
  </si>
  <si>
    <t>RP2 cost reporting tables, RT2 MET K13</t>
  </si>
  <si>
    <t>RP2 cost reporting tables, RT2 MET L13</t>
  </si>
  <si>
    <t>RP2 cost reporting, RT2 MET, K50</t>
  </si>
  <si>
    <t>RP2 cost reporting, RT2 MET, L50</t>
  </si>
  <si>
    <t>The adjustments below have been taken from the RP2 2019 cost reporting exercise.</t>
  </si>
  <si>
    <t>Total adjustments relating to competent authorities and QEs costs (Art. 28(5))</t>
  </si>
  <si>
    <t>Total adjustments relating to Eurocontrol costs (Art. 28(5))</t>
  </si>
  <si>
    <t>Cost exempt from cost sharing 2019</t>
  </si>
  <si>
    <t xml:space="preserve"> Total revenues received from national public funding up to 2019</t>
  </si>
  <si>
    <t>RP2 cost reporting, RT2 NSA,K13</t>
  </si>
  <si>
    <t>RP2 cost reporting, RT2 NSA, L13</t>
  </si>
  <si>
    <t>RP2 cost reporting, RT1 NSA, SUM S50 to U50</t>
  </si>
  <si>
    <t>RP2 cost reporting, RT1 NSA, V50</t>
  </si>
  <si>
    <t>RP2 cost reporting, RT1 NSA, W50</t>
  </si>
  <si>
    <t>RP2 cost reporting, RT2 NSA, K50</t>
  </si>
  <si>
    <t>RP2 cost reporting, RT2 NSA, L50</t>
  </si>
  <si>
    <t>Table 4 - Complementary information on common projects and on revenues from Union assistance programmes allocated to the charging zone</t>
  </si>
  <si>
    <t>Amounts received</t>
  </si>
  <si>
    <t>Project reference
 (as per Grant Agreement)</t>
  </si>
  <si>
    <t>Project title</t>
  </si>
  <si>
    <t>Value of funded project 
in '000 Euro</t>
  </si>
  <si>
    <t>Amounts granted (as per GA)       in '000 Euro</t>
  </si>
  <si>
    <t>Common project y/n</t>
  </si>
  <si>
    <t>Actual amounts received (charging zone) in '000 Euro</t>
  </si>
  <si>
    <t>For the   charging zone</t>
  </si>
  <si>
    <t>Project y/n</t>
  </si>
  <si>
    <t>SESAR Deployment Manager-  Brussels coordination and support costs (included in determined costs)</t>
  </si>
  <si>
    <t>Coordination costs</t>
  </si>
  <si>
    <t>Costs included in determined costs</t>
  </si>
  <si>
    <t>n</t>
  </si>
  <si>
    <t>Coordination income</t>
  </si>
  <si>
    <t>Revenues included in determined costs</t>
  </si>
  <si>
    <t>Sub-total:</t>
  </si>
  <si>
    <t>INEA Implementation Projects</t>
  </si>
  <si>
    <t>Note: amounts stated 2020 - 2024 are estimates based on assumed progress of INEA financing</t>
  </si>
  <si>
    <t>INEA/CEF/TRAN/M2014/1037259 2014-EU-TM-0136-M</t>
  </si>
  <si>
    <t>DP Implementation - Call 2014 CEF</t>
  </si>
  <si>
    <t>y</t>
  </si>
  <si>
    <t>INEA/CEF/TRAN/M2015/1131871 2015-EU-TM-0193-M</t>
  </si>
  <si>
    <t>SESAR Deployment Programme implementation 2015 - Cluster 1</t>
  </si>
  <si>
    <t>INEA/CEF/TRAN/M2015/1132363 2015-EU-TM-0196-M</t>
  </si>
  <si>
    <t>SESAR Deployment Programme implementation 2015 - Cluster 2</t>
  </si>
  <si>
    <t>INEA/CEF/TRAN/M2015/1125694 2015-UK-TM-0010-W</t>
  </si>
  <si>
    <t>New NATS (En Route) pic (NERL) Operational Facilities Phase 1</t>
  </si>
  <si>
    <t>INEA/CEF/TRAN/M2015/1129117 2015-UK-TM-0012-W</t>
  </si>
  <si>
    <t>Enablers to Support SESAR Deployment</t>
  </si>
  <si>
    <t>INEA/CEF/TRAN/M2015/1126563 2015-UK-TM-0013-W</t>
  </si>
  <si>
    <t>CNS Rationalisation and Upgrade within the UK</t>
  </si>
  <si>
    <t>INEA/CEF/TRAN/M2015/1126607 2015-UK-TM-0047-S</t>
  </si>
  <si>
    <t>Design of New NATS Systems to support SESAR Implementation</t>
  </si>
  <si>
    <t>SESAR 2020 Wave 1</t>
  </si>
  <si>
    <t>Note: this refers to SESAR 2020 Wave 1 activity taking place in RP3, amounts stated are estimates based on assumed progress of H2020 financing.</t>
  </si>
  <si>
    <t>PJ02</t>
  </si>
  <si>
    <t>PJ17</t>
  </si>
  <si>
    <t>PJ18</t>
  </si>
  <si>
    <t>PJ31</t>
  </si>
  <si>
    <t>SESAR 2020 Wave 2 income</t>
  </si>
  <si>
    <t>Note: Amounts stated 2020 are pre-financing estimates relating to activity non-RP2 activity. Amounts stated 2021 - 2023 are estimates based on assumed progress of H2020 financing.</t>
  </si>
  <si>
    <t>PJ01-W2 EAD</t>
  </si>
  <si>
    <t xml:space="preserve">Dynamic E-TMA for Adv Continuous Climb and Descent Operations and improved Arr &amp; Dep Operations </t>
  </si>
  <si>
    <t>PJ02-W2 AART</t>
  </si>
  <si>
    <t>Evolution of separation minima for increased runway throughput</t>
  </si>
  <si>
    <t>PJ09-W2 DMNS</t>
  </si>
  <si>
    <t>PJ.09 W2 -  Digital Network Management Services</t>
  </si>
  <si>
    <t>PJ10-W2</t>
  </si>
  <si>
    <t>PJ.10 W2 – Separation Management &amp; Controller Tools</t>
  </si>
  <si>
    <t>PJ13-W2 ERICA</t>
  </si>
  <si>
    <t>Collision avoidance for IFR RPAS</t>
  </si>
  <si>
    <t>PJ14-W2 - I-CNSS</t>
  </si>
  <si>
    <t>PJ.14 W2 -  Integrated CNSS</t>
  </si>
  <si>
    <t>PJ18-W2 4D skyways</t>
  </si>
  <si>
    <t>PJ.18 W2 - 4D Skyways</t>
  </si>
  <si>
    <t>PJ19-W2 CI</t>
  </si>
  <si>
    <t>PJ.19 W2 - Content Integration</t>
  </si>
  <si>
    <t>PJ20-W2 AMPLE</t>
  </si>
  <si>
    <t>PJ.20 W2 - Master Plan Maintenance</t>
  </si>
  <si>
    <t>VLD3</t>
  </si>
  <si>
    <t xml:space="preserve">Improving Runway Throughput In One Airport </t>
  </si>
  <si>
    <t>SESAR 2020 Wave 3</t>
  </si>
  <si>
    <t>Note: Amounts stated 2021 are pre-financing for which retention is dependent on achievement of deliverables. Amounts stated 2022 - 2023 are estimates based on assemed progress of H2020 financing.</t>
  </si>
  <si>
    <t>PJ33-W3 FALCO</t>
  </si>
  <si>
    <t>Flexible ATCO Endorsement and LDACS Complement</t>
  </si>
  <si>
    <t>PJ34-W3 AURA</t>
  </si>
  <si>
    <t>PJ34-W3 AURA “ATM U-SPACE INTERFACE”</t>
  </si>
  <si>
    <t>PJ37-W3 ITARO</t>
  </si>
  <si>
    <t>INTEGRATED TMA, AIRPORT AND RUNWAY OPERATIONS</t>
  </si>
  <si>
    <t>PJ38-W3-ADSCENSIO</t>
  </si>
  <si>
    <t>ADS-C ENables and Supports Improved ATM Operations</t>
  </si>
  <si>
    <t>SESAR 2020 Open Call VLD2</t>
  </si>
  <si>
    <t>CORUS-XUAM</t>
  </si>
  <si>
    <t>CONCEPT OF OPERATIONS FOR EUROPEAN U-SPACE SERVICES - EXTENSION FOR URBAN AIR MOBILITY</t>
  </si>
  <si>
    <t>Total in '000 Euro</t>
  </si>
  <si>
    <t>Total in '000 national currency</t>
  </si>
  <si>
    <t>Assumption for conversion to national currency:</t>
  </si>
  <si>
    <t>Amounts reimbursed to airspace users through other revenues</t>
  </si>
  <si>
    <t>Amounts retained in respect of aministrative costs for the charging zone in '000 Euro</t>
  </si>
  <si>
    <t>Total to be reimbursed for the charging zone in '000 Euro</t>
  </si>
  <si>
    <t>Amounts reimbursed to users (charging zone) in '000 national currency</t>
  </si>
  <si>
    <t>SDM costs reimbursement outstanding less prior period</t>
  </si>
  <si>
    <t>Note: SDM costs are those relating to the NERL support to the SDM Brussels office. The outstanding amounts will reduce over time as the grant funding is received.</t>
  </si>
  <si>
    <t>Other : Interest; TSU/CSU adjustment</t>
  </si>
  <si>
    <t>Note: INEA funding deferred in 2021 will be returned in 2022.</t>
  </si>
  <si>
    <t>SESAR 2020 Wave 2</t>
  </si>
  <si>
    <t>Note: Amounts received in reaspect of work performed to end of 2019 have been included in NERL's determined costs for RP2. For new work commencing in 2020, amounts will be repaid through other revenues, commencing in the 2022 unit rates.</t>
  </si>
  <si>
    <t>SESAR 2020 VLD2 Open Call</t>
  </si>
  <si>
    <t>SESAR 2020 Other</t>
  </si>
  <si>
    <t>Other: membership fee; audit costs</t>
  </si>
  <si>
    <t>Note: amounts stated from 2022 are estimates</t>
  </si>
  <si>
    <t>NOTES</t>
  </si>
  <si>
    <t>SESAR Deployment manager costs assume continuation post BREXIT and that costs incurred will be reimbursed. These are included as per NERL's RBP.</t>
  </si>
  <si>
    <t xml:space="preserve">SESAR Wave 2 </t>
  </si>
  <si>
    <t>NERL's RBP assumed an estimate for costs related to NERL's participation in the Horizon Wave 2 programme. (the second tranche of funding)</t>
  </si>
  <si>
    <t>The estimate provided above relates to the R&amp;D activities for Horizon 2020 included in NERL's RBP. No receipts were assumed in the RBP, but actuals would be reimbursed when received on an N+2 basis.</t>
  </si>
  <si>
    <t>Income is subject to NATS being able to claim European grant funding or UK government grant funding post Brexit</t>
  </si>
  <si>
    <t>The income profile is based on acceptance of NERL costs by the European Commission as per the annual reporting requirement of the H2020 programme</t>
  </si>
  <si>
    <t>Income reimbursement is profiled on an N+2 basis</t>
  </si>
  <si>
    <t>INEA Implementation projects</t>
  </si>
  <si>
    <t xml:space="preserve">Return of INEA funding to air space users via the unit rate is subject to receipt of funds post BREXIT and after administrative costs have been reimbursed and in line with principles agreed with CAA </t>
  </si>
  <si>
    <t>INEA funding relates to capital programmes. These costs (other than some minor support costs) are not included in determined cost.</t>
  </si>
  <si>
    <t>Return of INEA funding is subject to SESAR Deployment Manager retentions for project related support costs</t>
  </si>
  <si>
    <t>Grants received may not match the grant awarded as some projects may underspend the budgeted amounts.</t>
  </si>
  <si>
    <t>RP3 Cost-efficiency targets</t>
  </si>
  <si>
    <t>a) Baseline value for the determined costs and the determined unit costs (in real terms and in national currency)</t>
  </si>
  <si>
    <t>2019 baseline value for the determined costs (in real terms and in national currency)</t>
  </si>
  <si>
    <t>2019 latest available service units forecast (actual route flown, see point 1.2 of Annex VIII)</t>
  </si>
  <si>
    <t>2019 baseline value for the determined unit costs (in real terms and in national currency)</t>
  </si>
  <si>
    <t>b) Cost-efficiency performance targets</t>
  </si>
  <si>
    <t>En route charging zone</t>
  </si>
  <si>
    <t>Baseline 2014</t>
  </si>
  <si>
    <t>Baseline 2019</t>
  </si>
  <si>
    <t>RP3 Performance Plan (determined 2020-2024)</t>
  </si>
  <si>
    <t>CAGR</t>
  </si>
  <si>
    <t>2014B</t>
  </si>
  <si>
    <t>2019 B</t>
  </si>
  <si>
    <t>2020 D</t>
  </si>
  <si>
    <t>2021 D</t>
  </si>
  <si>
    <t>2022 D</t>
  </si>
  <si>
    <t>2023 D</t>
  </si>
  <si>
    <t>2024 D</t>
  </si>
  <si>
    <t>2014A-2024D</t>
  </si>
  <si>
    <t>2019B-2024D</t>
  </si>
  <si>
    <r>
      <t xml:space="preserve">Total </t>
    </r>
    <r>
      <rPr>
        <sz val="10"/>
        <color indexed="8"/>
        <rFont val="Calibri"/>
        <family val="2"/>
      </rPr>
      <t>en route</t>
    </r>
    <r>
      <rPr>
        <sz val="10"/>
        <rFont val="Calibri"/>
        <family val="2"/>
      </rPr>
      <t xml:space="preserve"> costs in nominal terms (in national currency)</t>
    </r>
  </si>
  <si>
    <r>
      <t xml:space="preserve">Total </t>
    </r>
    <r>
      <rPr>
        <b/>
        <sz val="10"/>
        <color indexed="8"/>
        <rFont val="Calibri"/>
        <family val="2"/>
      </rPr>
      <t>en route</t>
    </r>
    <r>
      <rPr>
        <b/>
        <sz val="10"/>
        <rFont val="Calibri"/>
        <family val="2"/>
      </rPr>
      <t xml:space="preserve"> costs in real terms (in national currency at 2017 prices)</t>
    </r>
  </si>
  <si>
    <t>YoY variation</t>
  </si>
  <si>
    <r>
      <t xml:space="preserve">Total </t>
    </r>
    <r>
      <rPr>
        <sz val="10"/>
        <color indexed="8"/>
        <rFont val="Calibri"/>
        <family val="2"/>
      </rPr>
      <t>en route</t>
    </r>
    <r>
      <rPr>
        <sz val="10"/>
        <rFont val="Calibri"/>
        <family val="2"/>
      </rPr>
      <t xml:space="preserve"> Service Units (TSU)</t>
    </r>
  </si>
  <si>
    <t>Real en route unit costs (in national currency at 2017 prices)</t>
  </si>
  <si>
    <r>
      <t xml:space="preserve">Real en route unit costs (in EUR2017) </t>
    </r>
    <r>
      <rPr>
        <b/>
        <vertAlign val="superscript"/>
        <sz val="10"/>
        <rFont val="Calibri"/>
        <family val="2"/>
      </rPr>
      <t>1</t>
    </r>
  </si>
  <si>
    <t>National currency</t>
  </si>
  <si>
    <t>GBP</t>
  </si>
  <si>
    <r>
      <rPr>
        <vertAlign val="superscript"/>
        <sz val="10"/>
        <rFont val="Calibri"/>
        <family val="2"/>
        <scheme val="minor"/>
      </rPr>
      <t>1</t>
    </r>
    <r>
      <rPr>
        <sz val="10"/>
        <rFont val="Calibri"/>
        <family val="2"/>
        <scheme val="minor"/>
      </rPr>
      <t xml:space="preserve"> Average exchange rate 2017 (1 EUR=)</t>
    </r>
  </si>
  <si>
    <t>index</t>
  </si>
  <si>
    <t>nominal</t>
  </si>
  <si>
    <t>Calc</t>
  </si>
  <si>
    <t>real 2020 CPI</t>
  </si>
  <si>
    <t>CAA</t>
  </si>
  <si>
    <t>Source</t>
  </si>
  <si>
    <t>unit</t>
  </si>
  <si>
    <t>CPI forecast (NERL)</t>
  </si>
  <si>
    <t>CPI forecast (CAA)</t>
  </si>
  <si>
    <t>NATS business plan</t>
  </si>
  <si>
    <t>PCM 09v O_Dashboard Row 113</t>
  </si>
  <si>
    <t>Mechanics of spreadspread not used</t>
  </si>
  <si>
    <t>See row 166</t>
  </si>
  <si>
    <t>for Total trafiic adjustment</t>
  </si>
  <si>
    <t>See row 256 for costs exempt from cost sharing assumed in NR23 plan</t>
  </si>
  <si>
    <t>See row 166 for Total traffic adjustment</t>
  </si>
  <si>
    <t>check</t>
  </si>
  <si>
    <t>10.1 - T2 ANSP</t>
  </si>
  <si>
    <t>CAA PCM</t>
  </si>
  <si>
    <t xml:space="preserve">4.2       % deviation </t>
  </si>
  <si>
    <t xml:space="preserve">4.4       % loss of revenue borne by airspace users </t>
  </si>
  <si>
    <t xml:space="preserve">4.5       % deviation </t>
  </si>
  <si>
    <t xml:space="preserve">4.3       % additional revenue returned to users </t>
  </si>
  <si>
    <t xml:space="preserve">5.1      For determined costs not subject to traffic risk-sharing </t>
  </si>
  <si>
    <t xml:space="preserve">5.2      Adjustments to year n unit rate not subject to traffic risk-sharing </t>
  </si>
  <si>
    <t xml:space="preserve">5.3      Traffic adjustements relating to year n </t>
  </si>
  <si>
    <t xml:space="preserve">6.1      Financial incentives relating to capacity </t>
  </si>
  <si>
    <t xml:space="preserve">6.2      Financial incentives relating to environment </t>
  </si>
  <si>
    <t xml:space="preserve">10.1     Union assistance programmes </t>
  </si>
  <si>
    <t xml:space="preserve">10.3     Commercial activities </t>
  </si>
  <si>
    <t xml:space="preserve">10.4     Revenues from contracts with airport operators </t>
  </si>
  <si>
    <t xml:space="preserve">10.5     Total other revenues relating to year n </t>
  </si>
  <si>
    <t xml:space="preserve">11.1     Loss of revenue relating to the application of a lower unit rate in n </t>
  </si>
  <si>
    <t xml:space="preserve">13.1     Determined costs in nominal terms - VFR excl. </t>
  </si>
  <si>
    <t xml:space="preserve">13.3     Traffic risk sharing adjustment : amounts carried over to year n </t>
  </si>
  <si>
    <t xml:space="preserve">13.5     Financial incentives : amounts carried over to year n </t>
  </si>
  <si>
    <r>
      <t>13.6     Modulation of charges : amounts carried over to year n</t>
    </r>
    <r>
      <rPr>
        <i/>
        <sz val="8"/>
        <rFont val="Calibri"/>
        <family val="2"/>
      </rPr>
      <t xml:space="preserve"> </t>
    </r>
  </si>
  <si>
    <t xml:space="preserve">13.7     Traffic adjustments : amounts carried over to year n </t>
  </si>
  <si>
    <t>13.8     Other revenues</t>
  </si>
  <si>
    <t xml:space="preserve">13.9     Cross-financing between charging zones </t>
  </si>
  <si>
    <t xml:space="preserve">13.13  Unit rate for year n  (in national currency) </t>
  </si>
  <si>
    <t>13.14  Reduction, where applicable (in national currency)</t>
  </si>
  <si>
    <t xml:space="preserve">Differences between determined and actual costs </t>
  </si>
  <si>
    <t>4.9       Traffic risk sharing adjustment relating to year n</t>
  </si>
  <si>
    <t xml:space="preserve">6.3      Additional financial incentives relating to capacity </t>
  </si>
  <si>
    <t>6.4      Financial incentives relating to year n</t>
  </si>
  <si>
    <t xml:space="preserve">7.1      Adjustment to ensure revenue neutrality for modulation of charges in year n </t>
  </si>
  <si>
    <t xml:space="preserve">8.2       Difference in revenue due to the temporary application of unit rate in year n </t>
  </si>
  <si>
    <r>
      <t>10.2     National public funding</t>
    </r>
    <r>
      <rPr>
        <i/>
        <sz val="8"/>
        <rFont val="Calibri"/>
        <family val="2"/>
      </rPr>
      <t xml:space="preserve"> </t>
    </r>
  </si>
  <si>
    <t>13.2     Inflation adjustment : amount carried over to year n</t>
  </si>
  <si>
    <t>13.4     Differences in costs  : amounts carried over to year n</t>
  </si>
  <si>
    <t>13.10   Difference in revenue from temporary application of unit rate</t>
  </si>
  <si>
    <t>Total inflation Adjustment *</t>
  </si>
  <si>
    <t>Total traffic risk sharing adjustment *</t>
  </si>
  <si>
    <t xml:space="preserve">Total adjustment relating to investment costs </t>
  </si>
  <si>
    <t xml:space="preserve">Total adjustment relating to competent authorities and QEs costs </t>
  </si>
  <si>
    <t xml:space="preserve">Total adjustment relating to Eurocontrol costs </t>
  </si>
  <si>
    <t xml:space="preserve">Total adjustment relating to pension costs </t>
  </si>
  <si>
    <t xml:space="preserve">Total adjustment relating to interest on loans </t>
  </si>
  <si>
    <t xml:space="preserve">Total adjustment relating to change in law </t>
  </si>
  <si>
    <t>Total financial incentives *</t>
  </si>
  <si>
    <t>Total adjustment relating to modulation of charges *</t>
  </si>
  <si>
    <t>Total traffic adjustment *</t>
  </si>
  <si>
    <t>Total revenues received from Union assistance programmes *</t>
  </si>
  <si>
    <t xml:space="preserve">Total revenues received from national public funding </t>
  </si>
  <si>
    <t xml:space="preserve">Total revenues from commercial activities </t>
  </si>
  <si>
    <t>Total revenues from contracts with airport operators</t>
  </si>
  <si>
    <t xml:space="preserve">Total revenue differences from temporary application of UR </t>
  </si>
  <si>
    <t>Total adjustment relating to change in law up to 2022</t>
  </si>
  <si>
    <t>Formula changed to consider RP3 (not RP2). 2022 formula updated to link to G15 (RP3) not G11 (RP2)</t>
  </si>
  <si>
    <t>Sources:</t>
  </si>
  <si>
    <t>Values were already populated in Jun-23 submission. They have been left as they were.</t>
  </si>
  <si>
    <t>O_Dashboard row 1208</t>
  </si>
  <si>
    <t>O_Dashboard row 1209</t>
  </si>
  <si>
    <t>O_Dashboard row 1210</t>
  </si>
  <si>
    <t>O_Dashboard row 1211</t>
  </si>
  <si>
    <t>O_Dashboard row 1212</t>
  </si>
  <si>
    <t>O_Dashboard row 1213</t>
  </si>
  <si>
    <t>Calculation</t>
  </si>
  <si>
    <t>CAA checks</t>
  </si>
  <si>
    <t>Determined costs as per reporting tables</t>
  </si>
  <si>
    <t>Determined costs as per PCM (row 47 of C_Determined Costs_UKATS)</t>
  </si>
  <si>
    <t>O_Dashboard row 1216</t>
  </si>
  <si>
    <t>O_Dashboard row 1218</t>
  </si>
  <si>
    <t>O_Dashboard row 1217</t>
  </si>
  <si>
    <t>O_Dashboard row 1174 (UKATS RAB)</t>
  </si>
  <si>
    <t>3.5  Cost of capital (vanilla)</t>
  </si>
  <si>
    <t>I_Series UKATS'!AJ490</t>
  </si>
  <si>
    <t>FD document</t>
  </si>
  <si>
    <t>Matt to provide</t>
  </si>
  <si>
    <t>Linked</t>
  </si>
  <si>
    <t>Reg outputs file, T1 ANSP, AW52:BA52</t>
  </si>
  <si>
    <t>5.3  Total costs real terms (CPI 2020) (2)</t>
  </si>
  <si>
    <t>O_Dashboard row 1223</t>
  </si>
  <si>
    <t>Intentionally blank</t>
  </si>
  <si>
    <t>Calculated</t>
  </si>
  <si>
    <t>Link</t>
  </si>
  <si>
    <t>4.2  Total determined/actual costs (nominal)</t>
  </si>
  <si>
    <t>Data not yet available</t>
  </si>
  <si>
    <t>Condition 21 of the licence</t>
  </si>
  <si>
    <t>F96 of T2 ANSP from the initial proposals submission of these CRCO tables</t>
  </si>
  <si>
    <t>Left blank because it's not clear how this is to be calculated but in any case it's not used in any subsequent calculations</t>
  </si>
  <si>
    <t>row 1226 of O_Dashboard</t>
  </si>
  <si>
    <t>Values for 2023 and 2024 not sourced from row 2.5 (D19:E19), as estimates have been updated for NR23. Source: row 1226 of O_Dashboard in the PCM</t>
  </si>
  <si>
    <t>Row 1227 of O_Dashboard in PCM</t>
  </si>
  <si>
    <t>Row 1226 of O_Dashboard in PCM</t>
  </si>
  <si>
    <t>Row 1228 of O_Dashboard in PCM</t>
  </si>
  <si>
    <t>Row 1228 of O_Dashboard in PCM. Colum D is the sum of periods from 2023 until the end of the PCM, ie 2050</t>
  </si>
  <si>
    <t>Row 1229 of O_Dashboard in PCM</t>
  </si>
  <si>
    <t>Row 1230 of O_Dashboard in PCM</t>
  </si>
  <si>
    <t>Row 1231 of O_Dashboard in PCM</t>
  </si>
  <si>
    <t>Row 1232 of O_Dashboard in PCM</t>
  </si>
  <si>
    <t>O_Dashboard row 1222, values for RP3 taken from initial proposals version of these tables</t>
  </si>
  <si>
    <t>Note: the UK CAA has rebased the real figures in these tables to be in 2020 prices. In the previous submission they were in 2017 prices. Because of the rounding of inflation figures in these templates the calculations now produce slightly different figures for 2020 and 2021. IThe figures for 2022 are substantially different because of the outturn inflation number which was not available at the time of the previous submission and which is now reflected in these calculations</t>
  </si>
  <si>
    <t>2022 DC</t>
  </si>
  <si>
    <t>2022 AC</t>
  </si>
  <si>
    <t>2022 actual exchange rate</t>
  </si>
  <si>
    <t>ECTL Agency accounts Dec 22, table 1</t>
  </si>
  <si>
    <t>N65 value has been hardcoded. The value comes from AI103 in C_Index in the PCM multiplied by 100. It represents the CPI index value in a series which has 2020=100, 2021 and 2022 are outturns and 2023 uses a forecast of 6.14%.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</si>
</sst>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6">
    <numFmt numFmtId="41" formatCode="_-* #,##0_-;\-* #,##0_-;_-* &quot;-&quot;_-;_-@_-"/>
    <numFmt numFmtId="44" formatCode="_-&quot;£&quot;* #,##0.00_-;\-&quot;£&quot;* #,##0.00_-;_-&quot;£&quot;* &quot;-&quot;??_-;_-@_-"/>
    <numFmt numFmtId="43" formatCode="_-* #,##0.00_-;\-* #,##0.00_-;_-* &quot;-&quot;??_-;_-@_-"/>
    <numFmt numFmtId="164" formatCode="_-* #,##0\ _€_-;\-* #,##0\ _€_-;_-* &quot;-&quot;\ _€_-;_-@_-"/>
    <numFmt numFmtId="165" formatCode="_-* #,##0.00\ _€_-;\-* #,##0.00\ _€_-;_-* &quot;-&quot;??\ _€_-;_-@_-"/>
    <numFmt numFmtId="166" formatCode="_-* #,##0.00\ _F_-;\-* #,##0.00\ _F_-;_-* &quot;-&quot;??\ _F_-;_-@_-"/>
    <numFmt numFmtId="167" formatCode="0.0%"/>
    <numFmt numFmtId="168" formatCode="#,##0.0"/>
    <numFmt numFmtId="169" formatCode="0.0"/>
    <numFmt numFmtId="170" formatCode="_-* #,##0_-;\-* #,##0_-;_-* &quot;-&quot;??_-;_-@_-"/>
    <numFmt numFmtId="171" formatCode="_(* #,##0.00_);_(* \(#,##0.00\);_(* &quot;-&quot;??_);_(@_)"/>
    <numFmt numFmtId="172" formatCode="_(&quot;£&quot;* #,##0.00_);_(&quot;£&quot;* \(#,##0.00\);_(&quot;£&quot;* &quot;-&quot;??_);_(@_)"/>
    <numFmt numFmtId="173" formatCode="_ * #,##0_ ;_ * \-#,##0_ ;_ * &quot;-&quot;_ ;_ @_ "/>
    <numFmt numFmtId="174" formatCode="_ * #,##0.00_ ;_ * \-#,##0.00_ ;_ * &quot;-&quot;??_ ;_ @_ "/>
    <numFmt numFmtId="175" formatCode="#,##0.00%;[Red]\(#,##0.00%\);&quot;-&quot;"/>
    <numFmt numFmtId="176" formatCode="#,##0;[Red]\(#,##0\);&quot;-&quot;"/>
    <numFmt numFmtId="177" formatCode="#,##0.00;[Red]\(#,##0.00\);&quot;-&quot;"/>
    <numFmt numFmtId="178" formatCode="_(* #,##0_);_(* \(#,##0\)"/>
    <numFmt numFmtId="179" formatCode="mmm\-yyyy"/>
    <numFmt numFmtId="180" formatCode="dd\ mmm\ yy"/>
    <numFmt numFmtId="181" formatCode="#,##0;\(#,##0\)"/>
    <numFmt numFmtId="182" formatCode="#,##0;\-#,##0;\-"/>
    <numFmt numFmtId="183" formatCode="#,##0_ ;[Red]\(#,##0\);\-\ "/>
    <numFmt numFmtId="184" formatCode="#,##0;\(#,##0\);\-"/>
    <numFmt numFmtId="185" formatCode="&quot;þ&quot;;&quot;ý&quot;;&quot;¨&quot;"/>
    <numFmt numFmtId="186" formatCode="&quot;þ&quot;;;&quot;o&quot;;"/>
    <numFmt numFmtId="187" formatCode="#,##0.00\ ;[Red]\(#,##0.00\)"/>
    <numFmt numFmtId="188" formatCode="#,##0_);\(#,##0\);&quot;- &quot;;&quot;  &quot;@"/>
    <numFmt numFmtId="189" formatCode="_-* #,##0\ _D_M_-;\-* #,##0\ _D_M_-;_-* &quot;-&quot;\ _D_M_-;_-@_-"/>
    <numFmt numFmtId="190" formatCode="_-* #,##0.00\ _D_M_-;\-* #,##0.00\ _D_M_-;_-* &quot;-&quot;??\ _D_M_-;_-@_-"/>
    <numFmt numFmtId="191" formatCode="[Green]&quot;é&quot;;[Red]&quot;ê&quot;;&quot;ù&quot;;"/>
    <numFmt numFmtId="192" formatCode="_-* #,##0.00\ [$€-1]_-;\-* #,##0.00\ [$€-1]_-;_-* &quot;-&quot;??\ [$€-1]_-"/>
    <numFmt numFmtId="193" formatCode="_-[$€-2]\ * #,##0.00_-;\-[$€-2]\ * #,##0.00_-;_-[$€-2]\ * &quot;-&quot;??_-"/>
    <numFmt numFmtId="194" formatCode="_-[$€-2]\ * #,##0.00_-;\-[$€-2]\ * #,##0.00_-;_-[$€-2]\ * &quot;-&quot;??_-;_-@_-"/>
    <numFmt numFmtId="195" formatCode="#,##0;\(#,##0\);0"/>
    <numFmt numFmtId="196" formatCode="_(* #,##0.0_%_);_(* \(#,##0.0_%\);_(* &quot; - &quot;_%_);_(@_)"/>
    <numFmt numFmtId="197" formatCode="_(* #,##0.0%_);_(* \(#,##0.0%\);_(* &quot; - &quot;\%_);_(@_)"/>
    <numFmt numFmtId="198" formatCode="_(* #,##0.0_);_(* \(#,##0.0\);_(* &quot; - &quot;_);_(@_)"/>
    <numFmt numFmtId="199" formatCode="_(* #,##0.00_);_(* \(#,##0.00\);_(* &quot; - &quot;_);_(@_)"/>
    <numFmt numFmtId="200" formatCode="_(* #,##0.000_);_(* \(#,##0.000\);_(* &quot; - &quot;_);_(@_)"/>
    <numFmt numFmtId="201" formatCode="#,##0;\(#,##0\);&quot;-&quot;"/>
    <numFmt numFmtId="202" formatCode="#,##0.0000_);\(#,##0.0000\);&quot;- &quot;;&quot;  &quot;@"/>
    <numFmt numFmtId="203" formatCode="#,##0\ ;[Red]\(#,##0\);\-\ "/>
    <numFmt numFmtId="204" formatCode="&quot;Lookup&quot;\ 0"/>
    <numFmt numFmtId="205" formatCode="###0_);\(###0\);&quot;- &quot;;&quot;  &quot;@"/>
    <numFmt numFmtId="206" formatCode="_-&quot;L.&quot;\ * #,##0_-;\-&quot;L.&quot;\ * #,##0_-;_-&quot;L.&quot;\ * &quot;-&quot;_-;_-@_-"/>
    <numFmt numFmtId="207" formatCode="_-&quot;€&quot;\ * #,##0.00_-;\-&quot;€&quot;\ * #,##0.00_-;_-&quot;€&quot;\ * &quot;-&quot;??_-;_-@_-"/>
    <numFmt numFmtId="208" formatCode="_-* #,##0\ &quot;DM&quot;_-;\-* #,##0\ &quot;DM&quot;_-;_-* &quot;-&quot;\ &quot;DM&quot;_-;_-@_-"/>
    <numFmt numFmtId="209" formatCode="_-* #,##0.00\ &quot;DM&quot;_-;\-* #,##0.00\ &quot;DM&quot;_-;_-* &quot;-&quot;??\ &quot;DM&quot;_-;_-@_-"/>
    <numFmt numFmtId="210" formatCode="_-* #,##0.00\ [$€]_-;\-* #,##0.00\ [$€]_-;_-* &quot;-&quot;??\ [$€]_-;_-@_-"/>
    <numFmt numFmtId="211" formatCode="_([$€-2]* #,##0.00_);_([$€-2]* \(#,##0.00\);_([$€-2]* &quot;-&quot;??_)"/>
    <numFmt numFmtId="212" formatCode="#,##0.000000"/>
    <numFmt numFmtId="213" formatCode="0.000"/>
    <numFmt numFmtId="214" formatCode="#,##0.000"/>
    <numFmt numFmtId="215" formatCode="0.000%"/>
    <numFmt numFmtId="216" formatCode="#,##0.00%_);[Red]\(#,##0.00%\);\-_);@"/>
    <numFmt numFmtId="217" formatCode="#,##0.0_);[Red]\(#,##0.0\);\-"/>
    <numFmt numFmtId="218" formatCode="_(* #,##0.0_);_(* \(#,##0.0\);_(* &quot;-&quot;??_);_(@_)"/>
    <numFmt numFmtId="219" formatCode="_(* #,##0.0000000_);_(* \(#,##0.0000000\);_(* &quot;-&quot;??_);_(@_)"/>
    <numFmt numFmtId="220" formatCode="_-\ #,##0.00_-;\-\ #,##0.00_-;_-\ &quot;-&quot;??_-;_-@_-"/>
    <numFmt numFmtId="221" formatCode="_-\ #,##0.0_-;\-\ #,##0.0_-;_-\ &quot;-&quot;??_-;_-@_-"/>
    <numFmt numFmtId="222" formatCode="_-* #,##0.0_-;\-* #,##0.0_-;_-* &quot;-&quot;??_-;_-@_-"/>
    <numFmt numFmtId="223" formatCode="_-* #,##0\ _€_-;\-* #,##0\ _€_-;_-* &quot;-&quot;??\ _€_-;_-@_-"/>
    <numFmt numFmtId="224" formatCode="_-* #,##0.000_-;\-* #,##0.000_-;_-* &quot;-&quot;??_-;_-@_-"/>
    <numFmt numFmtId="225" formatCode="_-* #,##0.00000_-;\-* #,##0.00000_-;_-* &quot;-&quot;??_-;_-@_-"/>
    <numFmt numFmtId="226" formatCode="0.0000000000000"/>
    <numFmt numFmtId="227" formatCode="#,##0.00000"/>
    <numFmt numFmtId="228" formatCode="0.0000%"/>
    <numFmt numFmtId="229" formatCode="#,##0;\-#,##0;\-\ "/>
    <numFmt numFmtId="230" formatCode="#,##0.00;\-#,##0.00;\-\ "/>
    <numFmt numFmtId="231" formatCode="#,##0.000;\-#,##0.000;\-\ "/>
    <numFmt numFmtId="232" formatCode="_(* #,##0_);_(* \(#,##0\);_(* &quot;-&quot;?_);_(@_)"/>
    <numFmt numFmtId="233" formatCode="#,##0;&quot;(&quot;#,##0&quot;)&quot;;&quot;-&quot;"/>
    <numFmt numFmtId="234" formatCode="#,##0;\-#,##0;&quot;-&quot;"/>
    <numFmt numFmtId="235" formatCode="#,##0.0000_);[Red]\(#,##0.0000\);\-_);@"/>
    <numFmt numFmtId="236" formatCode="#,##0.0\x_);[Red]\(#,##0.0\x\);\-"/>
    <numFmt numFmtId="237" formatCode="#;#;\-"/>
    <numFmt numFmtId="238" formatCode="_-* #,##0.00_-;\(#,##0.00\);_-* &quot;-&quot;??_-;_-@_-"/>
    <numFmt numFmtId="239" formatCode="m/d/yy_%_)"/>
    <numFmt numFmtId="240" formatCode="_-[$€-2]* #,##0.00_-;\-[$€-2]* #,##0.00_-;_-[$€-2]* &quot;-&quot;??_-"/>
    <numFmt numFmtId="241" formatCode="\€#,##0.0_);\(\€#,##0.0\)"/>
    <numFmt numFmtId="242" formatCode="\£#,##0.0_);\(\£#,##0.0\)"/>
    <numFmt numFmtId="243" formatCode="&quot;£&quot;#,##0.0_);\(&quot;£&quot;#,##0.0\)"/>
    <numFmt numFmtId="244" formatCode="0.0%_);\(0.0%\)"/>
    <numFmt numFmtId="245" formatCode="#,##0.0_);\(#,##0.0\)"/>
    <numFmt numFmtId="246" formatCode="#,##0.0;\-#,##0.0;&quot;-&quot;"/>
    <numFmt numFmtId="247" formatCode="[Blue]#,##0\ ;[Red]\(#,##0\)"/>
    <numFmt numFmtId="248" formatCode="#,##0.00%_);[Red]\(#,##0.00\)%;\-_);@"/>
    <numFmt numFmtId="249" formatCode="#,##0_);\(#,##0_)\)"/>
    <numFmt numFmtId="250" formatCode="_(#,##0_);\(#,##0\);_(&quot;0&quot;_);_(@_)"/>
    <numFmt numFmtId="251" formatCode="_(* #,##0.0_);_(* \(#,##0.0\);_(* &quot;-&quot;?_);_(@_)"/>
    <numFmt numFmtId="252" formatCode="_-\ #,##0.000_-;\-\ #,##0.000_-;_-\ &quot;-&quot;??_-;_-@_-"/>
    <numFmt numFmtId="253" formatCode="[Red]&quot;E: &quot;#,##0;[Red]&quot;E: &quot;\-#,##0;[Blue]&quot;OK&quot;"/>
    <numFmt numFmtId="254" formatCode="#,##0.0000"/>
    <numFmt numFmtId="255" formatCode="0.0000"/>
    <numFmt numFmtId="256" formatCode="#,##0.00000000"/>
  </numFmts>
  <fonts count="298">
    <font>
      <sz val="11"/>
      <color theme="1"/>
      <name val="Calibri"/>
      <family val="2"/>
      <scheme val="minor"/>
    </font>
    <font>
      <sz val="11"/>
      <color theme="1"/>
      <name val="Calibri"/>
      <family val="2"/>
      <scheme val="minor"/>
    </font>
    <font>
      <sz val="11"/>
      <color indexed="8"/>
      <name val="Calibri"/>
      <family val="2"/>
    </font>
    <font>
      <b/>
      <sz val="9"/>
      <name val="Calibri"/>
      <family val="2"/>
    </font>
    <font>
      <sz val="9"/>
      <name val="Calibri"/>
      <family val="2"/>
    </font>
    <font>
      <sz val="11"/>
      <name val="Arial"/>
      <family val="2"/>
    </font>
    <font>
      <b/>
      <sz val="8.5"/>
      <name val="Calibri"/>
      <family val="2"/>
    </font>
    <font>
      <sz val="10"/>
      <name val="Arial"/>
      <family val="2"/>
    </font>
    <font>
      <b/>
      <sz val="10"/>
      <name val="Arial"/>
      <family val="2"/>
    </font>
    <font>
      <sz val="8.5"/>
      <name val="Calibri"/>
      <family val="2"/>
    </font>
    <font>
      <i/>
      <sz val="9"/>
      <name val="Calibri"/>
      <family val="2"/>
    </font>
    <font>
      <sz val="11"/>
      <name val="Calibri"/>
      <family val="2"/>
    </font>
    <font>
      <b/>
      <sz val="11"/>
      <name val="Calibri"/>
      <family val="2"/>
    </font>
    <font>
      <u/>
      <sz val="11"/>
      <color indexed="12"/>
      <name val="Calibri"/>
      <family val="2"/>
    </font>
    <font>
      <sz val="11"/>
      <name val="Arial"/>
      <family val="2"/>
      <charset val="238"/>
    </font>
    <font>
      <b/>
      <sz val="10"/>
      <name val="Calibri"/>
      <family val="2"/>
    </font>
    <font>
      <strike/>
      <sz val="9"/>
      <name val="Calibri"/>
      <family val="2"/>
    </font>
    <font>
      <sz val="11"/>
      <color theme="0"/>
      <name val="Calibri"/>
      <family val="2"/>
      <scheme val="minor"/>
    </font>
    <font>
      <b/>
      <sz val="11"/>
      <name val="Arial"/>
      <family val="2"/>
    </font>
    <font>
      <b/>
      <sz val="11"/>
      <color indexed="9"/>
      <name val="Calibri"/>
      <family val="2"/>
    </font>
    <font>
      <sz val="11"/>
      <color indexed="9"/>
      <name val="Calibri"/>
      <family val="2"/>
    </font>
    <font>
      <b/>
      <sz val="11"/>
      <color indexed="8"/>
      <name val="Calibri"/>
      <family val="2"/>
    </font>
    <font>
      <sz val="11"/>
      <color rgb="FF9C6500"/>
      <name val="Calibri"/>
      <family val="2"/>
      <scheme val="minor"/>
    </font>
    <font>
      <sz val="11"/>
      <color theme="1"/>
      <name val="Calibri"/>
      <family val="2"/>
      <charset val="238"/>
      <scheme val="minor"/>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name val="Times New Roman"/>
      <family val="1"/>
    </font>
    <font>
      <sz val="10"/>
      <name val="Book Antiqua"/>
      <family val="1"/>
    </font>
    <font>
      <b/>
      <sz val="9"/>
      <name val="Helv"/>
    </font>
    <font>
      <sz val="10"/>
      <color indexed="12"/>
      <name val="Arial"/>
      <family val="2"/>
    </font>
    <font>
      <sz val="10"/>
      <name val="MS Sans Serif"/>
      <family val="2"/>
    </font>
    <font>
      <sz val="9"/>
      <color indexed="12"/>
      <name val="Arial"/>
      <family val="2"/>
    </font>
    <font>
      <sz val="10"/>
      <name val="Times New Roman"/>
      <family val="1"/>
    </font>
    <font>
      <sz val="10"/>
      <name val="ZapfDingbats"/>
      <family val="2"/>
    </font>
    <font>
      <sz val="10"/>
      <color indexed="9"/>
      <name val="Arial"/>
      <family val="2"/>
    </font>
    <font>
      <sz val="10"/>
      <color indexed="40"/>
      <name val="Arial"/>
      <family val="2"/>
    </font>
    <font>
      <sz val="14"/>
      <name val="Wingdings"/>
      <charset val="2"/>
    </font>
    <font>
      <sz val="22"/>
      <color indexed="12"/>
      <name val="Wingdings"/>
      <charset val="2"/>
    </font>
    <font>
      <sz val="22"/>
      <name val="Wingdings"/>
      <charset val="2"/>
    </font>
    <font>
      <b/>
      <u val="singleAccounting"/>
      <sz val="11"/>
      <name val="Arial"/>
      <family val="2"/>
    </font>
    <font>
      <b/>
      <sz val="8"/>
      <color indexed="10"/>
      <name val="Arial"/>
      <family val="2"/>
    </font>
    <font>
      <b/>
      <sz val="16"/>
      <color indexed="9"/>
      <name val="Arial"/>
      <family val="2"/>
    </font>
    <font>
      <b/>
      <sz val="16"/>
      <name val="Arial"/>
      <family val="2"/>
    </font>
    <font>
      <sz val="10"/>
      <name val="BERNHARD"/>
    </font>
    <font>
      <sz val="10"/>
      <color indexed="50"/>
      <name val="Arial"/>
      <family val="2"/>
    </font>
    <font>
      <sz val="16"/>
      <name val="Wingdings"/>
      <charset val="2"/>
    </font>
    <font>
      <b/>
      <sz val="32"/>
      <name val="Helvetica"/>
      <family val="2"/>
    </font>
    <font>
      <sz val="12"/>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sz val="10"/>
      <name val="Helvetica"/>
      <family val="2"/>
    </font>
    <font>
      <sz val="10"/>
      <color indexed="18"/>
      <name val="Arial"/>
      <family val="2"/>
    </font>
    <font>
      <sz val="10"/>
      <color indexed="23"/>
      <name val="Arial"/>
      <family val="2"/>
    </font>
    <font>
      <b/>
      <sz val="12"/>
      <name val="Arial"/>
      <family val="2"/>
    </font>
    <font>
      <b/>
      <u/>
      <sz val="16"/>
      <color indexed="10"/>
      <name val="Palatino"/>
      <family val="1"/>
    </font>
    <font>
      <b/>
      <sz val="10"/>
      <color indexed="18"/>
      <name val="Arial"/>
      <family val="2"/>
    </font>
    <font>
      <sz val="8"/>
      <color indexed="12"/>
      <name val="Helv"/>
    </font>
    <font>
      <u/>
      <sz val="10"/>
      <color indexed="12"/>
      <name val="MS Sans Serif"/>
      <family val="2"/>
    </font>
    <font>
      <b/>
      <sz val="8"/>
      <color indexed="12"/>
      <name val="Arial"/>
      <family val="2"/>
    </font>
    <font>
      <sz val="10"/>
      <color indexed="12"/>
      <name val="Times New Roman"/>
      <family val="1"/>
    </font>
    <font>
      <sz val="10"/>
      <color indexed="24"/>
      <name val="Arial"/>
      <family val="2"/>
    </font>
    <font>
      <b/>
      <sz val="10"/>
      <color indexed="14"/>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8"/>
      <name val="Helvetica"/>
      <family val="2"/>
    </font>
    <font>
      <sz val="8"/>
      <color indexed="47"/>
      <name val="Arial"/>
      <family val="2"/>
    </font>
    <font>
      <sz val="14"/>
      <name val="Helvetica"/>
      <family val="2"/>
    </font>
    <font>
      <sz val="8"/>
      <color indexed="40"/>
      <name val="Arial"/>
      <family val="2"/>
    </font>
    <font>
      <sz val="8"/>
      <color indexed="10"/>
      <name val="Arial"/>
      <family val="2"/>
    </font>
    <font>
      <sz val="11"/>
      <color indexed="8"/>
      <name val="Arial"/>
      <family val="2"/>
    </font>
    <font>
      <sz val="11"/>
      <color indexed="8"/>
      <name val="Czcionka tekstu podstawowego"/>
      <family val="2"/>
    </font>
    <font>
      <sz val="8"/>
      <name val="Times New Roman"/>
      <family val="1"/>
    </font>
    <font>
      <sz val="10"/>
      <color indexed="54"/>
      <name val="Arial"/>
      <family val="2"/>
    </font>
    <font>
      <sz val="9"/>
      <color indexed="8"/>
      <name val="Arial"/>
      <family val="2"/>
    </font>
    <font>
      <b/>
      <sz val="10"/>
      <color indexed="8"/>
      <name val="Arial"/>
      <family val="2"/>
    </font>
    <font>
      <sz val="10"/>
      <color indexed="8"/>
      <name val="Arial"/>
      <family val="2"/>
    </font>
    <font>
      <sz val="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sz val="8"/>
      <name val="Helvetica"/>
      <family val="2"/>
    </font>
    <font>
      <b/>
      <u/>
      <sz val="10"/>
      <name val="Helv"/>
    </font>
    <font>
      <sz val="8"/>
      <name val="Helv"/>
    </font>
    <font>
      <sz val="10"/>
      <name val="Century Gothic"/>
      <family val="2"/>
    </font>
    <font>
      <sz val="10"/>
      <color indexed="19"/>
      <name val="Arial"/>
      <family val="2"/>
    </font>
    <font>
      <sz val="12"/>
      <name val="Arial MT"/>
    </font>
    <font>
      <b/>
      <sz val="16"/>
      <color indexed="24"/>
      <name val="Univers 45 Light"/>
      <family val="2"/>
    </font>
    <font>
      <b/>
      <sz val="14"/>
      <name val="Arial"/>
      <family val="2"/>
    </font>
    <font>
      <b/>
      <sz val="10"/>
      <name val="Helv"/>
    </font>
    <font>
      <b/>
      <sz val="10"/>
      <color indexed="57"/>
      <name val="Arial"/>
      <family val="2"/>
    </font>
    <font>
      <b/>
      <sz val="24"/>
      <name val="Helvetica"/>
      <family val="2"/>
    </font>
    <font>
      <sz val="10"/>
      <color indexed="64"/>
      <name val="Arial"/>
      <family val="2"/>
      <charset val="204"/>
    </font>
    <font>
      <sz val="11"/>
      <color theme="1"/>
      <name val="Arial"/>
      <family val="2"/>
    </font>
    <font>
      <sz val="11"/>
      <color indexed="8"/>
      <name val="Calibri"/>
      <family val="2"/>
      <charset val="238"/>
    </font>
    <font>
      <sz val="11"/>
      <color indexed="8"/>
      <name val="Calibri"/>
      <family val="2"/>
      <charset val="186"/>
    </font>
    <font>
      <sz val="11"/>
      <color indexed="9"/>
      <name val="Calibri"/>
      <family val="2"/>
      <charset val="238"/>
    </font>
    <font>
      <sz val="11"/>
      <color indexed="9"/>
      <name val="Calibri"/>
      <family val="2"/>
      <charset val="186"/>
    </font>
    <font>
      <b/>
      <sz val="11"/>
      <color indexed="52"/>
      <name val="Calibri"/>
      <family val="2"/>
      <charset val="186"/>
    </font>
    <font>
      <sz val="11"/>
      <color indexed="6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0"/>
      <name val="Times New Roman"/>
      <family val="1"/>
      <charset val="204"/>
    </font>
    <font>
      <b/>
      <sz val="11"/>
      <color indexed="9"/>
      <name val="Calibri"/>
      <family val="2"/>
      <charset val="238"/>
    </font>
    <font>
      <sz val="11"/>
      <color indexed="10"/>
      <name val="Calibri"/>
      <family val="2"/>
      <charset val="238"/>
    </font>
    <font>
      <sz val="11"/>
      <color indexed="20"/>
      <name val="Calibri"/>
      <family val="2"/>
      <charset val="186"/>
    </font>
    <font>
      <sz val="11"/>
      <color indexed="17"/>
      <name val="Calibri"/>
      <family val="2"/>
      <charset val="186"/>
    </font>
    <font>
      <sz val="11"/>
      <color indexed="52"/>
      <name val="Calibri"/>
      <family val="2"/>
      <charset val="238"/>
    </font>
    <font>
      <sz val="11"/>
      <color indexed="10"/>
      <name val="Calibri"/>
      <family val="2"/>
      <charset val="186"/>
    </font>
    <font>
      <sz val="10"/>
      <name val="Arial CE"/>
      <charset val="238"/>
    </font>
    <font>
      <sz val="11"/>
      <color indexed="17"/>
      <name val="Calibri"/>
      <family val="2"/>
      <charset val="238"/>
    </font>
    <font>
      <b/>
      <sz val="11"/>
      <color indexed="63"/>
      <name val="Calibri"/>
      <family val="2"/>
      <charset val="238"/>
    </font>
    <font>
      <b/>
      <sz val="11"/>
      <color indexed="8"/>
      <name val="Calibri"/>
      <family val="2"/>
      <charset val="186"/>
    </font>
    <font>
      <b/>
      <sz val="11"/>
      <color indexed="9"/>
      <name val="Calibri"/>
      <family val="2"/>
      <charset val="186"/>
    </font>
    <font>
      <sz val="11"/>
      <color indexed="52"/>
      <name val="Calibri"/>
      <family val="2"/>
      <charset val="186"/>
    </font>
    <font>
      <i/>
      <sz val="11"/>
      <color indexed="23"/>
      <name val="Calibri"/>
      <family val="2"/>
      <charset val="238"/>
    </font>
    <font>
      <sz val="10"/>
      <name val="Times New Roman"/>
      <family val="1"/>
      <charset val="186"/>
    </font>
    <font>
      <sz val="11"/>
      <color indexed="60"/>
      <name val="Calibri"/>
      <family val="2"/>
      <charset val="186"/>
    </font>
    <font>
      <sz val="10"/>
      <name val="Times New Roman"/>
      <family val="1"/>
      <charset val="238"/>
    </font>
    <font>
      <b/>
      <sz val="11"/>
      <color indexed="8"/>
      <name val="Calibri"/>
      <family val="2"/>
      <charset val="238"/>
    </font>
    <font>
      <b/>
      <sz val="15"/>
      <color indexed="56"/>
      <name val="Calibri"/>
      <family val="2"/>
      <charset val="186"/>
    </font>
    <font>
      <b/>
      <sz val="13"/>
      <color indexed="56"/>
      <name val="Calibri"/>
      <family val="2"/>
      <charset val="186"/>
    </font>
    <font>
      <b/>
      <sz val="11"/>
      <color indexed="56"/>
      <name val="Calibri"/>
      <family val="2"/>
      <charset val="186"/>
    </font>
    <font>
      <b/>
      <sz val="18"/>
      <color indexed="56"/>
      <name val="Cambria"/>
      <family val="2"/>
      <charset val="186"/>
    </font>
    <font>
      <sz val="11"/>
      <color indexed="20"/>
      <name val="Calibri"/>
      <family val="2"/>
      <charset val="238"/>
    </font>
    <font>
      <i/>
      <sz val="11"/>
      <color indexed="23"/>
      <name val="Calibri"/>
      <family val="2"/>
      <charset val="186"/>
    </font>
    <font>
      <sz val="11"/>
      <color indexed="60"/>
      <name val="Calibri"/>
      <family val="2"/>
      <charset val="238"/>
    </font>
    <font>
      <sz val="11"/>
      <color indexed="62"/>
      <name val="Calibri"/>
      <family val="2"/>
      <charset val="186"/>
    </font>
    <font>
      <b/>
      <sz val="11"/>
      <color indexed="52"/>
      <name val="Calibri"/>
      <family val="2"/>
      <charset val="238"/>
    </font>
    <font>
      <b/>
      <sz val="11"/>
      <color indexed="63"/>
      <name val="Calibri"/>
      <family val="2"/>
      <charset val="186"/>
    </font>
    <font>
      <sz val="11"/>
      <color rgb="FF9C0006"/>
      <name val="Calibri"/>
      <family val="2"/>
      <scheme val="minor"/>
    </font>
    <font>
      <b/>
      <sz val="11"/>
      <name val="Calibri"/>
      <family val="2"/>
      <charset val="238"/>
      <scheme val="minor"/>
    </font>
    <font>
      <sz val="9"/>
      <name val="Calibri"/>
      <family val="2"/>
      <charset val="238"/>
      <scheme val="minor"/>
    </font>
    <font>
      <sz val="11"/>
      <name val="Calibri"/>
      <family val="2"/>
      <charset val="238"/>
      <scheme val="minor"/>
    </font>
    <font>
      <sz val="11"/>
      <color rgb="FF006600"/>
      <name val="Calibri"/>
      <family val="2"/>
      <charset val="238"/>
      <scheme val="minor"/>
    </font>
    <font>
      <sz val="11"/>
      <color rgb="FF808080"/>
      <name val="Calibri"/>
      <family val="2"/>
      <charset val="238"/>
      <scheme val="minor"/>
    </font>
    <font>
      <sz val="11"/>
      <color rgb="FFFF0000"/>
      <name val="Calibri"/>
      <family val="2"/>
      <charset val="238"/>
      <scheme val="minor"/>
    </font>
    <font>
      <b/>
      <sz val="9"/>
      <name val="Calibri"/>
      <family val="2"/>
      <charset val="238"/>
      <scheme val="minor"/>
    </font>
    <font>
      <b/>
      <sz val="16"/>
      <name val="Calibri"/>
      <family val="2"/>
      <charset val="238"/>
      <scheme val="minor"/>
    </font>
    <font>
      <b/>
      <sz val="14"/>
      <name val="Calibri"/>
      <family val="2"/>
      <charset val="238"/>
      <scheme val="minor"/>
    </font>
    <font>
      <i/>
      <sz val="11"/>
      <name val="Calibri"/>
      <family val="2"/>
      <charset val="238"/>
      <scheme val="minor"/>
    </font>
    <font>
      <i/>
      <sz val="9"/>
      <name val="Calibri"/>
      <family val="2"/>
      <charset val="238"/>
      <scheme val="minor"/>
    </font>
    <font>
      <sz val="14"/>
      <name val="Calibri"/>
      <family val="2"/>
      <charset val="238"/>
      <scheme val="minor"/>
    </font>
    <font>
      <i/>
      <sz val="11"/>
      <color theme="1"/>
      <name val="Calibri"/>
      <family val="2"/>
      <charset val="238"/>
      <scheme val="minor"/>
    </font>
    <font>
      <i/>
      <sz val="11"/>
      <color rgb="FFFF0000"/>
      <name val="Calibri"/>
      <family val="2"/>
      <charset val="238"/>
      <scheme val="minor"/>
    </font>
    <font>
      <b/>
      <i/>
      <sz val="9"/>
      <name val="Calibri"/>
      <family val="2"/>
    </font>
    <font>
      <i/>
      <strike/>
      <sz val="9"/>
      <name val="Calibri"/>
      <family val="2"/>
    </font>
    <font>
      <sz val="10"/>
      <color theme="1"/>
      <name val="Calibri"/>
      <family val="2"/>
      <scheme val="minor"/>
    </font>
    <font>
      <sz val="11"/>
      <color theme="1"/>
      <name val="Roboto Light"/>
      <family val="2"/>
    </font>
    <font>
      <sz val="8"/>
      <color theme="1"/>
      <name val="Calibri"/>
      <family val="2"/>
      <scheme val="minor"/>
    </font>
    <font>
      <u/>
      <sz val="10"/>
      <color indexed="12"/>
      <name val="Arial"/>
      <family val="2"/>
    </font>
    <font>
      <b/>
      <sz val="10"/>
      <color theme="6" tint="-0.499984740745262"/>
      <name val="Calibri"/>
      <family val="2"/>
      <scheme val="minor"/>
    </font>
    <font>
      <sz val="10"/>
      <name val="Calibri"/>
      <family val="2"/>
      <scheme val="minor"/>
    </font>
    <font>
      <sz val="10"/>
      <name val="Calibri"/>
      <family val="2"/>
    </font>
    <font>
      <b/>
      <sz val="10"/>
      <name val="Calibri"/>
      <family val="2"/>
      <charset val="238"/>
    </font>
    <font>
      <i/>
      <sz val="8"/>
      <name val="Calibri"/>
      <family val="2"/>
    </font>
    <font>
      <sz val="10"/>
      <color rgb="FF0070C0"/>
      <name val="Calibri"/>
      <family val="2"/>
    </font>
    <font>
      <b/>
      <sz val="10"/>
      <color theme="1"/>
      <name val="Calibri"/>
      <family val="2"/>
      <scheme val="minor"/>
    </font>
    <font>
      <b/>
      <sz val="10"/>
      <color rgb="FF0070C0"/>
      <name val="Calibri"/>
      <family val="2"/>
    </font>
    <font>
      <b/>
      <sz val="10"/>
      <color rgb="FF00B050"/>
      <name val="Calibri"/>
      <family val="2"/>
    </font>
    <font>
      <i/>
      <sz val="10"/>
      <name val="Calibri"/>
      <family val="2"/>
    </font>
    <font>
      <sz val="10"/>
      <color theme="4"/>
      <name val="Calibri"/>
      <family val="2"/>
    </font>
    <font>
      <sz val="10"/>
      <color rgb="FF00B050"/>
      <name val="Calibri"/>
      <family val="2"/>
    </font>
    <font>
      <sz val="10"/>
      <color rgb="FFFF0000"/>
      <name val="Calibri"/>
      <family val="2"/>
    </font>
    <font>
      <b/>
      <sz val="10"/>
      <color rgb="FFFF0000"/>
      <name val="Calibri"/>
      <family val="2"/>
    </font>
    <font>
      <sz val="9"/>
      <color rgb="FFFF0000"/>
      <name val="Calibri"/>
      <family val="2"/>
    </font>
    <font>
      <sz val="11"/>
      <color theme="0"/>
      <name val="Calibri"/>
      <family val="2"/>
    </font>
    <font>
      <u/>
      <sz val="9"/>
      <name val="Calibri"/>
      <family val="2"/>
    </font>
    <font>
      <sz val="9"/>
      <name val="Calibri"/>
      <family val="2"/>
      <scheme val="minor"/>
    </font>
    <font>
      <sz val="9"/>
      <color theme="4"/>
      <name val="Calibri"/>
      <family val="2"/>
    </font>
    <font>
      <sz val="9"/>
      <color rgb="FF0070C0"/>
      <name val="Calibri"/>
      <family val="2"/>
    </font>
    <font>
      <sz val="9"/>
      <color theme="1"/>
      <name val="Calibri"/>
      <family val="2"/>
      <scheme val="minor"/>
    </font>
    <font>
      <sz val="9"/>
      <color rgb="FF00B050"/>
      <name val="Calibri"/>
      <family val="2"/>
    </font>
    <font>
      <b/>
      <sz val="9"/>
      <color theme="1"/>
      <name val="Calibri"/>
      <family val="2"/>
      <scheme val="minor"/>
    </font>
    <font>
      <sz val="9"/>
      <color rgb="FF0070C0"/>
      <name val="Calibri"/>
      <family val="2"/>
      <scheme val="minor"/>
    </font>
    <font>
      <sz val="9"/>
      <color theme="4"/>
      <name val="Calibri"/>
      <family val="2"/>
      <scheme val="minor"/>
    </font>
    <font>
      <b/>
      <sz val="9"/>
      <color rgb="FF0070C0"/>
      <name val="Calibri"/>
      <family val="2"/>
      <scheme val="minor"/>
    </font>
    <font>
      <b/>
      <sz val="9"/>
      <name val="Calibri"/>
      <family val="2"/>
      <scheme val="minor"/>
    </font>
    <font>
      <sz val="10"/>
      <color theme="0"/>
      <name val="Calibri"/>
      <family val="2"/>
      <scheme val="minor"/>
    </font>
    <font>
      <b/>
      <sz val="10"/>
      <color rgb="FF0070C0"/>
      <name val="Calibri"/>
      <family val="2"/>
      <scheme val="minor"/>
    </font>
    <font>
      <b/>
      <sz val="10"/>
      <color theme="4"/>
      <name val="Calibri"/>
      <family val="2"/>
      <scheme val="minor"/>
    </font>
    <font>
      <sz val="10"/>
      <color rgb="FFFF0000"/>
      <name val="Calibri"/>
      <family val="2"/>
      <scheme val="minor"/>
    </font>
    <font>
      <sz val="10"/>
      <color indexed="8"/>
      <name val="Calibri"/>
      <family val="2"/>
    </font>
    <font>
      <i/>
      <sz val="10"/>
      <color theme="1"/>
      <name val="Calibri"/>
      <family val="2"/>
      <scheme val="minor"/>
    </font>
    <font>
      <b/>
      <i/>
      <sz val="10"/>
      <name val="Arial"/>
      <family val="2"/>
    </font>
    <font>
      <b/>
      <sz val="10"/>
      <color indexed="8"/>
      <name val="Calibri"/>
      <family val="2"/>
    </font>
    <font>
      <b/>
      <vertAlign val="superscript"/>
      <sz val="10"/>
      <name val="Calibri"/>
      <family val="2"/>
    </font>
    <font>
      <i/>
      <sz val="10"/>
      <color rgb="FFFF0000"/>
      <name val="Calibri"/>
      <family val="2"/>
      <scheme val="minor"/>
    </font>
    <font>
      <vertAlign val="superscript"/>
      <sz val="10"/>
      <name val="Calibri"/>
      <family val="2"/>
      <scheme val="minor"/>
    </font>
    <font>
      <strike/>
      <sz val="9"/>
      <color rgb="FF00B050"/>
      <name val="Calibri"/>
      <family val="2"/>
    </font>
    <font>
      <sz val="11"/>
      <color rgb="FF00B050"/>
      <name val="Arial"/>
      <family val="2"/>
    </font>
    <font>
      <b/>
      <sz val="9"/>
      <color theme="4"/>
      <name val="Calibri"/>
      <family val="2"/>
    </font>
    <font>
      <b/>
      <sz val="9"/>
      <color rgb="FF00B050"/>
      <name val="Calibri"/>
      <family val="2"/>
    </font>
    <font>
      <i/>
      <sz val="9"/>
      <color rgb="FF00B050"/>
      <name val="Calibri"/>
      <family val="2"/>
    </font>
    <font>
      <i/>
      <sz val="9"/>
      <color theme="4"/>
      <name val="Calibri"/>
      <family val="2"/>
    </font>
    <font>
      <i/>
      <sz val="9"/>
      <color rgb="FF0070C0"/>
      <name val="Calibri"/>
      <family val="2"/>
    </font>
    <font>
      <b/>
      <sz val="10"/>
      <name val="Calibri"/>
      <family val="2"/>
      <scheme val="minor"/>
    </font>
    <font>
      <b/>
      <sz val="9"/>
      <color rgb="FFFF0000"/>
      <name val="Calibri"/>
      <family val="2"/>
    </font>
    <font>
      <sz val="9"/>
      <color indexed="81"/>
      <name val="Tahoma"/>
      <family val="2"/>
    </font>
    <font>
      <b/>
      <sz val="9"/>
      <color indexed="81"/>
      <name val="Tahoma"/>
      <family val="2"/>
    </font>
    <font>
      <sz val="11"/>
      <color indexed="8"/>
      <name val="Calibri"/>
      <family val="2"/>
      <charset val="238"/>
      <scheme val="minor"/>
    </font>
    <font>
      <sz val="9"/>
      <color indexed="8"/>
      <name val="Calibri"/>
      <family val="2"/>
      <charset val="238"/>
      <scheme val="minor"/>
    </font>
    <font>
      <i/>
      <sz val="9"/>
      <color indexed="8"/>
      <name val="Calibri"/>
      <family val="2"/>
      <charset val="238"/>
      <scheme val="minor"/>
    </font>
    <font>
      <b/>
      <i/>
      <sz val="9"/>
      <color rgb="FFFF0000"/>
      <name val="Calibri"/>
      <family val="2"/>
    </font>
    <font>
      <b/>
      <sz val="10"/>
      <color theme="0"/>
      <name val="Calibri"/>
      <family val="2"/>
      <scheme val="minor"/>
    </font>
    <font>
      <sz val="11"/>
      <color rgb="FFFF0000"/>
      <name val="Calibri"/>
      <family val="2"/>
      <scheme val="minor"/>
    </font>
    <font>
      <sz val="9"/>
      <color rgb="FFFF0000"/>
      <name val="Calibri"/>
      <family val="2"/>
      <scheme val="minor"/>
    </font>
    <font>
      <b/>
      <sz val="9"/>
      <color theme="4"/>
      <name val="Calibri"/>
      <family val="2"/>
      <scheme val="minor"/>
    </font>
    <font>
      <sz val="9"/>
      <color rgb="FF0000FF"/>
      <name val="Calibri"/>
      <family val="2"/>
    </font>
    <font>
      <sz val="10"/>
      <color theme="3" tint="0.39997558519241921"/>
      <name val="Calibri"/>
      <family val="2"/>
    </font>
    <font>
      <sz val="9"/>
      <color theme="3" tint="0.39997558519241921"/>
      <name val="Calibri"/>
      <family val="2"/>
    </font>
    <font>
      <sz val="10"/>
      <name val="MS Sans Serif"/>
      <family val="2"/>
      <charset val="204"/>
    </font>
    <font>
      <sz val="9"/>
      <name val="Arial"/>
      <family val="2"/>
    </font>
    <font>
      <sz val="11"/>
      <color rgb="FF000000"/>
      <name val="Calibri"/>
      <family val="2"/>
    </font>
    <font>
      <b/>
      <sz val="11"/>
      <color rgb="FF000000"/>
      <name val="Calibri"/>
      <family val="2"/>
    </font>
    <font>
      <sz val="11"/>
      <color theme="1"/>
      <name val="Calibri"/>
      <family val="2"/>
    </font>
    <font>
      <b/>
      <sz val="11"/>
      <color theme="1"/>
      <name val="Calibri"/>
      <family val="2"/>
    </font>
    <font>
      <sz val="11"/>
      <color rgb="FFFF0000"/>
      <name val="Calibri"/>
      <family val="2"/>
    </font>
    <font>
      <b/>
      <sz val="9"/>
      <color theme="4" tint="-0.249977111117893"/>
      <name val="Calibri"/>
      <family val="2"/>
      <scheme val="minor"/>
    </font>
    <font>
      <sz val="8"/>
      <name val="Calibri"/>
      <family val="2"/>
      <scheme val="minor"/>
    </font>
    <font>
      <b/>
      <sz val="9"/>
      <color rgb="FF0000FF"/>
      <name val="Calibri"/>
      <family val="2"/>
    </font>
    <font>
      <sz val="10"/>
      <color rgb="FF0000FF"/>
      <name val="Calibri"/>
      <family val="2"/>
    </font>
    <font>
      <b/>
      <sz val="10"/>
      <color rgb="FFFF0000"/>
      <name val="Calibri"/>
      <family val="2"/>
      <scheme val="minor"/>
    </font>
    <font>
      <b/>
      <sz val="8"/>
      <color indexed="81"/>
      <name val="Arial"/>
      <family val="2"/>
    </font>
    <font>
      <sz val="8"/>
      <color indexed="81"/>
      <name val="Arial"/>
      <family val="2"/>
    </font>
    <font>
      <sz val="9"/>
      <color theme="1"/>
      <name val="Calibri"/>
      <family val="2"/>
    </font>
    <font>
      <sz val="10"/>
      <name val="Frutiger 55 Roman"/>
    </font>
    <font>
      <sz val="10"/>
      <color indexed="63"/>
      <name val="Calibri"/>
      <family val="2"/>
    </font>
    <font>
      <sz val="7"/>
      <name val="Arial"/>
      <family val="2"/>
    </font>
    <font>
      <sz val="11"/>
      <color indexed="37"/>
      <name val="Calibri"/>
      <family val="2"/>
    </font>
    <font>
      <sz val="11"/>
      <color indexed="16"/>
      <name val="Calibri"/>
      <family val="2"/>
    </font>
    <font>
      <b/>
      <sz val="12"/>
      <color indexed="63"/>
      <name val="Arial"/>
      <family val="2"/>
    </font>
    <font>
      <b/>
      <sz val="9"/>
      <color indexed="63"/>
      <name val="Arial"/>
      <family val="2"/>
    </font>
    <font>
      <b/>
      <sz val="11"/>
      <color indexed="28"/>
      <name val="Arial"/>
      <family val="2"/>
    </font>
    <font>
      <i/>
      <sz val="8"/>
      <color indexed="8"/>
      <name val="Arial"/>
      <family val="2"/>
    </font>
    <font>
      <sz val="11"/>
      <color indexed="9"/>
      <name val="Webdings"/>
      <family val="1"/>
      <charset val="2"/>
    </font>
    <font>
      <sz val="9"/>
      <color indexed="63"/>
      <name val="Arial"/>
      <family val="2"/>
    </font>
    <font>
      <b/>
      <sz val="11"/>
      <color indexed="17"/>
      <name val="Calibri"/>
      <family val="2"/>
    </font>
    <font>
      <b/>
      <sz val="11"/>
      <color indexed="53"/>
      <name val="Calibri"/>
      <family val="2"/>
    </font>
    <font>
      <sz val="11"/>
      <color indexed="12"/>
      <name val="Arial"/>
      <family val="2"/>
    </font>
    <font>
      <sz val="8"/>
      <name val="Palatino"/>
      <family val="1"/>
    </font>
    <font>
      <sz val="11"/>
      <color indexed="8"/>
      <name val="Roboto Light"/>
      <family val="2"/>
    </font>
    <font>
      <b/>
      <sz val="12"/>
      <color indexed="9"/>
      <name val="Arial"/>
      <family val="2"/>
    </font>
    <font>
      <sz val="12"/>
      <name val="CG Times (W1)"/>
    </font>
    <font>
      <i/>
      <sz val="10"/>
      <color indexed="23"/>
      <name val="Arial"/>
      <family val="2"/>
    </font>
    <font>
      <sz val="7"/>
      <name val="Palatino"/>
      <family val="1"/>
    </font>
    <font>
      <sz val="12"/>
      <color indexed="30"/>
      <name val="Calibri"/>
      <family val="2"/>
    </font>
    <font>
      <i/>
      <sz val="10"/>
      <color indexed="8"/>
      <name val="Calibri"/>
      <family val="2"/>
    </font>
    <font>
      <i/>
      <sz val="11"/>
      <color indexed="8"/>
      <name val="Calibri"/>
      <family val="2"/>
    </font>
    <font>
      <sz val="9"/>
      <name val="Futura UBS Bk"/>
      <family val="2"/>
    </font>
    <font>
      <sz val="6"/>
      <color indexed="16"/>
      <name val="Palatino"/>
      <family val="1"/>
    </font>
    <font>
      <b/>
      <sz val="15"/>
      <color indexed="62"/>
      <name val="Calibri"/>
      <family val="2"/>
    </font>
    <font>
      <sz val="18"/>
      <name val="Helvetica-Black"/>
    </font>
    <font>
      <b/>
      <sz val="13"/>
      <color indexed="62"/>
      <name val="Calibri"/>
      <family val="2"/>
    </font>
    <font>
      <i/>
      <sz val="14"/>
      <name val="Palatino"/>
      <family val="1"/>
    </font>
    <font>
      <b/>
      <sz val="11"/>
      <color indexed="54"/>
      <name val="Calibri"/>
      <family val="2"/>
    </font>
    <font>
      <b/>
      <sz val="11"/>
      <color indexed="62"/>
      <name val="Calibri"/>
      <family val="2"/>
    </font>
    <font>
      <u/>
      <sz val="7.5"/>
      <color indexed="12"/>
      <name val="Arial"/>
      <family val="2"/>
    </font>
    <font>
      <u/>
      <sz val="10"/>
      <color indexed="30"/>
      <name val="Arial"/>
      <family val="2"/>
    </font>
    <font>
      <b/>
      <sz val="9"/>
      <color indexed="9"/>
      <name val="Webdings"/>
      <family val="1"/>
      <charset val="2"/>
    </font>
    <font>
      <sz val="11"/>
      <color indexed="48"/>
      <name val="Calibri"/>
      <family val="2"/>
    </font>
    <font>
      <b/>
      <sz val="9"/>
      <color indexed="60"/>
      <name val="Arial"/>
      <family val="2"/>
    </font>
    <font>
      <sz val="8"/>
      <color indexed="55"/>
      <name val="Arial"/>
      <family val="2"/>
    </font>
    <font>
      <sz val="11"/>
      <color indexed="53"/>
      <name val="Calibri"/>
      <family val="2"/>
    </font>
    <font>
      <b/>
      <sz val="22"/>
      <name val="Arial"/>
      <family val="2"/>
    </font>
    <font>
      <b/>
      <sz val="7"/>
      <name val="Arial"/>
      <family val="2"/>
    </font>
    <font>
      <sz val="10"/>
      <color indexed="44"/>
      <name val="Arial"/>
      <family val="2"/>
    </font>
    <font>
      <sz val="10"/>
      <color indexed="23"/>
      <name val="Calibri"/>
      <family val="2"/>
    </font>
    <font>
      <sz val="10"/>
      <name val="Helv"/>
    </font>
    <font>
      <sz val="8"/>
      <color indexed="12"/>
      <name val="Arial"/>
      <family val="2"/>
    </font>
    <font>
      <b/>
      <sz val="26"/>
      <name val="Times New Roman"/>
      <family val="1"/>
    </font>
    <font>
      <b/>
      <sz val="18"/>
      <name val="Times New Roman"/>
      <family val="1"/>
    </font>
    <font>
      <sz val="10"/>
      <color indexed="16"/>
      <name val="Helvetica-Black"/>
    </font>
    <font>
      <sz val="9"/>
      <color theme="0"/>
      <name val="Calibri"/>
      <family val="2"/>
    </font>
    <font>
      <sz val="9"/>
      <name val="Calibri"/>
      <family val="2"/>
    </font>
    <font>
      <b/>
      <sz val="9"/>
      <color rgb="FF000000"/>
      <name val="Calibri"/>
      <family val="2"/>
    </font>
    <font>
      <b/>
      <sz val="9"/>
      <color theme="1"/>
      <name val="Calibri"/>
      <family val="2"/>
    </font>
    <font>
      <sz val="9"/>
      <name val="Calibri"/>
    </font>
  </fonts>
  <fills count="120">
    <fill>
      <patternFill patternType="none"/>
    </fill>
    <fill>
      <patternFill patternType="gray125"/>
    </fill>
    <fill>
      <patternFill patternType="solid">
        <fgColor indexed="26"/>
        <bgColor indexed="64"/>
      </patternFill>
    </fill>
    <fill>
      <patternFill patternType="gray0625">
        <fgColor indexed="9"/>
        <bgColor indexed="47"/>
      </patternFill>
    </fill>
    <fill>
      <patternFill patternType="solid">
        <fgColor theme="0" tint="-0.14999847407452621"/>
        <bgColor indexed="64"/>
      </patternFill>
    </fill>
    <fill>
      <patternFill patternType="solid">
        <fgColor indexed="22"/>
        <bgColor indexed="64"/>
      </patternFill>
    </fill>
    <fill>
      <patternFill patternType="solid">
        <fgColor indexed="42"/>
        <bgColor indexed="64"/>
      </patternFill>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patternFill>
    </fill>
    <fill>
      <patternFill patternType="solid">
        <fgColor indexed="44"/>
        <bgColor indexed="64"/>
      </patternFill>
    </fill>
    <fill>
      <patternFill patternType="solid">
        <fgColor rgb="FFFFEB9C"/>
      </patternFill>
    </fill>
    <fill>
      <patternFill patternType="solid">
        <fgColor theme="4" tint="0.39997558519241921"/>
        <bgColor indexed="65"/>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28"/>
        <bgColor indexed="64"/>
      </patternFill>
    </fill>
    <fill>
      <patternFill patternType="solid">
        <fgColor indexed="22"/>
        <bgColor indexed="22"/>
      </patternFill>
    </fill>
    <fill>
      <patternFill patternType="solid">
        <fgColor indexed="31"/>
        <bgColor indexed="64"/>
      </patternFill>
    </fill>
    <fill>
      <patternFill patternType="solid">
        <fgColor indexed="55"/>
      </patternFill>
    </fill>
    <fill>
      <patternFill patternType="solid">
        <fgColor indexed="29"/>
        <bgColor indexed="64"/>
      </patternFill>
    </fill>
    <fill>
      <patternFill patternType="solid">
        <fgColor indexed="14"/>
        <bgColor indexed="64"/>
      </patternFill>
    </fill>
    <fill>
      <patternFill patternType="solid">
        <fgColor indexed="51"/>
        <bgColor indexed="64"/>
      </patternFill>
    </fill>
    <fill>
      <patternFill patternType="gray0625">
        <fgColor indexed="23"/>
        <bgColor indexed="9"/>
      </patternFill>
    </fill>
    <fill>
      <patternFill patternType="solid">
        <fgColor indexed="40"/>
        <bgColor indexed="64"/>
      </patternFill>
    </fill>
    <fill>
      <patternFill patternType="solid">
        <fgColor indexed="30"/>
        <bgColor indexed="64"/>
      </patternFill>
    </fill>
    <fill>
      <patternFill patternType="solid">
        <fgColor indexed="43"/>
      </patternFill>
    </fill>
    <fill>
      <patternFill patternType="mediumGray">
        <fgColor indexed="11"/>
      </patternFill>
    </fill>
    <fill>
      <patternFill patternType="solid">
        <fgColor indexed="45"/>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1"/>
        <bgColor indexed="64"/>
      </patternFill>
    </fill>
    <fill>
      <patternFill patternType="solid">
        <fgColor indexed="9"/>
      </patternFill>
    </fill>
    <fill>
      <patternFill patternType="solid">
        <fgColor indexed="24"/>
        <bgColor indexed="64"/>
      </patternFill>
    </fill>
    <fill>
      <patternFill patternType="darkUp">
        <fgColor indexed="8"/>
        <bgColor indexed="13"/>
      </patternFill>
    </fill>
    <fill>
      <patternFill patternType="solid">
        <fgColor rgb="FFFFC7CE"/>
      </patternFill>
    </fill>
    <fill>
      <patternFill patternType="solid">
        <fgColor theme="5"/>
      </patternFill>
    </fill>
    <fill>
      <patternFill patternType="solid">
        <fgColor theme="9"/>
      </patternFill>
    </fill>
    <fill>
      <patternFill patternType="solid">
        <fgColor theme="0" tint="-0.249977111117893"/>
        <bgColor indexed="64"/>
      </patternFill>
    </fill>
    <fill>
      <patternFill patternType="solid">
        <fgColor rgb="FFCCFFCC"/>
        <bgColor indexed="64"/>
      </patternFill>
    </fill>
    <fill>
      <patternFill patternType="solid">
        <fgColor theme="0" tint="-0.34998626667073579"/>
        <bgColor indexed="64"/>
      </patternFill>
    </fill>
    <fill>
      <patternFill patternType="solid">
        <fgColor rgb="FF99FF99"/>
        <bgColor indexed="64"/>
      </patternFill>
    </fill>
    <fill>
      <patternFill patternType="solid">
        <fgColor indexed="65"/>
        <bgColor indexed="64"/>
      </patternFill>
    </fill>
    <fill>
      <patternFill patternType="solid">
        <fgColor rgb="FFFFFF99"/>
        <bgColor indexed="64"/>
      </patternFill>
    </fill>
    <fill>
      <patternFill patternType="solid">
        <fgColor rgb="FFFF9999"/>
        <bgColor indexed="64"/>
      </patternFill>
    </fill>
    <fill>
      <patternFill patternType="solid">
        <fgColor theme="3" tint="0.79998168889431442"/>
        <bgColor indexed="64"/>
      </patternFill>
    </fill>
    <fill>
      <patternFill patternType="solid">
        <fgColor rgb="FFFFFFCC"/>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B4"/>
        <bgColor indexed="64"/>
      </patternFill>
    </fill>
    <fill>
      <patternFill patternType="solid">
        <fgColor theme="9" tint="0.59996337778862885"/>
        <bgColor indexed="64"/>
      </patternFill>
    </fill>
    <fill>
      <patternFill patternType="solid">
        <fgColor indexed="9"/>
        <bgColor indexed="64"/>
      </patternFill>
    </fill>
    <fill>
      <patternFill patternType="darkUp">
        <fgColor indexed="55"/>
        <bgColor indexed="22"/>
      </patternFill>
    </fill>
    <fill>
      <patternFill patternType="solid">
        <fgColor rgb="FFFFFF0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39997558519241921"/>
        <bgColor indexed="64"/>
      </patternFill>
    </fill>
    <fill>
      <patternFill patternType="solid">
        <fgColor rgb="FFFFCC99"/>
        <bgColor indexed="64"/>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gray125">
        <fgColor indexed="11"/>
        <bgColor indexed="9"/>
      </patternFill>
    </fill>
    <fill>
      <patternFill patternType="solid">
        <fgColor indexed="35"/>
        <bgColor indexed="35"/>
      </patternFill>
    </fill>
    <fill>
      <patternFill patternType="solid">
        <fgColor indexed="9"/>
        <bgColor indexed="9"/>
      </patternFill>
    </fill>
    <fill>
      <patternFill patternType="solid">
        <fgColor indexed="9"/>
        <bgColor indexed="8"/>
      </patternFill>
    </fill>
    <fill>
      <patternFill patternType="solid">
        <fgColor indexed="47"/>
        <bgColor indexed="64"/>
      </patternFill>
    </fill>
    <fill>
      <patternFill patternType="solid">
        <fgColor indexed="56"/>
        <bgColor indexed="64"/>
      </patternFill>
    </fill>
    <fill>
      <patternFill patternType="solid">
        <fgColor indexed="42"/>
        <bgColor indexed="42"/>
      </patternFill>
    </fill>
    <fill>
      <patternFill patternType="solid">
        <fgColor indexed="60"/>
      </patternFill>
    </fill>
    <fill>
      <patternFill patternType="solid">
        <fgColor theme="8" tint="0.59999389629810485"/>
        <bgColor indexed="64"/>
      </patternFill>
    </fill>
    <fill>
      <patternFill patternType="solid">
        <fgColor theme="8" tint="0.39997558519241921"/>
        <bgColor indexed="64"/>
      </patternFill>
    </fill>
  </fills>
  <borders count="105">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hair">
        <color indexed="64"/>
      </right>
      <top/>
      <bottom/>
      <diagonal/>
    </border>
    <border>
      <left style="hair">
        <color indexed="64"/>
      </left>
      <right style="hair">
        <color indexed="64"/>
      </right>
      <top/>
      <bottom/>
      <diagonal/>
    </border>
    <border>
      <left/>
      <right style="thin">
        <color indexed="64"/>
      </right>
      <top/>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diagonal/>
    </border>
    <border>
      <left style="hair">
        <color indexed="64"/>
      </left>
      <right/>
      <top/>
      <bottom/>
      <diagonal/>
    </border>
    <border>
      <left/>
      <right/>
      <top/>
      <bottom style="thin">
        <color indexed="64"/>
      </bottom>
      <diagonal/>
    </border>
    <border>
      <left style="hair">
        <color indexed="64"/>
      </left>
      <right style="thin">
        <color indexed="64"/>
      </right>
      <top style="thin">
        <color indexed="64"/>
      </top>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top style="thin">
        <color indexed="64"/>
      </top>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ashed">
        <color indexed="63"/>
      </left>
      <right style="dashed">
        <color indexed="63"/>
      </right>
      <top style="dashed">
        <color indexed="63"/>
      </top>
      <bottom style="dashed">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top style="thin">
        <color indexed="62"/>
      </top>
      <bottom style="double">
        <color indexed="62"/>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64"/>
      </left>
      <right style="thin">
        <color indexed="64"/>
      </right>
      <top style="thick">
        <color indexed="64"/>
      </top>
      <bottom style="hair">
        <color indexed="64"/>
      </bottom>
      <diagonal/>
    </border>
    <border>
      <left style="thin">
        <color indexed="63"/>
      </left>
      <right style="thin">
        <color indexed="63"/>
      </right>
      <top style="thin">
        <color indexed="64"/>
      </top>
      <bottom style="thin">
        <color indexed="63"/>
      </bottom>
      <diagonal/>
    </border>
    <border>
      <left/>
      <right/>
      <top style="thin">
        <color indexed="19"/>
      </top>
      <bottom/>
      <diagonal/>
    </border>
    <border>
      <left style="thin">
        <color indexed="64"/>
      </left>
      <right style="thin">
        <color indexed="64"/>
      </right>
      <top style="hair">
        <color indexed="64"/>
      </top>
      <bottom style="hair">
        <color indexed="64"/>
      </bottom>
      <diagonal/>
    </border>
    <border>
      <left/>
      <right/>
      <top style="thin">
        <color indexed="19"/>
      </top>
      <bottom style="double">
        <color indexed="19"/>
      </bottom>
      <diagonal/>
    </border>
    <border>
      <left/>
      <right/>
      <top style="thin">
        <color indexed="64"/>
      </top>
      <bottom style="double">
        <color indexed="64"/>
      </bottom>
      <diagonal/>
    </border>
    <border>
      <left/>
      <right style="hair">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3" tint="0.59996337778862885"/>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bottom style="thin">
        <color indexed="44"/>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top style="thin">
        <color indexed="8"/>
      </top>
      <bottom style="thin">
        <color indexed="8"/>
      </bottom>
      <diagonal/>
    </border>
    <border>
      <left/>
      <right/>
      <top/>
      <bottom style="dotted">
        <color indexed="64"/>
      </bottom>
      <diagonal/>
    </border>
    <border>
      <left/>
      <right/>
      <top/>
      <bottom style="medium">
        <color indexed="22"/>
      </bottom>
      <diagonal/>
    </border>
    <border>
      <left/>
      <right/>
      <top style="thin">
        <color indexed="8"/>
      </top>
      <bottom/>
      <diagonal/>
    </border>
    <border>
      <left/>
      <right/>
      <top style="thin">
        <color indexed="8"/>
      </top>
      <bottom style="medium">
        <color indexed="8"/>
      </bottom>
      <diagonal/>
    </border>
    <border>
      <left/>
      <right/>
      <top/>
      <bottom style="thick">
        <color indexed="48"/>
      </bottom>
      <diagonal/>
    </border>
    <border>
      <left/>
      <right/>
      <top/>
      <bottom style="medium">
        <color indexed="49"/>
      </bottom>
      <diagonal/>
    </border>
    <border>
      <left/>
      <right/>
      <top/>
      <bottom style="double">
        <color indexed="17"/>
      </bottom>
      <diagonal/>
    </border>
    <border>
      <left/>
      <right/>
      <top/>
      <bottom style="double">
        <color indexed="53"/>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hair">
        <color indexed="64"/>
      </left>
      <right style="dotted">
        <color indexed="64"/>
      </right>
      <top/>
      <bottom style="thin">
        <color indexed="64"/>
      </bottom>
      <diagonal/>
    </border>
    <border>
      <left/>
      <right style="dotted">
        <color indexed="64"/>
      </right>
      <top/>
      <bottom/>
      <diagonal/>
    </border>
  </borders>
  <cellStyleXfs count="25021">
    <xf numFmtId="0" fontId="0" fillId="0" borderId="0"/>
    <xf numFmtId="43" fontId="1" fillId="0" borderId="0" applyFont="0" applyFill="0" applyBorder="0" applyAlignment="0" applyProtection="0"/>
    <xf numFmtId="0" fontId="2" fillId="0" borderId="0"/>
    <xf numFmtId="0" fontId="7" fillId="0" borderId="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7" fillId="0" borderId="0"/>
    <xf numFmtId="9" fontId="5" fillId="0" borderId="0" applyFont="0" applyFill="0" applyBorder="0" applyAlignment="0" applyProtection="0"/>
    <xf numFmtId="0" fontId="5" fillId="0" borderId="0"/>
    <xf numFmtId="0" fontId="13" fillId="0" borderId="0" applyNumberFormat="0" applyFill="0" applyBorder="0" applyAlignment="0" applyProtection="0">
      <alignment vertical="top"/>
      <protection locked="0"/>
    </xf>
    <xf numFmtId="0" fontId="14" fillId="0" borderId="0"/>
    <xf numFmtId="0" fontId="5" fillId="0" borderId="0"/>
    <xf numFmtId="9" fontId="5" fillId="0" borderId="0" applyFont="0" applyFill="0" applyBorder="0" applyAlignment="0" applyProtection="0"/>
    <xf numFmtId="9" fontId="1" fillId="0" borderId="0" applyFont="0" applyFill="0" applyBorder="0" applyAlignment="0" applyProtection="0"/>
    <xf numFmtId="0" fontId="1" fillId="0" borderId="0"/>
    <xf numFmtId="171" fontId="5" fillId="0" borderId="0" applyFont="0" applyFill="0" applyBorder="0" applyAlignment="0" applyProtection="0"/>
    <xf numFmtId="0" fontId="5" fillId="0" borderId="0"/>
    <xf numFmtId="0" fontId="17" fillId="10" borderId="0" applyNumberFormat="0" applyBorder="0" applyAlignment="0" applyProtection="0"/>
    <xf numFmtId="171" fontId="5" fillId="0" borderId="0" applyFont="0" applyFill="0" applyBorder="0" applyAlignment="0" applyProtection="0"/>
    <xf numFmtId="175" fontId="37" fillId="14" borderId="0" applyBorder="0">
      <alignment horizontal="center"/>
      <protection locked="0"/>
    </xf>
    <xf numFmtId="175" fontId="37" fillId="0" borderId="0" applyFill="0" applyBorder="0">
      <alignment horizontal="center"/>
    </xf>
    <xf numFmtId="0" fontId="7" fillId="0" borderId="0" applyNumberFormat="0" applyFill="0" applyBorder="0" applyAlignment="0" applyProtection="0"/>
    <xf numFmtId="0" fontId="38" fillId="0" borderId="0" applyFont="0" applyFill="0" applyBorder="0" applyAlignment="0" applyProtection="0"/>
    <xf numFmtId="0" fontId="7" fillId="0" borderId="0" applyFont="0" applyFill="0" applyBorder="0" applyAlignment="0" applyProtection="0"/>
    <xf numFmtId="176" fontId="37" fillId="14" borderId="0" applyBorder="0">
      <alignment horizontal="center"/>
      <protection locked="0"/>
    </xf>
    <xf numFmtId="176" fontId="37" fillId="0" borderId="0" applyFill="0" applyBorder="0">
      <alignment horizontal="center"/>
    </xf>
    <xf numFmtId="0" fontId="28" fillId="0" borderId="34" applyNumberFormat="0" applyFill="0" applyAlignment="0" applyProtection="0"/>
    <xf numFmtId="0" fontId="29" fillId="0" borderId="35" applyNumberFormat="0" applyFill="0" applyAlignment="0" applyProtection="0"/>
    <xf numFmtId="177" fontId="37" fillId="14" borderId="0" applyBorder="0">
      <alignment horizontal="center"/>
      <protection locked="0"/>
    </xf>
    <xf numFmtId="177" fontId="37" fillId="0" borderId="0" applyFill="0" applyBorder="0">
      <alignment horizontal="center"/>
    </xf>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0" fillId="0" borderId="36" applyNumberFormat="0" applyFill="0" applyAlignment="0" applyProtection="0"/>
    <xf numFmtId="0" fontId="30" fillId="0" borderId="0" applyNumberFormat="0" applyFill="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17" fillId="13"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7" fillId="0" borderId="0"/>
    <xf numFmtId="0" fontId="17" fillId="10"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2" borderId="0" applyNumberFormat="0" applyBorder="0" applyAlignment="0" applyProtection="0"/>
    <xf numFmtId="0" fontId="36" fillId="0" borderId="0" applyNumberFormat="0" applyFill="0" applyBorder="0" applyAlignment="0" applyProtection="0"/>
    <xf numFmtId="0" fontId="26" fillId="0" borderId="0" applyNumberFormat="0" applyFill="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2"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2" borderId="0" applyNumberFormat="0" applyBorder="0" applyAlignment="0" applyProtection="0"/>
    <xf numFmtId="0" fontId="39" fillId="0" borderId="37">
      <alignment horizontal="center" vertical="center"/>
    </xf>
    <xf numFmtId="0" fontId="7" fillId="33" borderId="38" applyNumberFormat="0" applyFont="0" applyAlignment="0" applyProtection="0"/>
    <xf numFmtId="0" fontId="25" fillId="34" borderId="39" applyNumberFormat="0" applyAlignment="0" applyProtection="0"/>
    <xf numFmtId="0" fontId="40" fillId="35" borderId="37"/>
    <xf numFmtId="0" fontId="41" fillId="0" borderId="0" applyFont="0" applyFill="0" applyBorder="0" applyAlignment="0" applyProtection="0"/>
    <xf numFmtId="178" fontId="42" fillId="35" borderId="37" applyBorder="0"/>
    <xf numFmtId="0" fontId="40" fillId="35" borderId="37">
      <alignment horizontal="center"/>
      <protection locked="0"/>
    </xf>
    <xf numFmtId="0" fontId="34" fillId="34" borderId="40" applyNumberFormat="0" applyAlignment="0" applyProtection="0"/>
    <xf numFmtId="0" fontId="36" fillId="0" borderId="0" applyNumberFormat="0" applyFill="0" applyBorder="0" applyAlignment="0" applyProtection="0"/>
    <xf numFmtId="0" fontId="24" fillId="16" borderId="0" applyNumberFormat="0" applyBorder="0" applyAlignment="0" applyProtection="0"/>
    <xf numFmtId="0" fontId="43" fillId="33" borderId="38" applyNumberFormat="0" applyFon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179" fontId="18" fillId="0" borderId="0" applyNumberFormat="0" applyFont="0" applyAlignment="0">
      <alignment vertical="top"/>
    </xf>
    <xf numFmtId="0" fontId="24"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44" fillId="0" borderId="0"/>
    <xf numFmtId="180" fontId="45" fillId="36" borderId="22">
      <alignment horizontal="center"/>
    </xf>
    <xf numFmtId="181" fontId="7" fillId="37" borderId="41" applyNumberFormat="0">
      <alignment vertical="center"/>
    </xf>
    <xf numFmtId="182" fontId="7" fillId="2" borderId="41" applyNumberFormat="0">
      <alignment vertical="center"/>
    </xf>
    <xf numFmtId="1" fontId="7" fillId="38" borderId="41" applyNumberFormat="0">
      <alignment vertical="center"/>
    </xf>
    <xf numFmtId="181" fontId="7" fillId="38" borderId="41" applyNumberFormat="0">
      <alignment vertical="center"/>
    </xf>
    <xf numFmtId="181" fontId="7" fillId="5" borderId="41" applyNumberFormat="0">
      <alignment vertical="center"/>
    </xf>
    <xf numFmtId="183" fontId="46" fillId="0" borderId="0"/>
    <xf numFmtId="3" fontId="7" fillId="0" borderId="41" applyNumberFormat="0">
      <alignment vertical="center"/>
    </xf>
    <xf numFmtId="184" fontId="5" fillId="39" borderId="41" applyNumberFormat="0" applyFont="0" applyAlignment="0">
      <alignment vertical="center"/>
    </xf>
    <xf numFmtId="181" fontId="5" fillId="40" borderId="41" applyNumberFormat="0">
      <alignment vertical="center"/>
    </xf>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19" fillId="41" borderId="42" applyNumberFormat="0" applyAlignment="0" applyProtection="0"/>
    <xf numFmtId="0" fontId="32" fillId="0" borderId="43" applyNumberFormat="0" applyFill="0" applyAlignment="0" applyProtection="0"/>
    <xf numFmtId="0" fontId="32" fillId="0" borderId="43" applyNumberFormat="0" applyFill="0" applyAlignment="0" applyProtection="0"/>
    <xf numFmtId="185" fontId="47" fillId="0" borderId="0" applyFill="0" applyBorder="0" applyProtection="0">
      <alignment horizontal="center" vertical="center"/>
    </xf>
    <xf numFmtId="186" fontId="48" fillId="14" borderId="44">
      <alignment horizontal="center" vertical="center"/>
      <protection locked="0"/>
    </xf>
    <xf numFmtId="186" fontId="49" fillId="0" borderId="0" applyFill="0" applyBorder="0">
      <alignment horizontal="center" vertical="center"/>
    </xf>
    <xf numFmtId="0" fontId="19" fillId="41" borderId="42" applyNumberFormat="0" applyAlignment="0" applyProtection="0"/>
    <xf numFmtId="0" fontId="50" fillId="0" borderId="0" applyNumberFormat="0">
      <alignment horizontal="center" wrapText="1"/>
    </xf>
    <xf numFmtId="165" fontId="5" fillId="0" borderId="0" applyFont="0" applyFill="0" applyBorder="0" applyAlignment="0" applyProtection="0"/>
    <xf numFmtId="187"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0" fontId="7" fillId="0" borderId="45" applyFont="0" applyFill="0" applyBorder="0" applyAlignment="0" applyProtection="0">
      <alignment horizontal="right"/>
    </xf>
    <xf numFmtId="0" fontId="43" fillId="33" borderId="38" applyNumberFormat="0" applyFont="0" applyAlignment="0" applyProtection="0"/>
    <xf numFmtId="0" fontId="43" fillId="33" borderId="38" applyNumberFormat="0" applyFont="0" applyAlignment="0" applyProtection="0"/>
    <xf numFmtId="0" fontId="51" fillId="0" borderId="0" applyFill="0" applyBorder="0"/>
    <xf numFmtId="181" fontId="52" fillId="42" borderId="0" applyFont="0" applyAlignment="0">
      <alignment vertical="center" wrapText="1"/>
    </xf>
    <xf numFmtId="181" fontId="53" fillId="42" borderId="22" applyNumberFormat="0" applyBorder="0" applyAlignment="0">
      <alignment vertical="center" wrapText="1"/>
    </xf>
    <xf numFmtId="0" fontId="54" fillId="0" borderId="0"/>
    <xf numFmtId="0" fontId="54" fillId="0" borderId="0"/>
    <xf numFmtId="172" fontId="43" fillId="0" borderId="0" applyFont="0" applyFill="0" applyBorder="0" applyAlignment="0" applyProtection="0"/>
    <xf numFmtId="0" fontId="24" fillId="16" borderId="0" applyNumberFormat="0" applyBorder="0" applyAlignment="0" applyProtection="0"/>
    <xf numFmtId="38" fontId="55" fillId="35" borderId="46"/>
    <xf numFmtId="0" fontId="7" fillId="0" borderId="0" applyFont="0" applyFill="0" applyBorder="0" applyAlignment="0" applyProtection="0"/>
    <xf numFmtId="188" fontId="7" fillId="43" borderId="0" applyNumberFormat="0" applyFont="0" applyBorder="0" applyAlignment="0" applyProtection="0"/>
    <xf numFmtId="189" fontId="43" fillId="0" borderId="0" applyFont="0" applyFill="0" applyBorder="0" applyAlignment="0" applyProtection="0"/>
    <xf numFmtId="190" fontId="43" fillId="0" borderId="0" applyFont="0" applyFill="0" applyBorder="0" applyAlignment="0" applyProtection="0"/>
    <xf numFmtId="191" fontId="56" fillId="0" borderId="0" applyFill="0" applyBorder="0">
      <alignment horizontal="center" vertical="center"/>
    </xf>
    <xf numFmtId="0" fontId="31" fillId="20" borderId="39" applyNumberFormat="0" applyAlignment="0" applyProtection="0"/>
    <xf numFmtId="0" fontId="30" fillId="0" borderId="0" applyNumberFormat="0" applyFill="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2" borderId="0" applyNumberFormat="0" applyBorder="0" applyAlignment="0" applyProtection="0"/>
    <xf numFmtId="0" fontId="31" fillId="20" borderId="39" applyNumberFormat="0" applyAlignment="0" applyProtection="0"/>
    <xf numFmtId="0" fontId="31" fillId="20" borderId="39" applyNumberFormat="0" applyAlignment="0" applyProtection="0"/>
    <xf numFmtId="0" fontId="21" fillId="0" borderId="47" applyNumberFormat="0" applyFill="0" applyAlignment="0" applyProtection="0"/>
    <xf numFmtId="0" fontId="26" fillId="0" borderId="0" applyNumberFormat="0" applyFill="0" applyBorder="0" applyAlignment="0" applyProtection="0"/>
    <xf numFmtId="192"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0" fontId="7" fillId="44" borderId="48" applyNumberFormat="0">
      <alignment vertical="center"/>
    </xf>
    <xf numFmtId="0" fontId="26" fillId="0" borderId="0" applyNumberFormat="0" applyFill="0" applyBorder="0" applyAlignment="0" applyProtection="0"/>
    <xf numFmtId="195" fontId="7" fillId="6" borderId="0" applyNumberFormat="0" applyFont="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196" fontId="59" fillId="0" borderId="0">
      <alignment horizontal="right" vertical="top"/>
    </xf>
    <xf numFmtId="197" fontId="60" fillId="0" borderId="0">
      <alignment horizontal="right" vertical="top"/>
    </xf>
    <xf numFmtId="0" fontId="59" fillId="0" borderId="0">
      <alignment horizontal="right" vertical="top"/>
    </xf>
    <xf numFmtId="0" fontId="60" fillId="0" borderId="0" applyFill="0" applyBorder="0">
      <alignment horizontal="right" vertical="top"/>
    </xf>
    <xf numFmtId="198" fontId="60" fillId="0" borderId="0" applyFill="0" applyBorder="0">
      <alignment horizontal="right" vertical="top"/>
    </xf>
    <xf numFmtId="199" fontId="60" fillId="0" borderId="0" applyFill="0" applyBorder="0">
      <alignment horizontal="right" vertical="top"/>
    </xf>
    <xf numFmtId="200" fontId="60" fillId="0" borderId="0" applyFill="0" applyBorder="0">
      <alignment horizontal="right" vertical="top"/>
    </xf>
    <xf numFmtId="0" fontId="61" fillId="0" borderId="0">
      <alignment horizontal="center" wrapText="1"/>
    </xf>
    <xf numFmtId="201" fontId="62" fillId="0" borderId="0" applyFill="0" applyBorder="0">
      <alignment vertical="top"/>
    </xf>
    <xf numFmtId="201" fontId="63" fillId="0" borderId="0" applyFill="0" applyBorder="0" applyProtection="0">
      <alignment vertical="top"/>
    </xf>
    <xf numFmtId="201" fontId="64" fillId="0" borderId="0">
      <alignment vertical="top"/>
    </xf>
    <xf numFmtId="173" fontId="60" fillId="0" borderId="0" applyFill="0" applyBorder="0" applyAlignment="0" applyProtection="0">
      <alignment horizontal="right" vertical="top"/>
    </xf>
    <xf numFmtId="201" fontId="53" fillId="0" borderId="0"/>
    <xf numFmtId="0" fontId="60" fillId="0" borderId="0" applyFill="0" applyBorder="0">
      <alignment horizontal="left" vertical="top"/>
    </xf>
    <xf numFmtId="202" fontId="7" fillId="0" borderId="0" applyFont="0" applyFill="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2" borderId="0" applyNumberFormat="0" applyBorder="0" applyAlignment="0" applyProtection="0"/>
    <xf numFmtId="184" fontId="8" fillId="0" borderId="0">
      <alignment vertical="top"/>
    </xf>
    <xf numFmtId="0" fontId="7" fillId="5" borderId="40" applyNumberFormat="0">
      <alignment vertical="center"/>
    </xf>
    <xf numFmtId="0" fontId="65" fillId="0" borderId="0" applyNumberFormat="0" applyFill="0" applyBorder="0" applyAlignment="0" applyProtection="0"/>
    <xf numFmtId="0" fontId="54" fillId="0" borderId="0"/>
    <xf numFmtId="0" fontId="26" fillId="0" borderId="0" applyNumberFormat="0" applyFill="0" applyBorder="0" applyAlignment="0" applyProtection="0"/>
    <xf numFmtId="0" fontId="26" fillId="0" borderId="0" applyNumberFormat="0" applyFill="0" applyBorder="0" applyAlignment="0" applyProtection="0"/>
    <xf numFmtId="188" fontId="66" fillId="0" borderId="0" applyNumberFormat="0" applyFill="0" applyBorder="0" applyAlignment="0" applyProtection="0"/>
    <xf numFmtId="0" fontId="5" fillId="0" borderId="0"/>
    <xf numFmtId="183" fontId="5" fillId="0" borderId="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67" fillId="5" borderId="49" applyNumberFormat="0">
      <alignment vertical="center"/>
    </xf>
    <xf numFmtId="0" fontId="27" fillId="17" borderId="0" applyNumberFormat="0" applyBorder="0" applyAlignment="0" applyProtection="0"/>
    <xf numFmtId="0" fontId="24" fillId="16" borderId="0" applyNumberFormat="0" applyBorder="0" applyAlignment="0" applyProtection="0"/>
    <xf numFmtId="0" fontId="27" fillId="17" borderId="0" applyNumberFormat="0" applyBorder="0" applyAlignment="0" applyProtection="0"/>
    <xf numFmtId="195" fontId="68" fillId="0" borderId="0" applyNumberFormat="0" applyFill="0" applyBorder="0" applyAlignment="0" applyProtection="0"/>
    <xf numFmtId="0" fontId="69" fillId="45" borderId="0"/>
    <xf numFmtId="0" fontId="18" fillId="46" borderId="0" applyNumberFormat="0" applyFill="0" applyBorder="0" applyAlignment="0" applyProtection="0"/>
    <xf numFmtId="0" fontId="70" fillId="11" borderId="0" applyNumberFormat="0" applyFill="0" applyBorder="0" applyAlignment="0" applyProtection="0"/>
    <xf numFmtId="0" fontId="30" fillId="0" borderId="36" applyNumberFormat="0" applyFill="0" applyAlignment="0" applyProtection="0"/>
    <xf numFmtId="0" fontId="7" fillId="0" borderId="0" applyFill="0" applyBorder="0"/>
    <xf numFmtId="0" fontId="71" fillId="0" borderId="0" applyFill="0" applyBorder="0" applyProtection="0">
      <alignment horizontal="right"/>
    </xf>
    <xf numFmtId="0" fontId="36" fillId="0" borderId="0" applyNumberFormat="0" applyFill="0" applyBorder="0" applyAlignment="0" applyProtection="0"/>
    <xf numFmtId="0" fontId="43" fillId="33" borderId="38" applyNumberFormat="0" applyFont="0" applyAlignment="0" applyProtection="0"/>
    <xf numFmtId="0" fontId="43" fillId="33" borderId="38" applyNumberFormat="0" applyFont="0" applyAlignment="0" applyProtection="0"/>
    <xf numFmtId="0" fontId="24" fillId="16" borderId="0" applyNumberFormat="0" applyBorder="0" applyAlignment="0" applyProtection="0"/>
    <xf numFmtId="203" fontId="58" fillId="0" borderId="0" applyFont="0" applyBorder="0" applyAlignment="0"/>
    <xf numFmtId="0" fontId="72" fillId="0" borderId="0" applyNumberFormat="0" applyFill="0" applyBorder="0" applyAlignment="0" applyProtection="0"/>
    <xf numFmtId="0" fontId="27" fillId="17" borderId="0" applyNumberFormat="0" applyBorder="0" applyAlignment="0" applyProtection="0"/>
    <xf numFmtId="0" fontId="24" fillId="16" borderId="0" applyNumberFormat="0" applyBorder="0" applyAlignment="0" applyProtection="0"/>
    <xf numFmtId="0" fontId="31" fillId="20" borderId="39" applyNumberFormat="0" applyAlignment="0" applyProtection="0"/>
    <xf numFmtId="184" fontId="73" fillId="0" borderId="0">
      <alignment vertical="top"/>
    </xf>
    <xf numFmtId="0" fontId="74" fillId="35" borderId="50"/>
    <xf numFmtId="181" fontId="75" fillId="35" borderId="44" applyNumberFormat="0">
      <alignment vertical="center"/>
      <protection locked="0"/>
    </xf>
    <xf numFmtId="0" fontId="75" fillId="47" borderId="44" applyNumberFormat="0">
      <alignment vertical="center"/>
      <protection locked="0"/>
    </xf>
    <xf numFmtId="0" fontId="76" fillId="2" borderId="46" applyNumberFormat="0" applyAlignment="0">
      <alignment horizontal="left"/>
      <protection locked="0"/>
    </xf>
    <xf numFmtId="0" fontId="76" fillId="2" borderId="46" applyNumberFormat="0" applyAlignment="0">
      <alignment horizontal="left"/>
      <protection locked="0"/>
    </xf>
    <xf numFmtId="0" fontId="76" fillId="2" borderId="46" applyNumberFormat="0" applyAlignment="0">
      <alignment horizontal="left"/>
      <protection locked="0"/>
    </xf>
    <xf numFmtId="0" fontId="76" fillId="2" borderId="46" applyNumberFormat="0" applyAlignment="0">
      <alignment horizontal="left"/>
      <protection locked="0"/>
    </xf>
    <xf numFmtId="0" fontId="7" fillId="35" borderId="51" applyNumberFormat="0" applyAlignment="0">
      <protection locked="0"/>
    </xf>
    <xf numFmtId="0" fontId="24" fillId="16" borderId="0" applyNumberFormat="0" applyBorder="0" applyAlignment="0" applyProtection="0"/>
    <xf numFmtId="0" fontId="77" fillId="0" borderId="0" applyNumberFormat="0" applyFill="0" applyBorder="0" applyProtection="0">
      <alignment horizontal="centerContinuous" wrapText="1"/>
    </xf>
    <xf numFmtId="0" fontId="36" fillId="0" borderId="0" applyNumberFormat="0" applyFill="0" applyBorder="0" applyAlignment="0" applyProtection="0"/>
    <xf numFmtId="0" fontId="34" fillId="34" borderId="40" applyNumberFormat="0" applyAlignment="0" applyProtection="0"/>
    <xf numFmtId="0" fontId="31" fillId="20" borderId="39" applyNumberFormat="0" applyAlignment="0" applyProtection="0"/>
    <xf numFmtId="0" fontId="21" fillId="0" borderId="47" applyNumberFormat="0" applyFill="0" applyAlignment="0" applyProtection="0"/>
    <xf numFmtId="165" fontId="2" fillId="0" borderId="0" applyFont="0" applyFill="0" applyBorder="0" applyAlignment="0" applyProtection="0"/>
    <xf numFmtId="165" fontId="43" fillId="0" borderId="0" applyFont="0" applyFill="0" applyBorder="0" applyAlignment="0" applyProtection="0"/>
    <xf numFmtId="165" fontId="2" fillId="0" borderId="0" applyFont="0" applyFill="0" applyBorder="0" applyAlignment="0" applyProtection="0"/>
    <xf numFmtId="0" fontId="19" fillId="41" borderId="42" applyNumberFormat="0" applyAlignment="0" applyProtection="0"/>
    <xf numFmtId="0" fontId="19" fillId="41" borderId="42" applyNumberFormat="0" applyAlignment="0" applyProtection="0"/>
    <xf numFmtId="0" fontId="19" fillId="41" borderId="42" applyNumberFormat="0" applyAlignment="0" applyProtection="0"/>
    <xf numFmtId="38" fontId="78" fillId="0" borderId="0"/>
    <xf numFmtId="38" fontId="79" fillId="0" borderId="0"/>
    <xf numFmtId="38" fontId="80" fillId="0" borderId="0"/>
    <xf numFmtId="38" fontId="81" fillId="0" borderId="0"/>
    <xf numFmtId="0" fontId="37" fillId="0" borderId="0"/>
    <xf numFmtId="0" fontId="37" fillId="0" borderId="0"/>
    <xf numFmtId="184" fontId="70" fillId="0" borderId="0" applyFont="0">
      <alignment vertical="top"/>
    </xf>
    <xf numFmtId="0" fontId="32" fillId="0" borderId="43" applyNumberFormat="0" applyFill="0" applyAlignment="0" applyProtection="0"/>
    <xf numFmtId="0" fontId="82" fillId="0" borderId="0" applyNumberFormat="0" applyFill="0" applyBorder="0" applyAlignment="0" applyProtection="0"/>
    <xf numFmtId="0" fontId="25" fillId="34" borderId="39" applyNumberFormat="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204" fontId="83" fillId="0" borderId="0" applyFill="0">
      <alignment horizontal="center"/>
    </xf>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2" borderId="0" applyNumberFormat="0" applyBorder="0" applyAlignment="0" applyProtection="0"/>
    <xf numFmtId="0" fontId="43" fillId="33" borderId="38" applyNumberFormat="0" applyFont="0" applyAlignment="0" applyProtection="0"/>
    <xf numFmtId="0" fontId="84" fillId="0" borderId="0" applyNumberFormat="0" applyFill="0" applyBorder="0" applyAlignment="0" applyProtection="0"/>
    <xf numFmtId="164" fontId="58" fillId="0" borderId="0" applyFont="0" applyFill="0" applyBorder="0" applyAlignment="0" applyProtection="0"/>
    <xf numFmtId="164" fontId="7" fillId="0" borderId="0" applyFont="0" applyFill="0" applyBorder="0" applyAlignment="0" applyProtection="0"/>
    <xf numFmtId="164" fontId="4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43"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3" fontId="7" fillId="0" borderId="0" applyFont="0" applyFill="0" applyBorder="0" applyAlignment="0" applyProtection="0"/>
    <xf numFmtId="174" fontId="7" fillId="0" borderId="0" applyFont="0" applyFill="0" applyBorder="0" applyAlignment="0" applyProtection="0"/>
    <xf numFmtId="0" fontId="85" fillId="0" borderId="0" applyNumberFormat="0" applyFill="0">
      <alignment vertical="center"/>
    </xf>
    <xf numFmtId="0" fontId="7" fillId="0" borderId="0" applyFont="0" applyFill="0" applyBorder="0" applyAlignment="0" applyProtection="0"/>
    <xf numFmtId="0" fontId="7" fillId="0" borderId="0" applyFont="0" applyFill="0" applyBorder="0" applyAlignment="0" applyProtection="0"/>
    <xf numFmtId="0" fontId="75" fillId="37" borderId="52" applyNumberFormat="0" applyFont="0" applyFill="0" applyAlignment="0" applyProtection="0">
      <alignment vertical="center"/>
      <protection locked="0"/>
    </xf>
    <xf numFmtId="0" fontId="86" fillId="0" borderId="0" applyNumberFormat="0" applyBorder="0">
      <alignment horizontal="left" vertical="top"/>
    </xf>
    <xf numFmtId="0" fontId="75" fillId="37" borderId="52" applyNumberFormat="0" applyFont="0" applyFill="0" applyAlignment="0" applyProtection="0">
      <alignment vertical="center"/>
      <protection locked="0"/>
    </xf>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43" fillId="0" borderId="0"/>
    <xf numFmtId="0" fontId="43" fillId="0" borderId="0"/>
    <xf numFmtId="166" fontId="58" fillId="0" borderId="0"/>
    <xf numFmtId="0" fontId="5" fillId="0" borderId="0"/>
    <xf numFmtId="0" fontId="5" fillId="0" borderId="0"/>
    <xf numFmtId="0" fontId="5" fillId="0" borderId="0"/>
    <xf numFmtId="0" fontId="1" fillId="0" borderId="0"/>
    <xf numFmtId="0" fontId="5" fillId="0" borderId="0"/>
    <xf numFmtId="0" fontId="43"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110" fillId="0" borderId="0"/>
    <xf numFmtId="0" fontId="7" fillId="0" borderId="0"/>
    <xf numFmtId="0" fontId="43" fillId="0" borderId="0"/>
    <xf numFmtId="0" fontId="43" fillId="0" borderId="0"/>
    <xf numFmtId="0" fontId="43"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xf numFmtId="0" fontId="1" fillId="0" borderId="0"/>
    <xf numFmtId="0" fontId="43" fillId="0" borderId="0"/>
    <xf numFmtId="0" fontId="1" fillId="0" borderId="0"/>
    <xf numFmtId="0" fontId="43" fillId="0" borderId="0"/>
    <xf numFmtId="0" fontId="1" fillId="0" borderId="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1" fillId="0" borderId="0"/>
    <xf numFmtId="0" fontId="87" fillId="0" borderId="0"/>
    <xf numFmtId="0" fontId="111" fillId="0" borderId="0"/>
    <xf numFmtId="0" fontId="7" fillId="0" borderId="0"/>
    <xf numFmtId="0" fontId="7"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87" fillId="0" borderId="0"/>
    <xf numFmtId="0" fontId="43" fillId="0" borderId="0"/>
    <xf numFmtId="0" fontId="7" fillId="0" borderId="0" applyBorder="0"/>
    <xf numFmtId="0" fontId="7" fillId="0" borderId="0" applyBorder="0"/>
    <xf numFmtId="0" fontId="7" fillId="0" borderId="0" applyBorder="0"/>
    <xf numFmtId="0" fontId="7" fillId="0" borderId="0" applyBorder="0"/>
    <xf numFmtId="0" fontId="7" fillId="0" borderId="0" applyBorder="0"/>
    <xf numFmtId="0" fontId="7" fillId="0" borderId="0"/>
    <xf numFmtId="0" fontId="88" fillId="0" borderId="0"/>
    <xf numFmtId="0" fontId="88" fillId="0" borderId="0"/>
    <xf numFmtId="0" fontId="88" fillId="0" borderId="0"/>
    <xf numFmtId="0" fontId="7" fillId="0" borderId="0"/>
    <xf numFmtId="0" fontId="89" fillId="0" borderId="0"/>
    <xf numFmtId="0" fontId="7" fillId="33" borderId="38" applyNumberFormat="0" applyFont="0" applyAlignment="0" applyProtection="0"/>
    <xf numFmtId="0" fontId="7" fillId="33" borderId="38" applyNumberFormat="0" applyFont="0" applyAlignment="0" applyProtection="0"/>
    <xf numFmtId="195" fontId="90" fillId="0" borderId="0" applyNumberFormat="0" applyFill="0" applyBorder="0" applyAlignment="0" applyProtection="0"/>
    <xf numFmtId="0" fontId="2" fillId="33" borderId="38" applyNumberFormat="0" applyFont="0" applyAlignment="0" applyProtection="0"/>
    <xf numFmtId="205" fontId="7" fillId="0" borderId="0" applyFont="0" applyFill="0" applyBorder="0" applyAlignment="0" applyProtection="0"/>
    <xf numFmtId="0" fontId="7" fillId="0" borderId="37"/>
    <xf numFmtId="0" fontId="7" fillId="0" borderId="0" applyFont="0" applyFill="0" applyBorder="0" applyAlignment="0" applyProtection="0"/>
    <xf numFmtId="14" fontId="7" fillId="0" borderId="0" applyFont="0" applyFill="0" applyBorder="0" applyAlignment="0" applyProtection="0"/>
    <xf numFmtId="0" fontId="7" fillId="0" borderId="0" applyFont="0" applyFill="0" applyBorder="0" applyAlignment="0" applyProtection="0"/>
    <xf numFmtId="178" fontId="91" fillId="0" borderId="37" applyBorder="0"/>
    <xf numFmtId="1" fontId="7" fillId="0" borderId="0" applyFont="0" applyFill="0" applyBorder="0" applyAlignment="0" applyProtection="0"/>
    <xf numFmtId="0" fontId="35" fillId="0" borderId="0" applyNumberFormat="0" applyFill="0" applyBorder="0" applyAlignment="0" applyProtection="0"/>
    <xf numFmtId="0" fontId="28" fillId="0" borderId="34" applyNumberFormat="0" applyFill="0" applyAlignment="0" applyProtection="0"/>
    <xf numFmtId="0" fontId="29" fillId="0" borderId="35" applyNumberFormat="0" applyFill="0" applyAlignment="0" applyProtection="0"/>
    <xf numFmtId="0" fontId="30" fillId="0" borderId="36" applyNumberFormat="0" applyFill="0" applyAlignment="0" applyProtection="0"/>
    <xf numFmtId="0" fontId="30" fillId="0" borderId="0" applyNumberFormat="0" applyFill="0" applyBorder="0" applyAlignment="0" applyProtection="0"/>
    <xf numFmtId="0" fontId="34" fillId="34" borderId="40" applyNumberFormat="0" applyAlignment="0" applyProtection="0"/>
    <xf numFmtId="0" fontId="28" fillId="0" borderId="34" applyNumberFormat="0" applyFill="0" applyAlignment="0" applyProtection="0"/>
    <xf numFmtId="0" fontId="29" fillId="0" borderId="35" applyNumberFormat="0" applyFill="0" applyAlignment="0" applyProtection="0"/>
    <xf numFmtId="0" fontId="30" fillId="0" borderId="36" applyNumberFormat="0" applyFill="0" applyAlignment="0" applyProtection="0"/>
    <xf numFmtId="0" fontId="30" fillId="0" borderId="0" applyNumberFormat="0" applyFill="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2" borderId="0" applyNumberFormat="0" applyBorder="0" applyAlignment="0" applyProtection="0"/>
    <xf numFmtId="0" fontId="43" fillId="33" borderId="38" applyNumberFormat="0" applyFon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8" fillId="0" borderId="34" applyNumberFormat="0" applyFill="0" applyAlignment="0" applyProtection="0"/>
    <xf numFmtId="0" fontId="29" fillId="0" borderId="35" applyNumberFormat="0" applyFill="0" applyAlignment="0" applyProtection="0"/>
    <xf numFmtId="0" fontId="30" fillId="0" borderId="36" applyNumberFormat="0" applyFill="0" applyAlignment="0" applyProtection="0"/>
    <xf numFmtId="0" fontId="30" fillId="0" borderId="0" applyNumberFormat="0" applyFill="0" applyBorder="0" applyAlignment="0" applyProtection="0"/>
    <xf numFmtId="0" fontId="54" fillId="0" borderId="0"/>
    <xf numFmtId="9" fontId="43" fillId="0" borderId="0" applyFont="0" applyFill="0" applyBorder="0" applyAlignment="0" applyProtection="0"/>
    <xf numFmtId="10" fontId="4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4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7" fillId="0" borderId="0" applyFont="0" applyFill="0" applyBorder="0" applyAlignment="0" applyProtection="0"/>
    <xf numFmtId="0" fontId="92" fillId="0" borderId="53">
      <alignment horizontal="center"/>
    </xf>
    <xf numFmtId="0" fontId="70" fillId="0" borderId="12" applyFont="0">
      <alignment horizontal="right"/>
    </xf>
    <xf numFmtId="0" fontId="93" fillId="0" borderId="54">
      <alignment horizontal="center"/>
    </xf>
    <xf numFmtId="0" fontId="93" fillId="0" borderId="54">
      <alignment horizontal="center"/>
    </xf>
    <xf numFmtId="0" fontId="93" fillId="0" borderId="54">
      <alignment horizontal="center"/>
    </xf>
    <xf numFmtId="9" fontId="43"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43" fillId="0" borderId="0" applyFont="0" applyFill="0" applyBorder="0" applyAlignment="0" applyProtection="0"/>
    <xf numFmtId="9" fontId="7" fillId="0" borderId="0" applyFont="0" applyFill="0" applyBorder="0" applyAlignment="0" applyProtection="0"/>
    <xf numFmtId="0" fontId="94" fillId="49" borderId="55" applyNumberFormat="0" applyFon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applyFill="0" applyBorder="0" applyProtection="0">
      <alignment vertical="center"/>
    </xf>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2" borderId="0" applyNumberFormat="0" applyBorder="0" applyAlignment="0" applyProtection="0"/>
    <xf numFmtId="0" fontId="35" fillId="0" borderId="0" applyNumberFormat="0" applyFill="0" applyBorder="0" applyAlignment="0" applyProtection="0"/>
    <xf numFmtId="0" fontId="28" fillId="0" borderId="34" applyNumberFormat="0" applyFill="0" applyAlignment="0" applyProtection="0"/>
    <xf numFmtId="0" fontId="29" fillId="0" borderId="35" applyNumberFormat="0" applyFill="0" applyAlignment="0" applyProtection="0"/>
    <xf numFmtId="0" fontId="30" fillId="0" borderId="36" applyNumberFormat="0" applyFill="0" applyAlignment="0" applyProtection="0"/>
    <xf numFmtId="0" fontId="30" fillId="0" borderId="0" applyNumberFormat="0" applyFill="0" applyBorder="0" applyAlignment="0" applyProtection="0"/>
    <xf numFmtId="0" fontId="34" fillId="34" borderId="40" applyNumberFormat="0" applyAlignment="0" applyProtection="0"/>
    <xf numFmtId="0" fontId="32" fillId="0" borderId="43" applyNumberFormat="0" applyFill="0" applyAlignment="0" applyProtection="0"/>
    <xf numFmtId="4" fontId="93" fillId="35" borderId="40" applyNumberFormat="0" applyProtection="0">
      <alignment vertical="center"/>
    </xf>
    <xf numFmtId="4" fontId="95" fillId="35" borderId="40" applyNumberFormat="0" applyProtection="0">
      <alignment vertical="center"/>
    </xf>
    <xf numFmtId="4" fontId="93" fillId="35" borderId="40" applyNumberFormat="0" applyProtection="0">
      <alignment horizontal="left" vertical="center" indent="1"/>
    </xf>
    <xf numFmtId="4" fontId="93" fillId="35" borderId="40" applyNumberFormat="0" applyProtection="0">
      <alignment horizontal="left" vertical="center" indent="1"/>
    </xf>
    <xf numFmtId="0" fontId="7" fillId="40" borderId="40" applyNumberFormat="0" applyProtection="0">
      <alignment horizontal="left" vertical="center" indent="1"/>
    </xf>
    <xf numFmtId="4" fontId="93" fillId="50" borderId="40" applyNumberFormat="0" applyProtection="0">
      <alignment horizontal="right" vertical="center"/>
    </xf>
    <xf numFmtId="4" fontId="93" fillId="42" borderId="40" applyNumberFormat="0" applyProtection="0">
      <alignment horizontal="right" vertical="center"/>
    </xf>
    <xf numFmtId="4" fontId="93" fillId="51" borderId="40" applyNumberFormat="0" applyProtection="0">
      <alignment horizontal="right" vertical="center"/>
    </xf>
    <xf numFmtId="4" fontId="93" fillId="44" borderId="40" applyNumberFormat="0" applyProtection="0">
      <alignment horizontal="right" vertical="center"/>
    </xf>
    <xf numFmtId="4" fontId="93" fillId="52" borderId="40" applyNumberFormat="0" applyProtection="0">
      <alignment horizontal="right" vertical="center"/>
    </xf>
    <xf numFmtId="4" fontId="93" fillId="53" borderId="40" applyNumberFormat="0" applyProtection="0">
      <alignment horizontal="right" vertical="center"/>
    </xf>
    <xf numFmtId="4" fontId="93" fillId="54" borderId="40" applyNumberFormat="0" applyProtection="0">
      <alignment horizontal="right" vertical="center"/>
    </xf>
    <xf numFmtId="4" fontId="93" fillId="55" borderId="40" applyNumberFormat="0" applyProtection="0">
      <alignment horizontal="right" vertical="center"/>
    </xf>
    <xf numFmtId="4" fontId="93" fillId="56" borderId="40" applyNumberFormat="0" applyProtection="0">
      <alignment horizontal="right" vertical="center"/>
    </xf>
    <xf numFmtId="4" fontId="92" fillId="57" borderId="40" applyNumberFormat="0" applyProtection="0">
      <alignment horizontal="left" vertical="center" indent="1"/>
    </xf>
    <xf numFmtId="4" fontId="93" fillId="58" borderId="56" applyNumberFormat="0" applyProtection="0">
      <alignment horizontal="left" vertical="center" indent="1"/>
    </xf>
    <xf numFmtId="4" fontId="96" fillId="59" borderId="0" applyNumberFormat="0" applyProtection="0">
      <alignment horizontal="left" vertical="center" indent="1"/>
    </xf>
    <xf numFmtId="0" fontId="7" fillId="40" borderId="40" applyNumberFormat="0" applyProtection="0">
      <alignment horizontal="left" vertical="center" indent="1"/>
    </xf>
    <xf numFmtId="4" fontId="93" fillId="58" borderId="40" applyNumberFormat="0" applyProtection="0">
      <alignment horizontal="left" vertical="center" indent="1"/>
    </xf>
    <xf numFmtId="4" fontId="93" fillId="60" borderId="40" applyNumberFormat="0" applyProtection="0">
      <alignment horizontal="left" vertical="center" indent="1"/>
    </xf>
    <xf numFmtId="0" fontId="7" fillId="60" borderId="40" applyNumberFormat="0" applyProtection="0">
      <alignment horizontal="left" vertical="center" indent="1"/>
    </xf>
    <xf numFmtId="0" fontId="7" fillId="60" borderId="40" applyNumberFormat="0" applyProtection="0">
      <alignment horizontal="left" vertical="center" indent="1"/>
    </xf>
    <xf numFmtId="0" fontId="7" fillId="61" borderId="40" applyNumberFormat="0" applyProtection="0">
      <alignment horizontal="left" vertical="center" indent="1"/>
    </xf>
    <xf numFmtId="0" fontId="7" fillId="61" borderId="40" applyNumberFormat="0" applyProtection="0">
      <alignment horizontal="left" vertical="center" indent="1"/>
    </xf>
    <xf numFmtId="0" fontId="7" fillId="5" borderId="40" applyNumberFormat="0" applyProtection="0">
      <alignment horizontal="left" vertical="center" indent="1"/>
    </xf>
    <xf numFmtId="0" fontId="7" fillId="5" borderId="40" applyNumberFormat="0" applyProtection="0">
      <alignment horizontal="left" vertical="center" indent="1"/>
    </xf>
    <xf numFmtId="0" fontId="7" fillId="40" borderId="40" applyNumberFormat="0" applyProtection="0">
      <alignment horizontal="left" vertical="center" indent="1"/>
    </xf>
    <xf numFmtId="0" fontId="7" fillId="40" borderId="40" applyNumberFormat="0" applyProtection="0">
      <alignment horizontal="left" vertical="center" indent="1"/>
    </xf>
    <xf numFmtId="4" fontId="93" fillId="2" borderId="40" applyNumberFormat="0" applyProtection="0">
      <alignment vertical="center"/>
    </xf>
    <xf numFmtId="4" fontId="95" fillId="2" borderId="40" applyNumberFormat="0" applyProtection="0">
      <alignment vertical="center"/>
    </xf>
    <xf numFmtId="4" fontId="93" fillId="2" borderId="40" applyNumberFormat="0" applyProtection="0">
      <alignment horizontal="left" vertical="center" indent="1"/>
    </xf>
    <xf numFmtId="4" fontId="93" fillId="2" borderId="40" applyNumberFormat="0" applyProtection="0">
      <alignment horizontal="left" vertical="center" indent="1"/>
    </xf>
    <xf numFmtId="4" fontId="93" fillId="58" borderId="40" applyNumberFormat="0" applyProtection="0">
      <alignment horizontal="right" vertical="center"/>
    </xf>
    <xf numFmtId="4" fontId="95" fillId="58" borderId="40" applyNumberFormat="0" applyProtection="0">
      <alignment horizontal="right" vertical="center"/>
    </xf>
    <xf numFmtId="0" fontId="7" fillId="40" borderId="40" applyNumberFormat="0" applyProtection="0">
      <alignment horizontal="left" vertical="center" indent="1"/>
    </xf>
    <xf numFmtId="0" fontId="7" fillId="40" borderId="40" applyNumberFormat="0" applyProtection="0">
      <alignment horizontal="left" vertical="center" indent="1"/>
    </xf>
    <xf numFmtId="0" fontId="97" fillId="0" borderId="0"/>
    <xf numFmtId="4" fontId="98" fillId="58" borderId="40" applyNumberFormat="0" applyProtection="0">
      <alignment horizontal="right" vertical="center"/>
    </xf>
    <xf numFmtId="0" fontId="27" fillId="17" borderId="0" applyNumberFormat="0" applyBorder="0" applyAlignment="0" applyProtection="0"/>
    <xf numFmtId="0" fontId="24" fillId="16" borderId="0" applyNumberFormat="0" applyBorder="0" applyAlignment="0" applyProtection="0"/>
    <xf numFmtId="181" fontId="52" fillId="42" borderId="0">
      <alignment vertical="center"/>
    </xf>
    <xf numFmtId="0" fontId="26" fillId="0" borderId="0" applyNumberFormat="0" applyFill="0" applyBorder="0" applyAlignment="0" applyProtection="0"/>
    <xf numFmtId="0" fontId="26" fillId="0" borderId="0" applyNumberFormat="0" applyFill="0" applyBorder="0" applyAlignment="0" applyProtection="0"/>
    <xf numFmtId="181" fontId="18" fillId="62" borderId="0"/>
    <xf numFmtId="0" fontId="31" fillId="20" borderId="39" applyNumberFormat="0" applyAlignment="0" applyProtection="0"/>
    <xf numFmtId="0" fontId="25" fillId="34" borderId="39" applyNumberFormat="0" applyAlignment="0" applyProtection="0"/>
    <xf numFmtId="0" fontId="99" fillId="0" borderId="0" applyNumberFormat="0" applyFill="0" applyBorder="0" applyAlignment="0" applyProtection="0"/>
    <xf numFmtId="0" fontId="34" fillId="34" borderId="40" applyNumberFormat="0" applyAlignment="0" applyProtection="0"/>
    <xf numFmtId="0" fontId="5" fillId="56" borderId="41" applyNumberFormat="0">
      <alignment horizontal="center" vertical="center"/>
      <protection locked="0"/>
    </xf>
    <xf numFmtId="0" fontId="43" fillId="0" borderId="0"/>
    <xf numFmtId="0" fontId="43" fillId="0" borderId="0"/>
    <xf numFmtId="0" fontId="1" fillId="0" borderId="0"/>
    <xf numFmtId="0" fontId="100" fillId="0" borderId="33" applyNumberFormat="0" applyFill="0" applyBorder="0" applyAlignment="0" applyProtection="0">
      <alignment horizontal="left"/>
    </xf>
    <xf numFmtId="14" fontId="101" fillId="0" borderId="17" applyNumberFormat="0" applyFill="0" applyBorder="0" applyAlignment="0" applyProtection="0">
      <alignment horizontal="center"/>
    </xf>
    <xf numFmtId="0" fontId="7" fillId="0" borderId="0"/>
    <xf numFmtId="0" fontId="102" fillId="0" borderId="0">
      <alignment horizontal="center" vertical="center"/>
    </xf>
    <xf numFmtId="0" fontId="7" fillId="0" borderId="0" applyNumberFormat="0" applyFill="0" applyBorder="0" applyAlignment="0" applyProtection="0"/>
    <xf numFmtId="0" fontId="58" fillId="0" borderId="32" applyFont="0" applyFill="0" applyAlignment="0" applyProtection="0"/>
    <xf numFmtId="195" fontId="103" fillId="0" borderId="57" applyNumberFormat="0" applyFont="0" applyFill="0" applyAlignment="0" applyProtection="0"/>
    <xf numFmtId="0" fontId="21" fillId="0" borderId="47" applyNumberFormat="0" applyFill="0" applyAlignment="0" applyProtection="0"/>
    <xf numFmtId="0" fontId="21" fillId="0" borderId="47" applyNumberFormat="0" applyFill="0" applyAlignment="0" applyProtection="0"/>
    <xf numFmtId="0" fontId="32" fillId="0" borderId="43" applyNumberFormat="0" applyFill="0" applyAlignment="0" applyProtection="0"/>
    <xf numFmtId="0" fontId="31" fillId="20" borderId="39" applyNumberFormat="0" applyAlignment="0" applyProtection="0"/>
    <xf numFmtId="0" fontId="94" fillId="0" borderId="58" applyNumberFormat="0" applyFont="0" applyFill="0" applyAlignment="0" applyProtection="0">
      <alignment horizontal="right"/>
    </xf>
    <xf numFmtId="0" fontId="19" fillId="41" borderId="42" applyNumberFormat="0" applyAlignment="0" applyProtection="0"/>
    <xf numFmtId="0" fontId="26" fillId="0" borderId="0" applyNumberFormat="0" applyFill="0" applyBorder="0" applyAlignment="0" applyProtection="0"/>
    <xf numFmtId="0" fontId="36" fillId="0" borderId="0" applyNumberFormat="0" applyFill="0" applyBorder="0" applyAlignment="0" applyProtection="0"/>
    <xf numFmtId="0" fontId="26" fillId="0" borderId="0" applyNumberFormat="0" applyFill="0" applyBorder="0" applyAlignment="0" applyProtection="0"/>
    <xf numFmtId="0" fontId="58" fillId="0" borderId="0" applyFont="0" applyFill="0" applyBorder="0" applyAlignment="0" applyProtection="0"/>
    <xf numFmtId="0" fontId="19" fillId="41" borderId="42" applyNumberFormat="0" applyAlignment="0" applyProtection="0"/>
    <xf numFmtId="0" fontId="104" fillId="63" borderId="0"/>
    <xf numFmtId="0" fontId="35" fillId="0" borderId="0" applyNumberFormat="0" applyFill="0" applyBorder="0" applyAlignment="0" applyProtection="0"/>
    <xf numFmtId="181" fontId="52" fillId="64" borderId="0" applyNumberFormat="0">
      <alignment vertical="center"/>
    </xf>
    <xf numFmtId="181" fontId="105" fillId="37" borderId="0" applyNumberFormat="0">
      <alignment vertical="center"/>
    </xf>
    <xf numFmtId="181" fontId="106" fillId="0" borderId="0" applyNumberFormat="0">
      <alignment vertical="center"/>
    </xf>
    <xf numFmtId="181" fontId="18" fillId="0" borderId="0" applyNumberFormat="0">
      <alignment vertical="center"/>
    </xf>
    <xf numFmtId="0" fontId="35" fillId="0" borderId="0" applyNumberFormat="0" applyFill="0" applyBorder="0" applyAlignment="0" applyProtection="0"/>
    <xf numFmtId="0" fontId="35" fillId="0" borderId="0" applyNumberFormat="0" applyFill="0" applyBorder="0" applyAlignment="0" applyProtection="0"/>
    <xf numFmtId="0" fontId="28" fillId="0" borderId="34" applyNumberFormat="0" applyFill="0" applyAlignment="0" applyProtection="0"/>
    <xf numFmtId="0" fontId="29" fillId="0" borderId="35" applyNumberFormat="0" applyFill="0" applyAlignment="0" applyProtection="0"/>
    <xf numFmtId="0" fontId="30" fillId="0" borderId="36"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107" fillId="0" borderId="0">
      <alignment vertical="center"/>
    </xf>
    <xf numFmtId="0" fontId="35" fillId="0" borderId="0" applyNumberFormat="0" applyFill="0" applyBorder="0" applyAlignment="0" applyProtection="0"/>
    <xf numFmtId="0" fontId="28" fillId="0" borderId="34" applyNumberFormat="0" applyFill="0" applyAlignment="0" applyProtection="0"/>
    <xf numFmtId="0" fontId="29" fillId="0" borderId="35" applyNumberFormat="0" applyFill="0" applyAlignment="0" applyProtection="0"/>
    <xf numFmtId="0" fontId="30" fillId="0" borderId="36" applyNumberFormat="0" applyFill="0" applyAlignment="0" applyProtection="0"/>
    <xf numFmtId="188" fontId="98" fillId="0" borderId="0" applyNumberFormat="0" applyFill="0" applyBorder="0" applyAlignment="0" applyProtection="0"/>
    <xf numFmtId="195" fontId="103" fillId="0" borderId="59" applyNumberFormat="0" applyFont="0" applyFill="0" applyAlignment="0" applyProtection="0"/>
    <xf numFmtId="0" fontId="21" fillId="0" borderId="47" applyNumberFormat="0" applyFill="0" applyAlignment="0" applyProtection="0"/>
    <xf numFmtId="0" fontId="21" fillId="0" borderId="47" applyNumberFormat="0" applyFill="0" applyAlignment="0" applyProtection="0"/>
    <xf numFmtId="0" fontId="21" fillId="0" borderId="47" applyNumberFormat="0" applyFill="0" applyAlignment="0" applyProtection="0"/>
    <xf numFmtId="0" fontId="21" fillId="0" borderId="47" applyNumberFormat="0" applyFill="0" applyAlignment="0" applyProtection="0"/>
    <xf numFmtId="0" fontId="58" fillId="0" borderId="60" applyFont="0" applyFill="0" applyAlignment="0" applyProtection="0"/>
    <xf numFmtId="0" fontId="104" fillId="63" borderId="0"/>
    <xf numFmtId="0" fontId="34" fillId="34" borderId="40" applyNumberFormat="0" applyAlignment="0" applyProtection="0"/>
    <xf numFmtId="0" fontId="35" fillId="0" borderId="0" applyNumberFormat="0" applyFill="0" applyBorder="0" applyAlignment="0" applyProtection="0"/>
    <xf numFmtId="0" fontId="28" fillId="0" borderId="34" applyNumberFormat="0" applyFill="0" applyAlignment="0" applyProtection="0"/>
    <xf numFmtId="0" fontId="29" fillId="0" borderId="35" applyNumberFormat="0" applyFill="0" applyAlignment="0" applyProtection="0"/>
    <xf numFmtId="0" fontId="30" fillId="0" borderId="36"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24" fillId="16" borderId="0" applyNumberFormat="0" applyBorder="0" applyAlignment="0" applyProtection="0"/>
    <xf numFmtId="181" fontId="5" fillId="65" borderId="0" applyNumberFormat="0" applyFont="0" applyBorder="0" applyAlignment="0" applyProtection="0"/>
    <xf numFmtId="0" fontId="108" fillId="0" borderId="0">
      <alignment vertical="center"/>
    </xf>
    <xf numFmtId="0" fontId="34" fillId="34" borderId="40" applyNumberFormat="0" applyAlignment="0" applyProtection="0"/>
    <xf numFmtId="0" fontId="34" fillId="34" borderId="40" applyNumberFormat="0" applyAlignment="0" applyProtection="0"/>
    <xf numFmtId="206" fontId="58" fillId="0" borderId="0" applyFont="0" applyFill="0" applyBorder="0" applyAlignment="0" applyProtection="0"/>
    <xf numFmtId="207" fontId="43"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9" fillId="41" borderId="42" applyNumberFormat="0" applyAlignment="0" applyProtection="0"/>
    <xf numFmtId="0" fontId="32" fillId="0" borderId="43" applyNumberFormat="0" applyFill="0" applyAlignment="0" applyProtection="0"/>
    <xf numFmtId="0" fontId="109" fillId="0" borderId="0" applyNumberFormat="0" applyFill="0" applyBorder="0" applyAlignment="0" applyProtection="0"/>
    <xf numFmtId="208" fontId="43" fillId="0" borderId="0" applyFont="0" applyFill="0" applyBorder="0" applyAlignment="0" applyProtection="0"/>
    <xf numFmtId="209" fontId="43"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1" fillId="0" borderId="0"/>
    <xf numFmtId="0" fontId="7" fillId="23" borderId="0" applyNumberFormat="0" applyFont="0" applyBorder="0" applyAlignment="0" applyProtection="0"/>
    <xf numFmtId="0" fontId="19" fillId="41" borderId="42" applyNumberForma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14" fillId="0" borderId="0"/>
    <xf numFmtId="0" fontId="22" fillId="12" borderId="0" applyNumberFormat="0" applyBorder="0" applyAlignment="0" applyProtection="0"/>
    <xf numFmtId="0" fontId="5" fillId="0" borderId="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184" fontId="5" fillId="39" borderId="41" applyNumberFormat="0" applyFont="0" applyAlignment="0">
      <alignment vertical="center"/>
    </xf>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43" fillId="0" borderId="0" applyFont="0" applyFill="0" applyBorder="0" applyAlignment="0" applyProtection="0"/>
    <xf numFmtId="183" fontId="5" fillId="0" borderId="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1" fontId="7" fillId="0" borderId="0" applyFont="0" applyFill="0" applyBorder="0" applyAlignment="0" applyProtection="0"/>
    <xf numFmtId="41" fontId="43"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2" fillId="0" borderId="0" applyFont="0" applyFill="0" applyBorder="0" applyAlignment="0" applyProtection="0"/>
    <xf numFmtId="41" fontId="4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 fillId="0" borderId="0"/>
    <xf numFmtId="0" fontId="5" fillId="0" borderId="0"/>
    <xf numFmtId="0" fontId="5" fillId="0" borderId="0"/>
    <xf numFmtId="0" fontId="1" fillId="0" borderId="0"/>
    <xf numFmtId="0" fontId="5" fillId="0" borderId="0"/>
    <xf numFmtId="0" fontId="14" fillId="0" borderId="0"/>
    <xf numFmtId="0" fontId="14" fillId="0" borderId="0"/>
    <xf numFmtId="0" fontId="5" fillId="0" borderId="0"/>
    <xf numFmtId="0" fontId="5" fillId="0" borderId="0"/>
    <xf numFmtId="0" fontId="5"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 fillId="56" borderId="41" applyNumberFormat="0">
      <alignment horizontal="center" vertical="center"/>
      <protection locked="0"/>
    </xf>
    <xf numFmtId="0" fontId="1" fillId="0" borderId="0"/>
    <xf numFmtId="43" fontId="2" fillId="0" borderId="0" applyFont="0" applyFill="0" applyBorder="0" applyAlignment="0" applyProtection="0"/>
    <xf numFmtId="181" fontId="5" fillId="65" borderId="0" applyNumberFormat="0" applyFont="0" applyBorder="0" applyAlignment="0" applyProtection="0"/>
    <xf numFmtId="0" fontId="1" fillId="0" borderId="0"/>
    <xf numFmtId="17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2" fillId="15" borderId="0" applyNumberFormat="0" applyBorder="0" applyAlignment="0" applyProtection="0"/>
    <xf numFmtId="0" fontId="112" fillId="16" borderId="0" applyNumberFormat="0" applyBorder="0" applyAlignment="0" applyProtection="0"/>
    <xf numFmtId="0" fontId="112" fillId="17" borderId="0" applyNumberFormat="0" applyBorder="0" applyAlignment="0" applyProtection="0"/>
    <xf numFmtId="0" fontId="112" fillId="18" borderId="0" applyNumberFormat="0" applyBorder="0" applyAlignment="0" applyProtection="0"/>
    <xf numFmtId="0" fontId="112" fillId="19" borderId="0" applyNumberFormat="0" applyBorder="0" applyAlignment="0" applyProtection="0"/>
    <xf numFmtId="0" fontId="112" fillId="20" borderId="0" applyNumberFormat="0" applyBorder="0" applyAlignment="0" applyProtection="0"/>
    <xf numFmtId="0" fontId="113" fillId="15" borderId="0" applyNumberFormat="0" applyBorder="0" applyAlignment="0" applyProtection="0"/>
    <xf numFmtId="0" fontId="113" fillId="16" borderId="0" applyNumberFormat="0" applyBorder="0" applyAlignment="0" applyProtection="0"/>
    <xf numFmtId="0" fontId="113" fillId="17" borderId="0" applyNumberFormat="0" applyBorder="0" applyAlignment="0" applyProtection="0"/>
    <xf numFmtId="0" fontId="113" fillId="18" borderId="0" applyNumberFormat="0" applyBorder="0" applyAlignment="0" applyProtection="0"/>
    <xf numFmtId="0" fontId="113" fillId="19" borderId="0" applyNumberFormat="0" applyBorder="0" applyAlignment="0" applyProtection="0"/>
    <xf numFmtId="0" fontId="113" fillId="20" borderId="0" applyNumberFormat="0" applyBorder="0" applyAlignment="0" applyProtection="0"/>
    <xf numFmtId="0" fontId="112" fillId="21" borderId="0" applyNumberFormat="0" applyBorder="0" applyAlignment="0" applyProtection="0"/>
    <xf numFmtId="0" fontId="112" fillId="22" borderId="0" applyNumberFormat="0" applyBorder="0" applyAlignment="0" applyProtection="0"/>
    <xf numFmtId="0" fontId="112" fillId="23" borderId="0" applyNumberFormat="0" applyBorder="0" applyAlignment="0" applyProtection="0"/>
    <xf numFmtId="0" fontId="112" fillId="18"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3" fillId="21" borderId="0" applyNumberFormat="0" applyBorder="0" applyAlignment="0" applyProtection="0"/>
    <xf numFmtId="0" fontId="113" fillId="22" borderId="0" applyNumberFormat="0" applyBorder="0" applyAlignment="0" applyProtection="0"/>
    <xf numFmtId="0" fontId="113" fillId="23" borderId="0" applyNumberFormat="0" applyBorder="0" applyAlignment="0" applyProtection="0"/>
    <xf numFmtId="0" fontId="113" fillId="18" borderId="0" applyNumberFormat="0" applyBorder="0" applyAlignment="0" applyProtection="0"/>
    <xf numFmtId="0" fontId="113" fillId="21" borderId="0" applyNumberFormat="0" applyBorder="0" applyAlignment="0" applyProtection="0"/>
    <xf numFmtId="0" fontId="113" fillId="24"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114" fillId="25"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26" borderId="0" applyNumberFormat="0" applyBorder="0" applyAlignment="0" applyProtection="0"/>
    <xf numFmtId="0" fontId="114" fillId="27" borderId="0" applyNumberFormat="0" applyBorder="0" applyAlignment="0" applyProtection="0"/>
    <xf numFmtId="0" fontId="114" fillId="28" borderId="0" applyNumberFormat="0" applyBorder="0" applyAlignment="0" applyProtection="0"/>
    <xf numFmtId="0" fontId="20" fillId="25" borderId="0" applyNumberFormat="0" applyBorder="0" applyAlignment="0" applyProtection="0"/>
    <xf numFmtId="0" fontId="115" fillId="25" borderId="0" applyNumberFormat="0" applyBorder="0" applyAlignment="0" applyProtection="0"/>
    <xf numFmtId="0" fontId="20" fillId="22" borderId="0" applyNumberFormat="0" applyBorder="0" applyAlignment="0" applyProtection="0"/>
    <xf numFmtId="0" fontId="115" fillId="22" borderId="0" applyNumberFormat="0" applyBorder="0" applyAlignment="0" applyProtection="0"/>
    <xf numFmtId="0" fontId="20" fillId="23" borderId="0" applyNumberFormat="0" applyBorder="0" applyAlignment="0" applyProtection="0"/>
    <xf numFmtId="0" fontId="115" fillId="23" borderId="0" applyNumberFormat="0" applyBorder="0" applyAlignment="0" applyProtection="0"/>
    <xf numFmtId="0" fontId="20" fillId="26" borderId="0" applyNumberFormat="0" applyBorder="0" applyAlignment="0" applyProtection="0"/>
    <xf numFmtId="0" fontId="115" fillId="26" borderId="0" applyNumberFormat="0" applyBorder="0" applyAlignment="0" applyProtection="0"/>
    <xf numFmtId="0" fontId="20" fillId="27" borderId="0" applyNumberFormat="0" applyBorder="0" applyAlignment="0" applyProtection="0"/>
    <xf numFmtId="0" fontId="115" fillId="27" borderId="0" applyNumberFormat="0" applyBorder="0" applyAlignment="0" applyProtection="0"/>
    <xf numFmtId="0" fontId="20" fillId="28" borderId="0" applyNumberFormat="0" applyBorder="0" applyAlignment="0" applyProtection="0"/>
    <xf numFmtId="0" fontId="115" fillId="2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25" fillId="34" borderId="39" applyNumberFormat="0" applyAlignment="0" applyProtection="0"/>
    <xf numFmtId="0" fontId="116" fillId="34" borderId="39" applyNumberFormat="0" applyAlignment="0" applyProtection="0"/>
    <xf numFmtId="0" fontId="36" fillId="0" borderId="0" applyNumberFormat="0" applyFill="0" applyBorder="0" applyAlignment="0" applyProtection="0"/>
    <xf numFmtId="0" fontId="117" fillId="20" borderId="39" applyNumberFormat="0" applyAlignment="0" applyProtection="0"/>
    <xf numFmtId="0" fontId="25" fillId="34" borderId="39" applyNumberFormat="0" applyAlignment="0" applyProtection="0"/>
    <xf numFmtId="0" fontId="32" fillId="0" borderId="43" applyNumberFormat="0" applyFill="0" applyAlignment="0" applyProtection="0"/>
    <xf numFmtId="0" fontId="118" fillId="0" borderId="0" applyNumberFormat="0" applyFill="0" applyBorder="0" applyAlignment="0" applyProtection="0"/>
    <xf numFmtId="0" fontId="119" fillId="0" borderId="34" applyNumberFormat="0" applyFill="0" applyAlignment="0" applyProtection="0"/>
    <xf numFmtId="0" fontId="120" fillId="0" borderId="35" applyNumberFormat="0" applyFill="0" applyAlignment="0" applyProtection="0"/>
    <xf numFmtId="0" fontId="121" fillId="0" borderId="36" applyNumberFormat="0" applyFill="0" applyAlignment="0" applyProtection="0"/>
    <xf numFmtId="0" fontId="121"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0" fontId="122" fillId="33" borderId="38" applyNumberFormat="0" applyFont="0" applyAlignment="0" applyProtection="0"/>
    <xf numFmtId="0" fontId="123" fillId="41" borderId="42" applyNumberFormat="0" applyAlignment="0" applyProtection="0"/>
    <xf numFmtId="0" fontId="31" fillId="20" borderId="39" applyNumberFormat="0" applyAlignment="0" applyProtection="0"/>
    <xf numFmtId="210" fontId="7" fillId="0" borderId="0" applyFont="0" applyFill="0" applyBorder="0" applyAlignment="0" applyProtection="0"/>
    <xf numFmtId="192" fontId="7" fillId="0" borderId="0" applyFont="0" applyFill="0" applyBorder="0" applyAlignment="0" applyProtection="0"/>
    <xf numFmtId="211" fontId="7" fillId="0" borderId="0" applyFont="0" applyFill="0" applyBorder="0" applyAlignment="0" applyProtection="0"/>
    <xf numFmtId="0" fontId="124" fillId="0" borderId="0" applyNumberFormat="0" applyFill="0" applyBorder="0" applyAlignment="0" applyProtection="0"/>
    <xf numFmtId="0" fontId="24" fillId="16" borderId="0" applyNumberFormat="0" applyBorder="0" applyAlignment="0" applyProtection="0"/>
    <xf numFmtId="0" fontId="125" fillId="16" borderId="0" applyNumberFormat="0" applyBorder="0" applyAlignment="0" applyProtection="0"/>
    <xf numFmtId="0" fontId="27" fillId="17" borderId="0" applyNumberFormat="0" applyBorder="0" applyAlignment="0" applyProtection="0"/>
    <xf numFmtId="0" fontId="126" fillId="17" borderId="0" applyNumberFormat="0" applyBorder="0" applyAlignment="0" applyProtection="0"/>
    <xf numFmtId="0" fontId="127" fillId="0" borderId="43" applyNumberFormat="0" applyFill="0" applyAlignment="0" applyProtection="0"/>
    <xf numFmtId="0" fontId="36" fillId="0" borderId="0" applyNumberFormat="0" applyFill="0" applyBorder="0" applyAlignment="0" applyProtection="0"/>
    <xf numFmtId="0" fontId="128" fillId="0" borderId="0" applyNumberFormat="0" applyFill="0" applyBorder="0" applyAlignment="0" applyProtection="0"/>
    <xf numFmtId="0" fontId="24" fillId="16" borderId="0" applyNumberFormat="0" applyBorder="0" applyAlignment="0" applyProtection="0"/>
    <xf numFmtId="0" fontId="129" fillId="33" borderId="38" applyNumberFormat="0" applyFont="0" applyAlignment="0" applyProtection="0"/>
    <xf numFmtId="0" fontId="114" fillId="29" borderId="0" applyNumberFormat="0" applyBorder="0" applyAlignment="0" applyProtection="0"/>
    <xf numFmtId="0" fontId="114" fillId="30" borderId="0" applyNumberFormat="0" applyBorder="0" applyAlignment="0" applyProtection="0"/>
    <xf numFmtId="0" fontId="114" fillId="31" borderId="0" applyNumberFormat="0" applyBorder="0" applyAlignment="0" applyProtection="0"/>
    <xf numFmtId="0" fontId="114" fillId="26" borderId="0" applyNumberFormat="0" applyBorder="0" applyAlignment="0" applyProtection="0"/>
    <xf numFmtId="0" fontId="114" fillId="27" borderId="0" applyNumberFormat="0" applyBorder="0" applyAlignment="0" applyProtection="0"/>
    <xf numFmtId="0" fontId="114" fillId="32" borderId="0" applyNumberFormat="0" applyBorder="0" applyAlignment="0" applyProtection="0"/>
    <xf numFmtId="0" fontId="130" fillId="17" borderId="0" applyNumberFormat="0" applyBorder="0" applyAlignment="0" applyProtection="0"/>
    <xf numFmtId="0" fontId="131" fillId="34" borderId="40" applyNumberFormat="0" applyAlignment="0" applyProtection="0"/>
    <xf numFmtId="0" fontId="21" fillId="0" borderId="47" applyNumberFormat="0" applyFill="0" applyAlignment="0" applyProtection="0"/>
    <xf numFmtId="0" fontId="132" fillId="0" borderId="47" applyNumberFormat="0" applyFill="0" applyAlignment="0" applyProtection="0"/>
    <xf numFmtId="0" fontId="19" fillId="41" borderId="42" applyNumberFormat="0" applyAlignment="0" applyProtection="0"/>
    <xf numFmtId="0" fontId="133" fillId="41" borderId="42" applyNumberFormat="0" applyAlignment="0" applyProtection="0"/>
    <xf numFmtId="0" fontId="32" fillId="0" borderId="43" applyNumberFormat="0" applyFill="0" applyAlignment="0" applyProtection="0"/>
    <xf numFmtId="0" fontId="134" fillId="0" borderId="43" applyNumberFormat="0" applyFill="0" applyAlignment="0" applyProtection="0"/>
    <xf numFmtId="0" fontId="135" fillId="0" borderId="0" applyNumberFormat="0" applyFill="0" applyBorder="0" applyAlignment="0" applyProtection="0"/>
    <xf numFmtId="0" fontId="43" fillId="33" borderId="38" applyNumberFormat="0" applyFont="0" applyAlignment="0" applyProtection="0"/>
    <xf numFmtId="0" fontId="136" fillId="33" borderId="38" applyNumberFormat="0" applyFont="0" applyAlignment="0" applyProtection="0"/>
    <xf numFmtId="165" fontId="5" fillId="0" borderId="0" applyFont="0" applyFill="0" applyBorder="0" applyAlignment="0" applyProtection="0"/>
    <xf numFmtId="166" fontId="7" fillId="0" borderId="0" applyFont="0" applyFill="0" applyBorder="0" applyAlignment="0" applyProtection="0"/>
    <xf numFmtId="0" fontId="33" fillId="48" borderId="0" applyNumberFormat="0" applyBorder="0" applyAlignment="0" applyProtection="0"/>
    <xf numFmtId="0" fontId="137" fillId="48" borderId="0" applyNumberFormat="0" applyBorder="0" applyAlignment="0" applyProtection="0"/>
    <xf numFmtId="0" fontId="33" fillId="48" borderId="0" applyNumberFormat="0" applyBorder="0" applyAlignment="0" applyProtection="0"/>
    <xf numFmtId="0" fontId="129" fillId="0" borderId="0"/>
    <xf numFmtId="0" fontId="43" fillId="0" borderId="0"/>
    <xf numFmtId="0" fontId="7" fillId="0" borderId="0"/>
    <xf numFmtId="0" fontId="14" fillId="0" borderId="0"/>
    <xf numFmtId="0" fontId="14" fillId="0" borderId="0"/>
    <xf numFmtId="0" fontId="14" fillId="0" borderId="0"/>
    <xf numFmtId="0" fontId="14" fillId="0" borderId="0"/>
    <xf numFmtId="0" fontId="14"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138" fillId="0" borderId="0"/>
    <xf numFmtId="0" fontId="2" fillId="0" borderId="0"/>
    <xf numFmtId="0" fontId="5" fillId="0" borderId="0"/>
    <xf numFmtId="0" fontId="14" fillId="0" borderId="0"/>
    <xf numFmtId="0" fontId="139" fillId="0" borderId="47" applyNumberFormat="0" applyFill="0" applyAlignment="0" applyProtection="0"/>
    <xf numFmtId="0" fontId="43" fillId="33" borderId="38" applyNumberFormat="0" applyFont="0" applyAlignment="0" applyProtection="0"/>
    <xf numFmtId="0" fontId="136" fillId="33" borderId="38" applyNumberFormat="0" applyFont="0" applyAlignment="0" applyProtection="0"/>
    <xf numFmtId="0" fontId="28" fillId="0" borderId="34" applyNumberFormat="0" applyFill="0" applyAlignment="0" applyProtection="0"/>
    <xf numFmtId="0" fontId="140" fillId="0" borderId="34" applyNumberFormat="0" applyFill="0" applyAlignment="0" applyProtection="0"/>
    <xf numFmtId="0" fontId="29" fillId="0" borderId="35" applyNumberFormat="0" applyFill="0" applyAlignment="0" applyProtection="0"/>
    <xf numFmtId="0" fontId="141" fillId="0" borderId="35" applyNumberFormat="0" applyFill="0" applyAlignment="0" applyProtection="0"/>
    <xf numFmtId="0" fontId="30" fillId="0" borderId="36" applyNumberFormat="0" applyFill="0" applyAlignment="0" applyProtection="0"/>
    <xf numFmtId="0" fontId="142" fillId="0" borderId="36" applyNumberFormat="0" applyFill="0" applyAlignment="0" applyProtection="0"/>
    <xf numFmtId="0" fontId="30" fillId="0" borderId="0" applyNumberFormat="0" applyFill="0" applyBorder="0" applyAlignment="0" applyProtection="0"/>
    <xf numFmtId="0" fontId="142" fillId="0" borderId="0" applyNumberFormat="0" applyFill="0" applyBorder="0" applyAlignment="0" applyProtection="0"/>
    <xf numFmtId="0" fontId="35" fillId="0" borderId="0" applyNumberFormat="0" applyFill="0" applyBorder="0" applyAlignment="0" applyProtection="0"/>
    <xf numFmtId="0" fontId="143"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0" fontId="20" fillId="29" borderId="0" applyNumberFormat="0" applyBorder="0" applyAlignment="0" applyProtection="0"/>
    <xf numFmtId="0" fontId="115" fillId="29" borderId="0" applyNumberFormat="0" applyBorder="0" applyAlignment="0" applyProtection="0"/>
    <xf numFmtId="0" fontId="20" fillId="30" borderId="0" applyNumberFormat="0" applyBorder="0" applyAlignment="0" applyProtection="0"/>
    <xf numFmtId="0" fontId="115" fillId="30" borderId="0" applyNumberFormat="0" applyBorder="0" applyAlignment="0" applyProtection="0"/>
    <xf numFmtId="0" fontId="20" fillId="31" borderId="0" applyNumberFormat="0" applyBorder="0" applyAlignment="0" applyProtection="0"/>
    <xf numFmtId="0" fontId="115" fillId="31" borderId="0" applyNumberFormat="0" applyBorder="0" applyAlignment="0" applyProtection="0"/>
    <xf numFmtId="0" fontId="20" fillId="26" borderId="0" applyNumberFormat="0" applyBorder="0" applyAlignment="0" applyProtection="0"/>
    <xf numFmtId="0" fontId="115" fillId="26" borderId="0" applyNumberFormat="0" applyBorder="0" applyAlignment="0" applyProtection="0"/>
    <xf numFmtId="0" fontId="20" fillId="27" borderId="0" applyNumberFormat="0" applyBorder="0" applyAlignment="0" applyProtection="0"/>
    <xf numFmtId="0" fontId="115" fillId="27" borderId="0" applyNumberFormat="0" applyBorder="0" applyAlignment="0" applyProtection="0"/>
    <xf numFmtId="0" fontId="20" fillId="32" borderId="0" applyNumberFormat="0" applyBorder="0" applyAlignment="0" applyProtection="0"/>
    <xf numFmtId="0" fontId="115" fillId="32" borderId="0" applyNumberFormat="0" applyBorder="0" applyAlignment="0" applyProtection="0"/>
    <xf numFmtId="0" fontId="144"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145" fillId="0" borderId="0" applyNumberFormat="0" applyFill="0" applyBorder="0" applyAlignment="0" applyProtection="0"/>
    <xf numFmtId="0" fontId="146" fillId="48" borderId="0" applyNumberFormat="0" applyBorder="0" applyAlignment="0" applyProtection="0"/>
    <xf numFmtId="0" fontId="31" fillId="20" borderId="39" applyNumberFormat="0" applyAlignment="0" applyProtection="0"/>
    <xf numFmtId="0" fontId="147" fillId="20" borderId="39" applyNumberFormat="0" applyAlignment="0" applyProtection="0"/>
    <xf numFmtId="0" fontId="34" fillId="34" borderId="40" applyNumberFormat="0" applyAlignment="0" applyProtection="0"/>
    <xf numFmtId="0" fontId="7" fillId="0" borderId="0"/>
    <xf numFmtId="0" fontId="148" fillId="34" borderId="39" applyNumberFormat="0" applyAlignment="0" applyProtection="0"/>
    <xf numFmtId="9" fontId="2" fillId="0" borderId="0" applyFont="0" applyFill="0" applyBorder="0" applyAlignment="0" applyProtection="0"/>
    <xf numFmtId="9" fontId="129" fillId="0" borderId="0" applyFont="0" applyFill="0" applyBorder="0" applyAlignment="0" applyProtection="0"/>
    <xf numFmtId="0" fontId="26" fillId="0" borderId="0" applyNumberFormat="0" applyFill="0" applyBorder="0" applyAlignment="0" applyProtection="0"/>
    <xf numFmtId="0" fontId="35" fillId="0" borderId="0" applyNumberFormat="0" applyFill="0" applyBorder="0" applyAlignment="0" applyProtection="0"/>
    <xf numFmtId="0" fontId="28" fillId="0" borderId="34" applyNumberFormat="0" applyFill="0" applyAlignment="0" applyProtection="0"/>
    <xf numFmtId="0" fontId="29" fillId="0" borderId="35" applyNumberFormat="0" applyFill="0" applyAlignment="0" applyProtection="0"/>
    <xf numFmtId="0" fontId="30" fillId="0" borderId="36" applyNumberFormat="0" applyFill="0" applyAlignment="0" applyProtection="0"/>
    <xf numFmtId="0" fontId="30" fillId="0" borderId="0" applyNumberFormat="0" applyFill="0" applyBorder="0" applyAlignment="0" applyProtection="0"/>
    <xf numFmtId="0" fontId="34" fillId="34" borderId="40" applyNumberFormat="0" applyAlignment="0" applyProtection="0"/>
    <xf numFmtId="0" fontId="149" fillId="34" borderId="40" applyNumberFormat="0" applyAlignment="0" applyProtection="0"/>
    <xf numFmtId="0" fontId="19" fillId="41" borderId="42" applyNumberFormat="0" applyAlignment="0" applyProtection="0"/>
    <xf numFmtId="0" fontId="23" fillId="0" borderId="0"/>
    <xf numFmtId="0" fontId="23" fillId="0" borderId="0"/>
    <xf numFmtId="0" fontId="23" fillId="0" borderId="0"/>
    <xf numFmtId="0" fontId="23" fillId="0" borderId="0"/>
    <xf numFmtId="0" fontId="150" fillId="66" borderId="0" applyNumberFormat="0" applyBorder="0" applyAlignment="0" applyProtection="0"/>
    <xf numFmtId="0" fontId="17" fillId="67" borderId="0" applyNumberFormat="0" applyBorder="0" applyAlignment="0" applyProtection="0"/>
    <xf numFmtId="0" fontId="17" fillId="68" borderId="0" applyNumberFormat="0" applyBorder="0" applyAlignment="0" applyProtection="0"/>
    <xf numFmtId="0" fontId="2" fillId="0" borderId="0"/>
    <xf numFmtId="43" fontId="1" fillId="0" borderId="0" applyFont="0" applyFill="0" applyBorder="0" applyAlignment="0" applyProtection="0"/>
    <xf numFmtId="216" fontId="167" fillId="0" borderId="62" applyAlignment="0">
      <alignment vertical="center"/>
    </xf>
    <xf numFmtId="0" fontId="168" fillId="0" borderId="0"/>
    <xf numFmtId="9" fontId="168" fillId="0" borderId="0" applyFont="0" applyFill="0" applyBorder="0" applyAlignment="0" applyProtection="0"/>
    <xf numFmtId="43" fontId="168" fillId="0" borderId="0" applyFont="0" applyFill="0" applyBorder="0" applyAlignment="0" applyProtection="0"/>
    <xf numFmtId="217" fontId="167" fillId="0" borderId="62" applyAlignment="0">
      <alignment vertical="center"/>
    </xf>
    <xf numFmtId="0" fontId="1" fillId="0" borderId="0"/>
    <xf numFmtId="180" fontId="169" fillId="79" borderId="62">
      <alignment horizontal="center" vertical="center"/>
    </xf>
    <xf numFmtId="0" fontId="168" fillId="0" borderId="0"/>
    <xf numFmtId="0" fontId="170" fillId="0" borderId="0" applyNumberFormat="0" applyFill="0" applyBorder="0" applyAlignment="0" applyProtection="0">
      <alignment vertical="top"/>
      <protection locked="0"/>
    </xf>
    <xf numFmtId="0" fontId="7" fillId="0" borderId="0"/>
    <xf numFmtId="0" fontId="171" fillId="0" borderId="0">
      <alignment vertical="center"/>
    </xf>
    <xf numFmtId="217" fontId="172" fillId="81" borderId="62" applyAlignment="0">
      <alignment vertical="center"/>
      <protection locked="0"/>
    </xf>
    <xf numFmtId="0" fontId="172" fillId="82" borderId="62" applyNumberFormat="0" applyAlignment="0">
      <alignment vertical="center"/>
    </xf>
    <xf numFmtId="0" fontId="7" fillId="0" borderId="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1" fontId="7" fillId="0" borderId="0" applyFont="0" applyFill="0" applyBorder="0" applyAlignment="0" applyProtection="0"/>
    <xf numFmtId="41" fontId="43"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2" fillId="0" borderId="0" applyFont="0" applyFill="0" applyBorder="0" applyAlignment="0" applyProtection="0"/>
    <xf numFmtId="41" fontId="4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8"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1" fontId="7" fillId="0" borderId="0" applyFont="0" applyFill="0" applyBorder="0" applyAlignment="0" applyProtection="0"/>
    <xf numFmtId="41" fontId="43"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2" fillId="0" borderId="0" applyFont="0" applyFill="0" applyBorder="0" applyAlignment="0" applyProtection="0"/>
    <xf numFmtId="41" fontId="4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68" fillId="0" borderId="0" applyFont="0" applyFill="0" applyBorder="0" applyAlignment="0" applyProtection="0"/>
    <xf numFmtId="0" fontId="1" fillId="0" borderId="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0" fontId="7" fillId="0" borderId="0"/>
    <xf numFmtId="0" fontId="5" fillId="0" borderId="0"/>
    <xf numFmtId="0" fontId="138" fillId="0" borderId="0"/>
    <xf numFmtId="0" fontId="2" fillId="0" borderId="0"/>
    <xf numFmtId="0" fontId="231" fillId="0" borderId="0"/>
    <xf numFmtId="9" fontId="2" fillId="0" borderId="0" applyFont="0" applyFill="0" applyBorder="0" applyAlignment="0" applyProtection="0"/>
    <xf numFmtId="0" fontId="7" fillId="33" borderId="38" applyNumberFormat="0" applyFont="0" applyAlignment="0" applyProtection="0"/>
    <xf numFmtId="0" fontId="43" fillId="33" borderId="38" applyNumberFormat="0" applyFon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31" fillId="20" borderId="39" applyNumberFormat="0" applyAlignment="0" applyProtection="0"/>
    <xf numFmtId="0" fontId="31" fillId="20" borderId="39" applyNumberFormat="0" applyAlignment="0" applyProtection="0"/>
    <xf numFmtId="0" fontId="7" fillId="33" borderId="38" applyNumberFormat="0" applyFont="0" applyAlignment="0" applyProtection="0"/>
    <xf numFmtId="0" fontId="116" fillId="34" borderId="39" applyNumberFormat="0" applyAlignment="0" applyProtection="0"/>
    <xf numFmtId="0" fontId="43" fillId="33" borderId="38" applyNumberFormat="0" applyFont="0" applyAlignment="0" applyProtection="0"/>
    <xf numFmtId="0" fontId="25" fillId="34" borderId="39" applyNumberFormat="0" applyAlignment="0" applyProtection="0"/>
    <xf numFmtId="0" fontId="25" fillId="34" borderId="39" applyNumberFormat="0" applyAlignment="0" applyProtection="0"/>
    <xf numFmtId="0" fontId="7" fillId="5" borderId="40" applyNumberFormat="0">
      <alignment vertical="center"/>
    </xf>
    <xf numFmtId="0" fontId="25" fillId="34" borderId="39" applyNumberFormat="0" applyAlignment="0" applyProtection="0"/>
    <xf numFmtId="0" fontId="25" fillId="34" borderId="39" applyNumberFormat="0" applyAlignment="0" applyProtection="0"/>
    <xf numFmtId="0" fontId="43" fillId="33" borderId="3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0" fontId="122" fillId="33" borderId="38" applyNumberFormat="0" applyFont="0" applyAlignment="0" applyProtection="0"/>
    <xf numFmtId="0" fontId="31" fillId="20" borderId="39" applyNumberFormat="0" applyAlignment="0" applyProtection="0"/>
    <xf numFmtId="0" fontId="74" fillId="35" borderId="50"/>
    <xf numFmtId="0" fontId="7" fillId="35" borderId="51" applyNumberFormat="0" applyAlignment="0">
      <protection locked="0"/>
    </xf>
    <xf numFmtId="0" fontId="34" fillId="34" borderId="40" applyNumberFormat="0" applyAlignment="0" applyProtection="0"/>
    <xf numFmtId="0" fontId="31" fillId="20" borderId="39" applyNumberFormat="0" applyAlignment="0" applyProtection="0"/>
    <xf numFmtId="0" fontId="31" fillId="20" borderId="39" applyNumberFormat="0" applyAlignment="0" applyProtection="0"/>
    <xf numFmtId="0" fontId="25" fillId="34" borderId="39" applyNumberFormat="0" applyAlignment="0" applyProtection="0"/>
    <xf numFmtId="181" fontId="53" fillId="42" borderId="22" applyNumberFormat="0" applyBorder="0" applyAlignment="0">
      <alignment vertical="center" wrapText="1"/>
    </xf>
    <xf numFmtId="0" fontId="7" fillId="5" borderId="40" applyNumberFormat="0">
      <alignment vertical="center"/>
    </xf>
    <xf numFmtId="0" fontId="31" fillId="20" borderId="39" applyNumberFormat="0" applyAlignment="0" applyProtection="0"/>
    <xf numFmtId="0" fontId="7" fillId="35" borderId="51" applyNumberFormat="0" applyAlignment="0">
      <protection locked="0"/>
    </xf>
    <xf numFmtId="0" fontId="7" fillId="33" borderId="38" applyNumberFormat="0" applyFont="0" applyAlignment="0" applyProtection="0"/>
    <xf numFmtId="0" fontId="34" fillId="34" borderId="40" applyNumberFormat="0" applyAlignment="0" applyProtection="0"/>
    <xf numFmtId="0" fontId="31" fillId="20" borderId="39" applyNumberFormat="0" applyAlignment="0" applyProtection="0"/>
    <xf numFmtId="0" fontId="132" fillId="0" borderId="47" applyNumberFormat="0" applyFill="0" applyAlignment="0" applyProtection="0"/>
    <xf numFmtId="0" fontId="7" fillId="33" borderId="38" applyNumberFormat="0" applyFont="0" applyAlignment="0" applyProtection="0"/>
    <xf numFmtId="0" fontId="25" fillId="34" borderId="39" applyNumberFormat="0" applyAlignment="0" applyProtection="0"/>
    <xf numFmtId="0" fontId="34" fillId="34" borderId="40" applyNumberFormat="0" applyAlignment="0" applyProtection="0"/>
    <xf numFmtId="0" fontId="136" fillId="33" borderId="38" applyNumberFormat="0" applyFont="0" applyAlignment="0" applyProtection="0"/>
    <xf numFmtId="0" fontId="7" fillId="33" borderId="38" applyNumberFormat="0" applyFont="0" applyAlignment="0" applyProtection="0"/>
    <xf numFmtId="0" fontId="7" fillId="33" borderId="38" applyNumberFormat="0" applyFont="0" applyAlignment="0" applyProtection="0"/>
    <xf numFmtId="0" fontId="34" fillId="34" borderId="40" applyNumberFormat="0" applyAlignment="0" applyProtection="0"/>
    <xf numFmtId="4" fontId="93" fillId="35" borderId="40" applyNumberFormat="0" applyProtection="0">
      <alignment vertical="center"/>
    </xf>
    <xf numFmtId="4" fontId="95" fillId="35" borderId="40" applyNumberFormat="0" applyProtection="0">
      <alignment vertical="center"/>
    </xf>
    <xf numFmtId="4" fontId="93" fillId="35" borderId="40" applyNumberFormat="0" applyProtection="0">
      <alignment horizontal="left" vertical="center" indent="1"/>
    </xf>
    <xf numFmtId="4" fontId="93" fillId="35" borderId="40" applyNumberFormat="0" applyProtection="0">
      <alignment horizontal="left" vertical="center" indent="1"/>
    </xf>
    <xf numFmtId="0" fontId="34" fillId="34" borderId="40" applyNumberFormat="0" applyAlignment="0" applyProtection="0"/>
    <xf numFmtId="0" fontId="7" fillId="40" borderId="40" applyNumberFormat="0" applyProtection="0">
      <alignment horizontal="left" vertical="center" indent="1"/>
    </xf>
    <xf numFmtId="4" fontId="93" fillId="50" borderId="40" applyNumberFormat="0" applyProtection="0">
      <alignment horizontal="right" vertical="center"/>
    </xf>
    <xf numFmtId="4" fontId="93" fillId="42" borderId="40" applyNumberFormat="0" applyProtection="0">
      <alignment horizontal="right" vertical="center"/>
    </xf>
    <xf numFmtId="4" fontId="93" fillId="51" borderId="40" applyNumberFormat="0" applyProtection="0">
      <alignment horizontal="right" vertical="center"/>
    </xf>
    <xf numFmtId="4" fontId="93" fillId="44" borderId="40" applyNumberFormat="0" applyProtection="0">
      <alignment horizontal="right" vertical="center"/>
    </xf>
    <xf numFmtId="4" fontId="93" fillId="52" borderId="40" applyNumberFormat="0" applyProtection="0">
      <alignment horizontal="right" vertical="center"/>
    </xf>
    <xf numFmtId="4" fontId="93" fillId="53" borderId="40" applyNumberFormat="0" applyProtection="0">
      <alignment horizontal="right" vertical="center"/>
    </xf>
    <xf numFmtId="4" fontId="93" fillId="54" borderId="40" applyNumberFormat="0" applyProtection="0">
      <alignment horizontal="right" vertical="center"/>
    </xf>
    <xf numFmtId="4" fontId="93" fillId="55" borderId="40" applyNumberFormat="0" applyProtection="0">
      <alignment horizontal="right" vertical="center"/>
    </xf>
    <xf numFmtId="4" fontId="93" fillId="56" borderId="40" applyNumberFormat="0" applyProtection="0">
      <alignment horizontal="right" vertical="center"/>
    </xf>
    <xf numFmtId="0" fontId="136" fillId="33" borderId="38" applyNumberFormat="0" applyFont="0" applyAlignment="0" applyProtection="0"/>
    <xf numFmtId="4" fontId="92" fillId="57" borderId="40" applyNumberFormat="0" applyProtection="0">
      <alignment horizontal="left" vertical="center" indent="1"/>
    </xf>
    <xf numFmtId="4" fontId="93" fillId="58" borderId="56" applyNumberFormat="0" applyProtection="0">
      <alignment horizontal="left" vertical="center" indent="1"/>
    </xf>
    <xf numFmtId="0" fontId="7" fillId="40" borderId="40" applyNumberFormat="0" applyProtection="0">
      <alignment horizontal="left" vertical="center" indent="1"/>
    </xf>
    <xf numFmtId="4" fontId="93" fillId="58" borderId="40" applyNumberFormat="0" applyProtection="0">
      <alignment horizontal="left" vertical="center" indent="1"/>
    </xf>
    <xf numFmtId="4" fontId="93" fillId="60" borderId="40" applyNumberFormat="0" applyProtection="0">
      <alignment horizontal="left" vertical="center" indent="1"/>
    </xf>
    <xf numFmtId="0" fontId="7" fillId="60" borderId="40" applyNumberFormat="0" applyProtection="0">
      <alignment horizontal="left" vertical="center" indent="1"/>
    </xf>
    <xf numFmtId="0" fontId="7" fillId="61" borderId="40" applyNumberFormat="0" applyProtection="0">
      <alignment horizontal="left" vertical="center" indent="1"/>
    </xf>
    <xf numFmtId="0" fontId="7" fillId="61" borderId="40" applyNumberFormat="0" applyProtection="0">
      <alignment horizontal="left" vertical="center" indent="1"/>
    </xf>
    <xf numFmtId="0" fontId="7" fillId="5" borderId="40" applyNumberFormat="0" applyProtection="0">
      <alignment horizontal="left" vertical="center" indent="1"/>
    </xf>
    <xf numFmtId="0" fontId="7" fillId="5" borderId="40" applyNumberFormat="0" applyProtection="0">
      <alignment horizontal="left" vertical="center" indent="1"/>
    </xf>
    <xf numFmtId="0" fontId="7" fillId="40" borderId="40" applyNumberFormat="0" applyProtection="0">
      <alignment horizontal="left" vertical="center" indent="1"/>
    </xf>
    <xf numFmtId="0" fontId="7" fillId="40" borderId="40" applyNumberFormat="0" applyProtection="0">
      <alignment horizontal="left" vertical="center" indent="1"/>
    </xf>
    <xf numFmtId="4" fontId="93" fillId="2" borderId="40" applyNumberFormat="0" applyProtection="0">
      <alignment vertical="center"/>
    </xf>
    <xf numFmtId="4" fontId="95" fillId="2" borderId="40" applyNumberFormat="0" applyProtection="0">
      <alignment vertical="center"/>
    </xf>
    <xf numFmtId="4" fontId="93" fillId="2" borderId="40" applyNumberFormat="0" applyProtection="0">
      <alignment horizontal="left" vertical="center" indent="1"/>
    </xf>
    <xf numFmtId="4" fontId="93" fillId="2" borderId="40" applyNumberFormat="0" applyProtection="0">
      <alignment horizontal="left" vertical="center" indent="1"/>
    </xf>
    <xf numFmtId="4" fontId="93" fillId="58" borderId="40" applyNumberFormat="0" applyProtection="0">
      <alignment horizontal="right" vertical="center"/>
    </xf>
    <xf numFmtId="4" fontId="95" fillId="58" borderId="40" applyNumberFormat="0" applyProtection="0">
      <alignment horizontal="right" vertical="center"/>
    </xf>
    <xf numFmtId="0" fontId="7" fillId="40" borderId="40" applyNumberFormat="0" applyProtection="0">
      <alignment horizontal="left" vertical="center" indent="1"/>
    </xf>
    <xf numFmtId="0" fontId="7" fillId="40" borderId="40" applyNumberFormat="0" applyProtection="0">
      <alignment horizontal="left" vertical="center" indent="1"/>
    </xf>
    <xf numFmtId="4" fontId="98" fillId="58" borderId="40" applyNumberFormat="0" applyProtection="0">
      <alignment horizontal="right" vertical="center"/>
    </xf>
    <xf numFmtId="0" fontId="25" fillId="34" borderId="39" applyNumberFormat="0" applyAlignment="0" applyProtection="0"/>
    <xf numFmtId="0" fontId="34" fillId="34" borderId="40" applyNumberFormat="0" applyAlignment="0" applyProtection="0"/>
    <xf numFmtId="0" fontId="21" fillId="0" borderId="47" applyNumberFormat="0" applyFill="0" applyAlignment="0" applyProtection="0"/>
    <xf numFmtId="0" fontId="21" fillId="0" borderId="47" applyNumberFormat="0" applyFill="0" applyAlignment="0" applyProtection="0"/>
    <xf numFmtId="0" fontId="31" fillId="20" borderId="39" applyNumberFormat="0" applyAlignment="0" applyProtection="0"/>
    <xf numFmtId="0" fontId="34" fillId="34" borderId="40" applyNumberFormat="0" applyAlignment="0" applyProtection="0"/>
    <xf numFmtId="4" fontId="93" fillId="35" borderId="40" applyNumberFormat="0" applyProtection="0">
      <alignment vertical="center"/>
    </xf>
    <xf numFmtId="4" fontId="95" fillId="35" borderId="40" applyNumberFormat="0" applyProtection="0">
      <alignment vertical="center"/>
    </xf>
    <xf numFmtId="4" fontId="93" fillId="35" borderId="40" applyNumberFormat="0" applyProtection="0">
      <alignment horizontal="left" vertical="center" indent="1"/>
    </xf>
    <xf numFmtId="4" fontId="93" fillId="35" borderId="40" applyNumberFormat="0" applyProtection="0">
      <alignment horizontal="left" vertical="center" indent="1"/>
    </xf>
    <xf numFmtId="0" fontId="7" fillId="40" borderId="40" applyNumberFormat="0" applyProtection="0">
      <alignment horizontal="left" vertical="center" indent="1"/>
    </xf>
    <xf numFmtId="4" fontId="93" fillId="50" borderId="40" applyNumberFormat="0" applyProtection="0">
      <alignment horizontal="right" vertical="center"/>
    </xf>
    <xf numFmtId="4" fontId="93" fillId="42" borderId="40" applyNumberFormat="0" applyProtection="0">
      <alignment horizontal="right" vertical="center"/>
    </xf>
    <xf numFmtId="4" fontId="93" fillId="51" borderId="40" applyNumberFormat="0" applyProtection="0">
      <alignment horizontal="right" vertical="center"/>
    </xf>
    <xf numFmtId="4" fontId="93" fillId="44" borderId="40" applyNumberFormat="0" applyProtection="0">
      <alignment horizontal="right" vertical="center"/>
    </xf>
    <xf numFmtId="4" fontId="93" fillId="52" borderId="40" applyNumberFormat="0" applyProtection="0">
      <alignment horizontal="right" vertical="center"/>
    </xf>
    <xf numFmtId="4" fontId="93" fillId="53" borderId="40" applyNumberFormat="0" applyProtection="0">
      <alignment horizontal="right" vertical="center"/>
    </xf>
    <xf numFmtId="4" fontId="93" fillId="54" borderId="40" applyNumberFormat="0" applyProtection="0">
      <alignment horizontal="right" vertical="center"/>
    </xf>
    <xf numFmtId="4" fontId="93" fillId="55" borderId="40" applyNumberFormat="0" applyProtection="0">
      <alignment horizontal="right" vertical="center"/>
    </xf>
    <xf numFmtId="4" fontId="93" fillId="56" borderId="40" applyNumberFormat="0" applyProtection="0">
      <alignment horizontal="right" vertical="center"/>
    </xf>
    <xf numFmtId="4" fontId="92" fillId="57" borderId="40" applyNumberFormat="0" applyProtection="0">
      <alignment horizontal="left" vertical="center" indent="1"/>
    </xf>
    <xf numFmtId="4" fontId="93" fillId="58" borderId="56" applyNumberFormat="0" applyProtection="0">
      <alignment horizontal="left" vertical="center" indent="1"/>
    </xf>
    <xf numFmtId="0" fontId="7" fillId="40" borderId="40" applyNumberFormat="0" applyProtection="0">
      <alignment horizontal="left" vertical="center" indent="1"/>
    </xf>
    <xf numFmtId="4" fontId="93" fillId="58" borderId="40" applyNumberFormat="0" applyProtection="0">
      <alignment horizontal="left" vertical="center" indent="1"/>
    </xf>
    <xf numFmtId="4" fontId="93" fillId="60" borderId="40" applyNumberFormat="0" applyProtection="0">
      <alignment horizontal="left" vertical="center" indent="1"/>
    </xf>
    <xf numFmtId="0" fontId="7" fillId="60" borderId="40" applyNumberFormat="0" applyProtection="0">
      <alignment horizontal="left" vertical="center" indent="1"/>
    </xf>
    <xf numFmtId="0" fontId="7" fillId="60" borderId="40" applyNumberFormat="0" applyProtection="0">
      <alignment horizontal="left" vertical="center" indent="1"/>
    </xf>
    <xf numFmtId="0" fontId="7" fillId="61" borderId="40" applyNumberFormat="0" applyProtection="0">
      <alignment horizontal="left" vertical="center" indent="1"/>
    </xf>
    <xf numFmtId="0" fontId="7" fillId="61" borderId="40" applyNumberFormat="0" applyProtection="0">
      <alignment horizontal="left" vertical="center" indent="1"/>
    </xf>
    <xf numFmtId="0" fontId="7" fillId="5" borderId="40" applyNumberFormat="0" applyProtection="0">
      <alignment horizontal="left" vertical="center" indent="1"/>
    </xf>
    <xf numFmtId="0" fontId="7" fillId="5" borderId="40" applyNumberFormat="0" applyProtection="0">
      <alignment horizontal="left" vertical="center" indent="1"/>
    </xf>
    <xf numFmtId="0" fontId="7" fillId="40" borderId="40" applyNumberFormat="0" applyProtection="0">
      <alignment horizontal="left" vertical="center" indent="1"/>
    </xf>
    <xf numFmtId="0" fontId="7" fillId="40" borderId="40" applyNumberFormat="0" applyProtection="0">
      <alignment horizontal="left" vertical="center" indent="1"/>
    </xf>
    <xf numFmtId="4" fontId="93" fillId="2" borderId="40" applyNumberFormat="0" applyProtection="0">
      <alignment vertical="center"/>
    </xf>
    <xf numFmtId="4" fontId="95" fillId="2" borderId="40" applyNumberFormat="0" applyProtection="0">
      <alignment vertical="center"/>
    </xf>
    <xf numFmtId="4" fontId="93" fillId="2" borderId="40" applyNumberFormat="0" applyProtection="0">
      <alignment horizontal="left" vertical="center" indent="1"/>
    </xf>
    <xf numFmtId="4" fontId="93" fillId="2" borderId="40" applyNumberFormat="0" applyProtection="0">
      <alignment horizontal="left" vertical="center" indent="1"/>
    </xf>
    <xf numFmtId="4" fontId="93" fillId="58" borderId="40" applyNumberFormat="0" applyProtection="0">
      <alignment horizontal="right" vertical="center"/>
    </xf>
    <xf numFmtId="4" fontId="95" fillId="58" borderId="40" applyNumberFormat="0" applyProtection="0">
      <alignment horizontal="right" vertical="center"/>
    </xf>
    <xf numFmtId="0" fontId="7" fillId="40" borderId="40" applyNumberFormat="0" applyProtection="0">
      <alignment horizontal="left" vertical="center" indent="1"/>
    </xf>
    <xf numFmtId="0" fontId="7" fillId="40" borderId="40" applyNumberFormat="0" applyProtection="0">
      <alignment horizontal="left" vertical="center" indent="1"/>
    </xf>
    <xf numFmtId="4" fontId="98" fillId="58" borderId="40" applyNumberFormat="0" applyProtection="0">
      <alignment horizontal="right" vertical="center"/>
    </xf>
    <xf numFmtId="0" fontId="147" fillId="20" borderId="39" applyNumberFormat="0" applyAlignment="0" applyProtection="0"/>
    <xf numFmtId="0" fontId="25" fillId="34" borderId="39" applyNumberFormat="0" applyAlignment="0" applyProtection="0"/>
    <xf numFmtId="0" fontId="21" fillId="0" borderId="47" applyNumberFormat="0" applyFill="0" applyAlignment="0" applyProtection="0"/>
    <xf numFmtId="0" fontId="21" fillId="0" borderId="47" applyNumberFormat="0" applyFill="0" applyAlignment="0" applyProtection="0"/>
    <xf numFmtId="0" fontId="31" fillId="20" borderId="39" applyNumberFormat="0" applyAlignment="0" applyProtection="0"/>
    <xf numFmtId="0" fontId="21" fillId="0" borderId="47" applyNumberFormat="0" applyFill="0" applyAlignment="0" applyProtection="0"/>
    <xf numFmtId="0" fontId="21" fillId="0" borderId="47" applyNumberFormat="0" applyFill="0" applyAlignment="0" applyProtection="0"/>
    <xf numFmtId="0" fontId="21" fillId="0" borderId="47" applyNumberFormat="0" applyFill="0" applyAlignment="0" applyProtection="0"/>
    <xf numFmtId="0" fontId="21" fillId="0" borderId="47" applyNumberFormat="0" applyFill="0" applyAlignment="0" applyProtection="0"/>
    <xf numFmtId="0" fontId="58" fillId="0" borderId="60" applyFont="0" applyFill="0" applyAlignment="0" applyProtection="0"/>
    <xf numFmtId="0" fontId="34" fillId="34" borderId="40" applyNumberFormat="0" applyAlignment="0" applyProtection="0"/>
    <xf numFmtId="0" fontId="34" fillId="34" borderId="40" applyNumberFormat="0" applyAlignment="0" applyProtection="0"/>
    <xf numFmtId="0" fontId="21" fillId="0" borderId="47" applyNumberFormat="0" applyFill="0" applyAlignment="0" applyProtection="0"/>
    <xf numFmtId="0" fontId="21" fillId="0" borderId="47" applyNumberFormat="0" applyFill="0" applyAlignment="0" applyProtection="0"/>
    <xf numFmtId="0" fontId="21" fillId="0" borderId="47" applyNumberFormat="0" applyFill="0" applyAlignment="0" applyProtection="0"/>
    <xf numFmtId="0" fontId="21" fillId="0" borderId="47" applyNumberFormat="0" applyFill="0" applyAlignment="0" applyProtection="0"/>
    <xf numFmtId="0" fontId="58" fillId="0" borderId="60" applyFont="0" applyFill="0" applyAlignment="0" applyProtection="0"/>
    <xf numFmtId="0" fontId="34" fillId="34" borderId="40" applyNumberFormat="0" applyAlignment="0" applyProtection="0"/>
    <xf numFmtId="0" fontId="25" fillId="34" borderId="39" applyNumberFormat="0" applyAlignment="0" applyProtection="0"/>
    <xf numFmtId="0" fontId="34" fillId="34" borderId="40" applyNumberFormat="0" applyAlignment="0" applyProtection="0"/>
    <xf numFmtId="0" fontId="149" fillId="34" borderId="40" applyNumberFormat="0" applyAlignment="0" applyProtection="0"/>
    <xf numFmtId="0" fontId="25" fillId="34" borderId="39" applyNumberFormat="0" applyAlignment="0" applyProtection="0"/>
    <xf numFmtId="0" fontId="7" fillId="60" borderId="40" applyNumberFormat="0" applyProtection="0">
      <alignment horizontal="left" vertical="center" indent="1"/>
    </xf>
    <xf numFmtId="43" fontId="232" fillId="0" borderId="0" applyFont="0" applyFill="0" applyBorder="0" applyAlignment="0" applyProtection="0"/>
    <xf numFmtId="0" fontId="232" fillId="0" borderId="0"/>
    <xf numFmtId="9" fontId="232" fillId="0" borderId="0" applyFont="0" applyFill="0" applyBorder="0" applyAlignment="0" applyProtection="0"/>
    <xf numFmtId="0" fontId="58" fillId="0" borderId="32" applyFont="0" applyFill="0" applyAlignment="0" applyProtection="0"/>
    <xf numFmtId="43" fontId="1"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91" borderId="0" applyNumberFormat="0" applyBorder="0" applyAlignment="0" applyProtection="0"/>
    <xf numFmtId="0" fontId="2" fillId="39" borderId="0" applyNumberFormat="0" applyBorder="0" applyAlignment="0" applyProtection="0"/>
    <xf numFmtId="0" fontId="20" fillId="92" borderId="0" applyNumberFormat="0" applyBorder="0" applyAlignment="0" applyProtection="0"/>
    <xf numFmtId="0" fontId="20" fillId="9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93" borderId="0" applyNumberFormat="0" applyBorder="0" applyAlignment="0" applyProtection="0"/>
    <xf numFmtId="0" fontId="20" fillId="29" borderId="0" applyNumberFormat="0" applyBorder="0" applyAlignment="0" applyProtection="0"/>
    <xf numFmtId="0" fontId="20" fillId="93" borderId="0" applyNumberFormat="0" applyBorder="0" applyAlignment="0" applyProtection="0"/>
    <xf numFmtId="0" fontId="2" fillId="94" borderId="0" applyNumberFormat="0" applyBorder="0" applyAlignment="0" applyProtection="0"/>
    <xf numFmtId="0" fontId="2" fillId="95" borderId="0" applyNumberFormat="0" applyBorder="0" applyAlignment="0" applyProtection="0"/>
    <xf numFmtId="0" fontId="20" fillId="96" borderId="0" applyNumberFormat="0" applyBorder="0" applyAlignment="0" applyProtection="0"/>
    <xf numFmtId="0" fontId="20" fillId="97" borderId="0" applyNumberFormat="0" applyBorder="0" applyAlignment="0" applyProtection="0"/>
    <xf numFmtId="0" fontId="20" fillId="30"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 fillId="98" borderId="0" applyNumberFormat="0" applyBorder="0" applyAlignment="0" applyProtection="0"/>
    <xf numFmtId="0" fontId="2" fillId="99" borderId="0" applyNumberFormat="0" applyBorder="0" applyAlignment="0" applyProtection="0"/>
    <xf numFmtId="0" fontId="20" fillId="100" borderId="0" applyNumberFormat="0" applyBorder="0" applyAlignment="0" applyProtection="0"/>
    <xf numFmtId="0" fontId="20" fillId="101" borderId="0" applyNumberFormat="0" applyBorder="0" applyAlignment="0" applyProtection="0"/>
    <xf numFmtId="0" fontId="20" fillId="31" borderId="0" applyNumberFormat="0" applyBorder="0" applyAlignment="0" applyProtection="0"/>
    <xf numFmtId="0" fontId="20" fillId="101" borderId="0" applyNumberFormat="0" applyBorder="0" applyAlignment="0" applyProtection="0"/>
    <xf numFmtId="0" fontId="20" fillId="101"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0" fillId="95" borderId="0" applyNumberFormat="0" applyBorder="0" applyAlignment="0" applyProtection="0"/>
    <xf numFmtId="0" fontId="20" fillId="103" borderId="0" applyNumberFormat="0" applyBorder="0" applyAlignment="0" applyProtection="0"/>
    <xf numFmtId="0" fontId="20" fillId="26" borderId="0" applyNumberFormat="0" applyBorder="0" applyAlignment="0" applyProtection="0"/>
    <xf numFmtId="0" fontId="20" fillId="103" borderId="0" applyNumberFormat="0" applyBorder="0" applyAlignment="0" applyProtection="0"/>
    <xf numFmtId="0" fontId="20" fillId="103" borderId="0" applyNumberFormat="0" applyBorder="0" applyAlignment="0" applyProtection="0"/>
    <xf numFmtId="0" fontId="2" fillId="104" borderId="0" applyNumberFormat="0" applyBorder="0" applyAlignment="0" applyProtection="0"/>
    <xf numFmtId="0" fontId="2" fillId="105" borderId="0" applyNumberFormat="0" applyBorder="0" applyAlignment="0" applyProtection="0"/>
    <xf numFmtId="0" fontId="20" fillId="92" borderId="0" applyNumberFormat="0" applyBorder="0" applyAlignment="0" applyProtection="0"/>
    <xf numFmtId="0" fontId="20" fillId="92" borderId="0" applyNumberFormat="0" applyBorder="0" applyAlignment="0" applyProtection="0"/>
    <xf numFmtId="0" fontId="20" fillId="27" borderId="0" applyNumberFormat="0" applyBorder="0" applyAlignment="0" applyProtection="0"/>
    <xf numFmtId="0" fontId="20" fillId="92" borderId="0" applyNumberFormat="0" applyBorder="0" applyAlignment="0" applyProtection="0"/>
    <xf numFmtId="0" fontId="20" fillId="92"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0" fillId="108" borderId="0" applyNumberFormat="0" applyBorder="0" applyAlignment="0" applyProtection="0"/>
    <xf numFmtId="0" fontId="20" fillId="109" borderId="0" applyNumberFormat="0" applyBorder="0" applyAlignment="0" applyProtection="0"/>
    <xf numFmtId="0" fontId="20" fillId="32" borderId="0" applyNumberFormat="0" applyBorder="0" applyAlignment="0" applyProtection="0"/>
    <xf numFmtId="0" fontId="20" fillId="109" borderId="0" applyNumberFormat="0" applyBorder="0" applyAlignment="0" applyProtection="0"/>
    <xf numFmtId="0" fontId="20" fillId="109" borderId="0" applyNumberFormat="0" applyBorder="0" applyAlignment="0" applyProtection="0"/>
    <xf numFmtId="0" fontId="246" fillId="110" borderId="22" applyNumberFormat="0">
      <alignment horizontal="center"/>
    </xf>
    <xf numFmtId="0" fontId="246" fillId="110" borderId="22" applyNumberFormat="0">
      <alignment horizontal="center"/>
    </xf>
    <xf numFmtId="0" fontId="246" fillId="110" borderId="22" applyNumberFormat="0">
      <alignment horizontal="center"/>
    </xf>
    <xf numFmtId="0" fontId="246" fillId="110" borderId="22" applyNumberFormat="0">
      <alignment horizontal="center"/>
    </xf>
    <xf numFmtId="0" fontId="246" fillId="110" borderId="22" applyNumberFormat="0">
      <alignment horizontal="center"/>
    </xf>
    <xf numFmtId="0" fontId="246" fillId="110" borderId="22" applyNumberFormat="0">
      <alignment horizontal="center"/>
    </xf>
    <xf numFmtId="0" fontId="246" fillId="110" borderId="22" applyNumberFormat="0">
      <alignment horizontal="center"/>
    </xf>
    <xf numFmtId="0" fontId="246" fillId="110" borderId="22" applyNumberFormat="0">
      <alignment horizontal="center"/>
    </xf>
    <xf numFmtId="0" fontId="246" fillId="110" borderId="22" applyNumberFormat="0">
      <alignment horizontal="center"/>
    </xf>
    <xf numFmtId="0" fontId="246" fillId="110" borderId="22" applyNumberFormat="0">
      <alignment horizontal="center"/>
    </xf>
    <xf numFmtId="0" fontId="246" fillId="110" borderId="22" applyNumberFormat="0">
      <alignment horizontal="center"/>
    </xf>
    <xf numFmtId="0" fontId="246" fillId="110" borderId="22" applyNumberFormat="0">
      <alignment horizontal="center"/>
    </xf>
    <xf numFmtId="0" fontId="247" fillId="0" borderId="0">
      <protection locked="0"/>
    </xf>
    <xf numFmtId="9" fontId="248" fillId="6" borderId="22">
      <alignment horizontal="right"/>
    </xf>
    <xf numFmtId="9" fontId="248" fillId="6" borderId="22">
      <alignment horizontal="right"/>
    </xf>
    <xf numFmtId="9" fontId="248" fillId="6" borderId="22">
      <alignment horizontal="right"/>
    </xf>
    <xf numFmtId="9" fontId="248" fillId="6" borderId="22">
      <alignment horizontal="right"/>
    </xf>
    <xf numFmtId="9" fontId="248" fillId="6" borderId="22">
      <alignment horizontal="right"/>
    </xf>
    <xf numFmtId="9" fontId="248" fillId="6" borderId="22">
      <alignment horizontal="right"/>
    </xf>
    <xf numFmtId="9" fontId="248" fillId="6" borderId="22">
      <alignment horizontal="right"/>
    </xf>
    <xf numFmtId="9" fontId="248" fillId="6" borderId="22">
      <alignment horizontal="right"/>
    </xf>
    <xf numFmtId="9" fontId="248" fillId="6" borderId="22">
      <alignment horizontal="right"/>
    </xf>
    <xf numFmtId="9" fontId="248" fillId="6" borderId="22">
      <alignment horizontal="right"/>
    </xf>
    <xf numFmtId="9" fontId="248" fillId="6" borderId="22">
      <alignment horizontal="right"/>
    </xf>
    <xf numFmtId="9" fontId="248" fillId="6" borderId="22">
      <alignment horizontal="right"/>
    </xf>
    <xf numFmtId="0" fontId="248" fillId="6" borderId="22">
      <alignment horizontal="right"/>
    </xf>
    <xf numFmtId="167" fontId="248" fillId="6" borderId="22">
      <alignment horizontal="right"/>
    </xf>
    <xf numFmtId="167" fontId="248" fillId="6" borderId="22">
      <alignment horizontal="right"/>
    </xf>
    <xf numFmtId="167" fontId="248" fillId="6" borderId="22">
      <alignment horizontal="right"/>
    </xf>
    <xf numFmtId="167" fontId="248" fillId="6" borderId="22">
      <alignment horizontal="right"/>
    </xf>
    <xf numFmtId="167" fontId="248" fillId="6" borderId="22">
      <alignment horizontal="right"/>
    </xf>
    <xf numFmtId="167" fontId="248" fillId="6" borderId="22">
      <alignment horizontal="right"/>
    </xf>
    <xf numFmtId="167" fontId="248" fillId="6" borderId="22">
      <alignment horizontal="right"/>
    </xf>
    <xf numFmtId="167" fontId="248" fillId="6" borderId="22">
      <alignment horizontal="right"/>
    </xf>
    <xf numFmtId="167" fontId="248" fillId="6" borderId="22">
      <alignment horizontal="right"/>
    </xf>
    <xf numFmtId="167" fontId="248" fillId="6" borderId="22">
      <alignment horizontal="right"/>
    </xf>
    <xf numFmtId="167" fontId="248" fillId="6" borderId="22">
      <alignment horizontal="right"/>
    </xf>
    <xf numFmtId="167"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10" fontId="248" fillId="6" borderId="22">
      <alignment horizontal="right"/>
    </xf>
    <xf numFmtId="10" fontId="248" fillId="6" borderId="22">
      <alignment horizontal="right"/>
    </xf>
    <xf numFmtId="10" fontId="248" fillId="6" borderId="22">
      <alignment horizontal="right"/>
    </xf>
    <xf numFmtId="10" fontId="248" fillId="6" borderId="22">
      <alignment horizontal="right"/>
    </xf>
    <xf numFmtId="10" fontId="248" fillId="6" borderId="22">
      <alignment horizontal="right"/>
    </xf>
    <xf numFmtId="10" fontId="248" fillId="6" borderId="22">
      <alignment horizontal="right"/>
    </xf>
    <xf numFmtId="10" fontId="248" fillId="6" borderId="22">
      <alignment horizontal="right"/>
    </xf>
    <xf numFmtId="10" fontId="248" fillId="6" borderId="22">
      <alignment horizontal="right"/>
    </xf>
    <xf numFmtId="10" fontId="248" fillId="6" borderId="22">
      <alignment horizontal="right"/>
    </xf>
    <xf numFmtId="10" fontId="248" fillId="6" borderId="22">
      <alignment horizontal="right"/>
    </xf>
    <xf numFmtId="10" fontId="248" fillId="6" borderId="22">
      <alignment horizontal="right"/>
    </xf>
    <xf numFmtId="10" fontId="248" fillId="6" borderId="22">
      <alignment horizontal="right"/>
    </xf>
    <xf numFmtId="0" fontId="248" fillId="6" borderId="22">
      <alignment horizontal="right"/>
    </xf>
    <xf numFmtId="229" fontId="248" fillId="6" borderId="22">
      <alignment horizontal="right"/>
    </xf>
    <xf numFmtId="229" fontId="248" fillId="6" borderId="22">
      <alignment horizontal="right"/>
    </xf>
    <xf numFmtId="229" fontId="248" fillId="6" borderId="22">
      <alignment horizontal="right"/>
    </xf>
    <xf numFmtId="229" fontId="248" fillId="6" borderId="22">
      <alignment horizontal="right"/>
    </xf>
    <xf numFmtId="229" fontId="248" fillId="6" borderId="22">
      <alignment horizontal="right"/>
    </xf>
    <xf numFmtId="229" fontId="248" fillId="6" borderId="22">
      <alignment horizontal="right"/>
    </xf>
    <xf numFmtId="229" fontId="248" fillId="6" borderId="22">
      <alignment horizontal="right"/>
    </xf>
    <xf numFmtId="229" fontId="248" fillId="6" borderId="22">
      <alignment horizontal="right"/>
    </xf>
    <xf numFmtId="229" fontId="248" fillId="6" borderId="22">
      <alignment horizontal="right"/>
    </xf>
    <xf numFmtId="229" fontId="248" fillId="6" borderId="22">
      <alignment horizontal="right"/>
    </xf>
    <xf numFmtId="229" fontId="248" fillId="6" borderId="22">
      <alignment horizontal="right"/>
    </xf>
    <xf numFmtId="229"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230" fontId="248" fillId="6" borderId="22">
      <alignment horizontal="right"/>
    </xf>
    <xf numFmtId="230" fontId="248" fillId="6" borderId="22">
      <alignment horizontal="right"/>
    </xf>
    <xf numFmtId="230" fontId="248" fillId="6" borderId="22">
      <alignment horizontal="right"/>
    </xf>
    <xf numFmtId="230" fontId="248" fillId="6" borderId="22">
      <alignment horizontal="right"/>
    </xf>
    <xf numFmtId="230" fontId="248" fillId="6" borderId="22">
      <alignment horizontal="right"/>
    </xf>
    <xf numFmtId="230" fontId="248" fillId="6" borderId="22">
      <alignment horizontal="right"/>
    </xf>
    <xf numFmtId="230" fontId="248" fillId="6" borderId="22">
      <alignment horizontal="right"/>
    </xf>
    <xf numFmtId="230" fontId="248" fillId="6" borderId="22">
      <alignment horizontal="right"/>
    </xf>
    <xf numFmtId="230" fontId="248" fillId="6" borderId="22">
      <alignment horizontal="right"/>
    </xf>
    <xf numFmtId="230" fontId="248" fillId="6" borderId="22">
      <alignment horizontal="right"/>
    </xf>
    <xf numFmtId="230" fontId="248" fillId="6" borderId="22">
      <alignment horizontal="right"/>
    </xf>
    <xf numFmtId="23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231" fontId="248" fillId="6" borderId="22">
      <alignment horizontal="right"/>
    </xf>
    <xf numFmtId="231" fontId="248" fillId="6" borderId="22">
      <alignment horizontal="right"/>
    </xf>
    <xf numFmtId="231" fontId="248" fillId="6" borderId="22">
      <alignment horizontal="right"/>
    </xf>
    <xf numFmtId="231" fontId="248" fillId="6" borderId="22">
      <alignment horizontal="right"/>
    </xf>
    <xf numFmtId="231" fontId="248" fillId="6" borderId="22">
      <alignment horizontal="right"/>
    </xf>
    <xf numFmtId="231" fontId="248" fillId="6" borderId="22">
      <alignment horizontal="right"/>
    </xf>
    <xf numFmtId="231" fontId="248" fillId="6" borderId="22">
      <alignment horizontal="right"/>
    </xf>
    <xf numFmtId="231" fontId="248" fillId="6" borderId="22">
      <alignment horizontal="right"/>
    </xf>
    <xf numFmtId="231" fontId="248" fillId="6" borderId="22">
      <alignment horizontal="right"/>
    </xf>
    <xf numFmtId="231" fontId="248" fillId="6" borderId="22">
      <alignment horizontal="right"/>
    </xf>
    <xf numFmtId="231" fontId="248" fillId="6" borderId="22">
      <alignment horizontal="right"/>
    </xf>
    <xf numFmtId="231"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248" fillId="6" borderId="22">
      <alignment horizontal="right"/>
    </xf>
    <xf numFmtId="0" fontId="94" fillId="0" borderId="82">
      <alignment vertical="center"/>
      <protection locked="0"/>
    </xf>
    <xf numFmtId="0" fontId="249" fillId="106" borderId="0" applyNumberFormat="0" applyBorder="0" applyAlignment="0" applyProtection="0"/>
    <xf numFmtId="0" fontId="24" fillId="16" borderId="0" applyNumberFormat="0" applyBorder="0" applyAlignment="0" applyProtection="0"/>
    <xf numFmtId="0" fontId="250" fillId="96" borderId="0" applyNumberFormat="0" applyBorder="0" applyAlignment="0" applyProtection="0"/>
    <xf numFmtId="0" fontId="24" fillId="16" borderId="0" applyNumberFormat="0" applyBorder="0" applyAlignment="0" applyProtection="0"/>
    <xf numFmtId="232" fontId="7" fillId="0" borderId="0">
      <alignment horizontal="right"/>
    </xf>
    <xf numFmtId="232" fontId="7" fillId="0" borderId="0">
      <alignment horizontal="right"/>
    </xf>
    <xf numFmtId="0" fontId="251" fillId="0" borderId="83" applyNumberFormat="0" applyAlignment="0" applyProtection="0"/>
    <xf numFmtId="0" fontId="252" fillId="0" borderId="0" applyNumberFormat="0" applyAlignment="0" applyProtection="0"/>
    <xf numFmtId="0" fontId="253" fillId="0" borderId="0" applyNumberFormat="0" applyAlignment="0" applyProtection="0"/>
    <xf numFmtId="0" fontId="252" fillId="0" borderId="84" applyNumberFormat="0" applyAlignment="0" applyProtection="0"/>
    <xf numFmtId="0" fontId="254" fillId="0" borderId="0" applyNumberFormat="0" applyFill="0" applyBorder="0" applyAlignment="0" applyProtection="0"/>
    <xf numFmtId="0" fontId="89" fillId="0" borderId="76" applyNumberFormat="0" applyFont="0" applyFill="0" applyAlignment="0" applyProtection="0"/>
    <xf numFmtId="0" fontId="89" fillId="0" borderId="85" applyNumberFormat="0" applyFont="0" applyFill="0" applyAlignment="0" applyProtection="0"/>
    <xf numFmtId="0" fontId="89" fillId="0" borderId="85" applyNumberFormat="0" applyFont="0" applyFill="0" applyAlignment="0" applyProtection="0"/>
    <xf numFmtId="0" fontId="89" fillId="0" borderId="85" applyNumberFormat="0" applyFont="0" applyFill="0" applyAlignment="0" applyProtection="0"/>
    <xf numFmtId="0" fontId="89" fillId="0" borderId="85" applyNumberFormat="0" applyFont="0" applyFill="0" applyAlignment="0" applyProtection="0"/>
    <xf numFmtId="0" fontId="89" fillId="0" borderId="85" applyNumberFormat="0" applyFont="0" applyFill="0" applyAlignment="0" applyProtection="0"/>
    <xf numFmtId="0" fontId="89" fillId="0" borderId="85" applyNumberFormat="0" applyFont="0" applyFill="0" applyAlignment="0" applyProtection="0"/>
    <xf numFmtId="0" fontId="89" fillId="0" borderId="85" applyNumberFormat="0" applyFont="0" applyFill="0" applyAlignment="0" applyProtection="0"/>
    <xf numFmtId="0" fontId="89" fillId="0" borderId="85" applyNumberFormat="0" applyFont="0" applyFill="0" applyAlignment="0" applyProtection="0"/>
    <xf numFmtId="0" fontId="89" fillId="0" borderId="85" applyNumberFormat="0" applyFont="0" applyFill="0" applyAlignment="0" applyProtection="0"/>
    <xf numFmtId="0" fontId="89" fillId="0" borderId="85" applyNumberFormat="0" applyFont="0" applyFill="0" applyAlignment="0" applyProtection="0"/>
    <xf numFmtId="0" fontId="89" fillId="0" borderId="85" applyNumberFormat="0" applyFont="0" applyFill="0" applyAlignment="0" applyProtection="0"/>
    <xf numFmtId="0" fontId="89" fillId="0" borderId="85" applyNumberFormat="0" applyFont="0" applyFill="0" applyAlignment="0" applyProtection="0"/>
    <xf numFmtId="0" fontId="94" fillId="0" borderId="0" applyFont="0" applyFill="0" applyBorder="0" applyAlignment="0" applyProtection="0"/>
    <xf numFmtId="233" fontId="94" fillId="0" borderId="0" applyFont="0" applyFill="0" applyBorder="0" applyAlignment="0" applyProtection="0"/>
    <xf numFmtId="233" fontId="94" fillId="0" borderId="0" applyFont="0" applyFill="0" applyBorder="0" applyAlignment="0" applyProtection="0"/>
    <xf numFmtId="0" fontId="255" fillId="59" borderId="86">
      <alignment horizontal="center" vertical="center" wrapText="1" shrinkToFit="1"/>
      <protection locked="0"/>
    </xf>
    <xf numFmtId="0" fontId="94" fillId="0" borderId="0" applyFont="0" applyFill="0" applyBorder="0" applyAlignment="0" applyProtection="0"/>
    <xf numFmtId="234" fontId="94" fillId="0" borderId="0" applyFont="0" applyFill="0" applyBorder="0" applyAlignment="0" applyProtection="0"/>
    <xf numFmtId="0" fontId="202" fillId="37" borderId="86" applyNumberFormat="0" applyAlignment="0">
      <alignment vertical="center"/>
    </xf>
    <xf numFmtId="0" fontId="202" fillId="5" borderId="86" applyNumberFormat="0" applyAlignment="0">
      <alignment vertical="center"/>
    </xf>
    <xf numFmtId="0" fontId="202" fillId="5" borderId="86" applyNumberFormat="0" applyAlignment="0">
      <alignment vertical="center"/>
    </xf>
    <xf numFmtId="0" fontId="202" fillId="0" borderId="86" applyNumberFormat="0" applyAlignment="0">
      <alignment vertical="center"/>
    </xf>
    <xf numFmtId="217" fontId="202" fillId="0" borderId="86" applyAlignment="0">
      <alignment vertical="center"/>
    </xf>
    <xf numFmtId="235" fontId="202" fillId="0" borderId="86" applyAlignment="0">
      <alignment vertical="center"/>
    </xf>
    <xf numFmtId="236" fontId="202" fillId="0" borderId="86" applyAlignment="0">
      <alignment vertical="center"/>
    </xf>
    <xf numFmtId="3" fontId="202" fillId="0" borderId="86" applyAlignment="0">
      <alignment vertical="center"/>
    </xf>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25" fillId="34" borderId="39"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257" fillId="111" borderId="87" applyNumberFormat="0" applyAlignment="0" applyProtection="0"/>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258" fillId="112" borderId="39" applyNumberFormat="0" applyAlignment="0" applyProtection="0"/>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7" fillId="0" borderId="22">
      <alignment horizontal="center"/>
      <protection locked="0"/>
    </xf>
    <xf numFmtId="0" fontId="256" fillId="0" borderId="88" applyNumberFormat="0" applyAlignment="0" applyProtection="0"/>
    <xf numFmtId="0" fontId="19" fillId="103" borderId="42" applyNumberFormat="0" applyAlignment="0" applyProtection="0"/>
    <xf numFmtId="0" fontId="19" fillId="41" borderId="42" applyNumberFormat="0" applyAlignment="0" applyProtection="0"/>
    <xf numFmtId="0" fontId="19" fillId="102" borderId="42" applyNumberFormat="0" applyAlignment="0" applyProtection="0"/>
    <xf numFmtId="237" fontId="202" fillId="51" borderId="39">
      <alignment horizontal="center" vertical="center" shrinkToFit="1"/>
    </xf>
    <xf numFmtId="0" fontId="94" fillId="0" borderId="0" applyFont="0" applyFill="0" applyBorder="0" applyAlignment="0" applyProtection="0"/>
    <xf numFmtId="0" fontId="259" fillId="0" borderId="0">
      <alignment horizontal="right"/>
    </xf>
    <xf numFmtId="0" fontId="50" fillId="0" borderId="0" applyNumberFormat="0">
      <alignment horizontal="center" wrapText="1"/>
    </xf>
    <xf numFmtId="0" fontId="260" fillId="0" borderId="0" applyFont="0" applyFill="0" applyBorder="0" applyAlignment="0" applyProtection="0">
      <alignment horizontal="right"/>
    </xf>
    <xf numFmtId="171" fontId="2" fillId="0" borderId="0" applyFont="0" applyFill="0" applyBorder="0" applyAlignment="0" applyProtection="0"/>
    <xf numFmtId="171"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65" fontId="5" fillId="0" borderId="0" applyFont="0" applyFill="0" applyBorder="0" applyAlignment="0" applyProtection="0"/>
    <xf numFmtId="171" fontId="261" fillId="0" borderId="0" applyFont="0" applyFill="0" applyBorder="0" applyAlignment="0" applyProtection="0"/>
    <xf numFmtId="171" fontId="261" fillId="0" borderId="0" applyFont="0" applyFill="0" applyBorder="0" applyAlignment="0" applyProtection="0"/>
    <xf numFmtId="43" fontId="2" fillId="0" borderId="0" applyFont="0" applyFill="0" applyBorder="0" applyAlignment="0" applyProtection="0"/>
    <xf numFmtId="43" fontId="261" fillId="0" borderId="0" applyFont="0" applyFill="0" applyBorder="0" applyAlignment="0" applyProtection="0"/>
    <xf numFmtId="174" fontId="5" fillId="0" borderId="0" applyFont="0" applyFill="0" applyBorder="0" applyAlignment="0" applyProtection="0"/>
    <xf numFmtId="171" fontId="261" fillId="0" borderId="0" applyFont="0" applyFill="0" applyBorder="0" applyAlignment="0" applyProtection="0"/>
    <xf numFmtId="171"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165" fontId="5"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171" fontId="261" fillId="0" borderId="0" applyFont="0" applyFill="0" applyBorder="0" applyAlignment="0" applyProtection="0"/>
    <xf numFmtId="43" fontId="261" fillId="0" borderId="0" applyFont="0" applyFill="0" applyBorder="0" applyAlignment="0" applyProtection="0"/>
    <xf numFmtId="165" fontId="5" fillId="0" borderId="0" applyFont="0" applyFill="0" applyBorder="0" applyAlignment="0" applyProtection="0"/>
    <xf numFmtId="43" fontId="2" fillId="0" borderId="0" applyFont="0" applyFill="0" applyBorder="0" applyAlignment="0" applyProtection="0"/>
    <xf numFmtId="165" fontId="7" fillId="0" borderId="0" applyFont="0" applyFill="0" applyBorder="0" applyAlignment="0" applyProtection="0"/>
    <xf numFmtId="171" fontId="2" fillId="0" borderId="0" applyFont="0" applyFill="0" applyBorder="0" applyAlignment="0" applyProtection="0"/>
    <xf numFmtId="165" fontId="5" fillId="0" borderId="0" applyFont="0" applyFill="0" applyBorder="0" applyAlignment="0" applyProtection="0"/>
    <xf numFmtId="0" fontId="260" fillId="0" borderId="0" applyFont="0" applyFill="0" applyBorder="0" applyAlignment="0" applyProtection="0">
      <alignment horizontal="right"/>
    </xf>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171"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1" fontId="2" fillId="0" borderId="0" applyFont="0" applyFill="0" applyBorder="0" applyAlignment="0" applyProtection="0"/>
    <xf numFmtId="43" fontId="14"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65"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171" fontId="261" fillId="0" borderId="0" applyFont="0" applyFill="0" applyBorder="0" applyAlignment="0" applyProtection="0"/>
    <xf numFmtId="171" fontId="261"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71" fontId="261" fillId="0" borderId="0" applyFont="0" applyFill="0" applyBorder="0" applyAlignment="0" applyProtection="0"/>
    <xf numFmtId="171" fontId="261"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71" fontId="7" fillId="0" borderId="0" applyFont="0" applyFill="0" applyBorder="0" applyAlignment="0" applyProtection="0"/>
    <xf numFmtId="171" fontId="261" fillId="0" borderId="0" applyFont="0" applyFill="0" applyBorder="0" applyAlignment="0" applyProtection="0"/>
    <xf numFmtId="171" fontId="261" fillId="0" borderId="0" applyFont="0" applyFill="0" applyBorder="0" applyAlignment="0" applyProtection="0"/>
    <xf numFmtId="43" fontId="261" fillId="0" borderId="0" applyFont="0" applyFill="0" applyBorder="0" applyAlignment="0" applyProtection="0"/>
    <xf numFmtId="43" fontId="2"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2" fillId="0" borderId="0" applyFont="0" applyFill="0" applyBorder="0" applyAlignment="0" applyProtection="0"/>
    <xf numFmtId="171"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165" fontId="14" fillId="0" borderId="0" applyFont="0" applyFill="0" applyBorder="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138" fillId="33" borderId="38" applyNumberFormat="0" applyFont="0" applyAlignment="0" applyProtection="0"/>
    <xf numFmtId="0" fontId="122"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138" fillId="33" borderId="38" applyNumberFormat="0" applyFont="0" applyAlignment="0" applyProtection="0"/>
    <xf numFmtId="0" fontId="260" fillId="0" borderId="0" applyFont="0" applyFill="0" applyBorder="0" applyAlignment="0" applyProtection="0">
      <alignment horizontal="right"/>
    </xf>
    <xf numFmtId="0" fontId="260" fillId="0" borderId="0" applyFont="0" applyFill="0" applyBorder="0" applyAlignment="0" applyProtection="0">
      <alignment horizontal="right"/>
    </xf>
    <xf numFmtId="172" fontId="43" fillId="0" borderId="0" applyFont="0" applyFill="0" applyBorder="0" applyAlignment="0" applyProtection="0"/>
    <xf numFmtId="172" fontId="91" fillId="0" borderId="0" applyNumberForma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4" fontId="202" fillId="0" borderId="0" applyFont="0" applyFill="0" applyBorder="0" applyAlignment="0" applyProtection="0"/>
    <xf numFmtId="44" fontId="202" fillId="0" borderId="0" applyFont="0" applyFill="0" applyBorder="0" applyAlignment="0" applyProtection="0"/>
    <xf numFmtId="238" fontId="256" fillId="35" borderId="51" applyNumberFormat="0" applyProtection="0"/>
    <xf numFmtId="217" fontId="173" fillId="11" borderId="86" applyNumberFormat="0" applyAlignment="0">
      <alignment vertical="center"/>
      <protection locked="0"/>
    </xf>
    <xf numFmtId="0" fontId="89" fillId="0" borderId="0" applyFont="0" applyFill="0" applyBorder="0" applyProtection="0">
      <alignment horizontal="right"/>
    </xf>
    <xf numFmtId="0" fontId="7" fillId="0" borderId="0" applyFont="0" applyFill="0" applyBorder="0" applyAlignment="0" applyProtection="0"/>
    <xf numFmtId="0" fontId="260" fillId="0" borderId="0" applyFont="0" applyFill="0" applyBorder="0" applyAlignment="0" applyProtection="0"/>
    <xf numFmtId="239" fontId="89" fillId="0" borderId="0" applyFont="0" applyFill="0" applyBorder="0" applyProtection="0">
      <alignment horizontal="right"/>
    </xf>
    <xf numFmtId="14" fontId="94" fillId="0" borderId="0" applyFont="0" applyFill="0" applyBorder="0" applyAlignment="0" applyProtection="0"/>
    <xf numFmtId="14" fontId="94" fillId="0" borderId="0" applyFont="0" applyFill="0" applyBorder="0" applyAlignment="0" applyProtection="0"/>
    <xf numFmtId="0" fontId="91" fillId="0" borderId="0" applyFont="0" applyFill="0" applyBorder="0" applyProtection="0">
      <alignment vertical="top"/>
    </xf>
    <xf numFmtId="0" fontId="91" fillId="0" borderId="0" applyFont="0" applyFill="0" applyBorder="0" applyProtection="0">
      <alignment vertical="top"/>
    </xf>
    <xf numFmtId="0" fontId="7" fillId="0" borderId="0" applyFont="0" applyFill="0" applyBorder="0" applyAlignment="0" applyProtection="0"/>
    <xf numFmtId="0" fontId="260" fillId="0" borderId="89" applyNumberFormat="0" applyFont="0" applyFill="0" applyAlignment="0" applyProtection="0"/>
    <xf numFmtId="0" fontId="262" fillId="47" borderId="0">
      <alignment vertical="top"/>
    </xf>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31" fillId="20" borderId="39" applyNumberFormat="0" applyAlignment="0" applyProtection="0"/>
    <xf numFmtId="0" fontId="263" fillId="113" borderId="0" applyFont="0" applyFill="0" applyBorder="0" applyAlignment="0" applyProtection="0"/>
    <xf numFmtId="192" fontId="7" fillId="0" borderId="0" applyFont="0" applyFill="0" applyBorder="0" applyAlignment="0" applyProtection="0"/>
    <xf numFmtId="240" fontId="5" fillId="0" borderId="0" applyFont="0" applyFill="0" applyBorder="0" applyAlignment="0" applyProtection="0"/>
    <xf numFmtId="193" fontId="7" fillId="0" borderId="0" applyFont="0" applyFill="0" applyBorder="0" applyAlignment="0" applyProtection="0"/>
    <xf numFmtId="0" fontId="264" fillId="0" borderId="0" applyNumberFormat="0" applyFill="0" applyBorder="0" applyAlignment="0" applyProtection="0"/>
    <xf numFmtId="0" fontId="26" fillId="0" borderId="0" applyNumberFormat="0" applyFill="0" applyBorder="0" applyAlignment="0" applyProtection="0"/>
    <xf numFmtId="0" fontId="91" fillId="0" borderId="0" applyFont="0" applyFill="0" applyBorder="0" applyProtection="0">
      <alignment vertical="top"/>
    </xf>
    <xf numFmtId="202" fontId="7" fillId="0" borderId="0" applyFont="0" applyFill="0" applyBorder="0" applyAlignment="0" applyProtection="0"/>
    <xf numFmtId="0" fontId="7" fillId="114" borderId="86" applyNumberFormat="0" applyAlignment="0">
      <alignment vertical="center"/>
    </xf>
    <xf numFmtId="0" fontId="265" fillId="0" borderId="0" applyFill="0" applyBorder="0" applyProtection="0">
      <alignment horizontal="left"/>
    </xf>
    <xf numFmtId="0" fontId="266" fillId="83" borderId="90">
      <alignment horizontal="center"/>
    </xf>
    <xf numFmtId="0" fontId="2" fillId="83" borderId="0"/>
    <xf numFmtId="241" fontId="202" fillId="83" borderId="0"/>
    <xf numFmtId="242" fontId="202" fillId="83" borderId="0"/>
    <xf numFmtId="0" fontId="202" fillId="83" borderId="0"/>
    <xf numFmtId="243" fontId="202" fillId="83" borderId="0"/>
    <xf numFmtId="244" fontId="267" fillId="83" borderId="0"/>
    <xf numFmtId="245" fontId="202" fillId="83" borderId="0"/>
    <xf numFmtId="0" fontId="2" fillId="83" borderId="91"/>
    <xf numFmtId="243" fontId="2" fillId="83" borderId="91"/>
    <xf numFmtId="244" fontId="268" fillId="83" borderId="91"/>
    <xf numFmtId="245" fontId="2" fillId="83" borderId="91"/>
    <xf numFmtId="0" fontId="20" fillId="115" borderId="0">
      <alignment horizontal="left"/>
    </xf>
    <xf numFmtId="0" fontId="2" fillId="83" borderId="92"/>
    <xf numFmtId="243" fontId="2" fillId="83" borderId="92"/>
    <xf numFmtId="244" fontId="268" fillId="83" borderId="92"/>
    <xf numFmtId="245" fontId="2" fillId="83" borderId="92"/>
    <xf numFmtId="0" fontId="2" fillId="99" borderId="0" applyNumberFormat="0" applyBorder="0" applyAlignment="0" applyProtection="0"/>
    <xf numFmtId="0" fontId="27" fillId="17" borderId="0" applyNumberFormat="0" applyBorder="0" applyAlignment="0" applyProtection="0"/>
    <xf numFmtId="0" fontId="27" fillId="116" borderId="0" applyNumberFormat="0" applyBorder="0" applyAlignment="0" applyProtection="0"/>
    <xf numFmtId="167" fontId="7" fillId="6" borderId="22" applyNumberFormat="0" applyFont="0" applyBorder="0" applyAlignment="0" applyProtection="0"/>
    <xf numFmtId="167" fontId="7" fillId="6" borderId="22" applyNumberFormat="0" applyFont="0" applyBorder="0" applyAlignment="0" applyProtection="0"/>
    <xf numFmtId="167" fontId="7" fillId="6" borderId="22" applyNumberFormat="0" applyFont="0" applyBorder="0" applyAlignment="0" applyProtection="0"/>
    <xf numFmtId="167" fontId="7" fillId="6" borderId="22" applyNumberFormat="0" applyFont="0" applyBorder="0" applyAlignment="0" applyProtection="0"/>
    <xf numFmtId="167" fontId="7" fillId="6" borderId="22" applyNumberFormat="0" applyFont="0" applyBorder="0" applyAlignment="0" applyProtection="0"/>
    <xf numFmtId="167" fontId="7" fillId="6" borderId="22" applyNumberFormat="0" applyFont="0" applyBorder="0" applyAlignment="0" applyProtection="0"/>
    <xf numFmtId="167" fontId="7" fillId="6" borderId="22" applyNumberFormat="0" applyFont="0" applyBorder="0" applyAlignment="0" applyProtection="0"/>
    <xf numFmtId="167" fontId="7" fillId="6" borderId="22" applyNumberFormat="0" applyFont="0" applyBorder="0" applyAlignment="0" applyProtection="0"/>
    <xf numFmtId="167" fontId="7" fillId="6" borderId="22" applyNumberFormat="0" applyFont="0" applyBorder="0" applyAlignment="0" applyProtection="0"/>
    <xf numFmtId="167" fontId="7" fillId="6" borderId="22" applyNumberFormat="0" applyFont="0" applyBorder="0" applyAlignment="0" applyProtection="0"/>
    <xf numFmtId="167" fontId="7" fillId="6" borderId="22" applyNumberFormat="0" applyFont="0" applyBorder="0" applyAlignment="0" applyProtection="0"/>
    <xf numFmtId="167" fontId="7" fillId="6" borderId="22" applyNumberFormat="0" applyFont="0" applyBorder="0" applyAlignment="0" applyProtection="0"/>
    <xf numFmtId="0" fontId="260" fillId="0" borderId="0" applyFont="0" applyFill="0" applyBorder="0" applyAlignment="0" applyProtection="0">
      <alignment horizontal="right"/>
    </xf>
    <xf numFmtId="245" fontId="269" fillId="6" borderId="0" applyNumberFormat="0" applyFont="0" applyAlignment="0"/>
    <xf numFmtId="246" fontId="7" fillId="0" borderId="0"/>
    <xf numFmtId="246" fontId="7" fillId="0" borderId="0"/>
    <xf numFmtId="247" fontId="68" fillId="0" borderId="0"/>
    <xf numFmtId="195" fontId="68" fillId="0" borderId="0" applyNumberFormat="0" applyFill="0" applyBorder="0" applyAlignment="0" applyProtection="0"/>
    <xf numFmtId="0" fontId="270" fillId="0" borderId="0" applyProtection="0">
      <alignment horizontal="right"/>
    </xf>
    <xf numFmtId="0" fontId="271" fillId="0" borderId="93" applyNumberFormat="0" applyFill="0" applyAlignment="0" applyProtection="0"/>
    <xf numFmtId="0" fontId="18" fillId="46" borderId="0" applyNumberFormat="0" applyFill="0" applyBorder="0" applyAlignment="0" applyProtection="0"/>
    <xf numFmtId="0" fontId="272" fillId="0" borderId="0" applyProtection="0">
      <alignment horizontal="left"/>
    </xf>
    <xf numFmtId="0" fontId="70" fillId="11" borderId="0" applyNumberFormat="0" applyFill="0" applyBorder="0" applyAlignment="0" applyProtection="0"/>
    <xf numFmtId="0" fontId="273" fillId="0" borderId="35" applyNumberFormat="0" applyFill="0" applyAlignment="0" applyProtection="0"/>
    <xf numFmtId="0" fontId="272" fillId="0" borderId="0" applyProtection="0">
      <alignment horizontal="left"/>
    </xf>
    <xf numFmtId="0" fontId="274" fillId="0" borderId="0" applyProtection="0">
      <alignment horizontal="left"/>
    </xf>
    <xf numFmtId="0" fontId="30" fillId="0" borderId="36" applyNumberFormat="0" applyFill="0" applyAlignment="0" applyProtection="0"/>
    <xf numFmtId="0" fontId="275" fillId="0" borderId="94" applyNumberFormat="0" applyFill="0" applyAlignment="0" applyProtection="0"/>
    <xf numFmtId="0" fontId="275" fillId="0" borderId="94" applyNumberFormat="0" applyFill="0" applyAlignment="0" applyProtection="0"/>
    <xf numFmtId="0" fontId="276" fillId="0" borderId="0" applyNumberFormat="0" applyFill="0" applyBorder="0" applyAlignment="0" applyProtection="0"/>
    <xf numFmtId="0" fontId="7" fillId="0" borderId="0" applyFill="0" applyBorder="0"/>
    <xf numFmtId="0" fontId="246" fillId="40" borderId="22" applyNumberFormat="0">
      <alignment horizontal="center"/>
    </xf>
    <xf numFmtId="0" fontId="246" fillId="40" borderId="22" applyNumberFormat="0">
      <alignment horizontal="center"/>
    </xf>
    <xf numFmtId="0" fontId="246" fillId="40" borderId="22" applyNumberFormat="0">
      <alignment horizontal="center"/>
    </xf>
    <xf numFmtId="0" fontId="246" fillId="40" borderId="22" applyNumberFormat="0">
      <alignment horizontal="center"/>
    </xf>
    <xf numFmtId="0" fontId="246" fillId="40" borderId="22" applyNumberFormat="0">
      <alignment horizontal="center"/>
    </xf>
    <xf numFmtId="0" fontId="246" fillId="40" borderId="22" applyNumberFormat="0">
      <alignment horizontal="center"/>
    </xf>
    <xf numFmtId="0" fontId="246" fillId="40" borderId="22" applyNumberFormat="0">
      <alignment horizontal="center"/>
    </xf>
    <xf numFmtId="0" fontId="246" fillId="40" borderId="22" applyNumberFormat="0">
      <alignment horizontal="center"/>
    </xf>
    <xf numFmtId="0" fontId="246" fillId="40" borderId="22" applyNumberFormat="0">
      <alignment horizontal="center"/>
    </xf>
    <xf numFmtId="0" fontId="246" fillId="40" borderId="22" applyNumberFormat="0">
      <alignment horizontal="center"/>
    </xf>
    <xf numFmtId="0" fontId="246" fillId="40" borderId="22" applyNumberFormat="0">
      <alignment horizontal="center"/>
    </xf>
    <xf numFmtId="0" fontId="246" fillId="40" borderId="22" applyNumberFormat="0">
      <alignment horizontal="center"/>
    </xf>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43" fillId="33" borderId="38" applyNumberFormat="0" applyFont="0" applyAlignment="0" applyProtection="0"/>
    <xf numFmtId="0" fontId="277" fillId="0" borderId="0" applyNumberFormat="0" applyFill="0" applyBorder="0" applyAlignment="0" applyProtection="0">
      <alignment vertical="top"/>
      <protection locked="0"/>
    </xf>
    <xf numFmtId="0" fontId="72" fillId="0" borderId="0" applyNumberFormat="0" applyFill="0" applyBorder="0" applyAlignment="0" applyProtection="0"/>
    <xf numFmtId="0" fontId="278"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279" fillId="54" borderId="86">
      <alignment horizontal="center" vertical="center"/>
      <protection hidden="1"/>
    </xf>
    <xf numFmtId="217" fontId="173" fillId="2" borderId="86" applyAlignment="0">
      <alignment vertical="center"/>
      <protection locked="0"/>
    </xf>
    <xf numFmtId="235" fontId="173" fillId="2" borderId="86" applyAlignment="0">
      <alignment vertical="center"/>
      <protection locked="0"/>
    </xf>
    <xf numFmtId="248" fontId="173" fillId="2" borderId="86" applyAlignment="0">
      <alignment vertic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7" fillId="35" borderId="22" applyNumberFormat="0">
      <alignment horizontal="center"/>
      <protection locked="0"/>
    </xf>
    <xf numFmtId="0" fontId="75" fillId="47" borderId="44" applyNumberFormat="0">
      <alignment vertical="center"/>
      <protection locked="0"/>
    </xf>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280" fillId="107" borderId="87" applyNumberFormat="0" applyAlignment="0" applyProtection="0"/>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217" fontId="173" fillId="40" borderId="86" applyAlignment="0"/>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76" fillId="2" borderId="46" applyNumberFormat="0" applyAlignment="0">
      <alignment horizontal="left"/>
      <protection locked="0"/>
    </xf>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6" fillId="2" borderId="46" applyNumberFormat="0" applyAlignment="0">
      <alignment horizontal="left"/>
      <protection locked="0"/>
    </xf>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6" fillId="2" borderId="46" applyNumberFormat="0" applyAlignment="0">
      <alignment horizontal="left"/>
      <protection locked="0"/>
    </xf>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280" fillId="107" borderId="39" applyNumberFormat="0" applyAlignment="0" applyProtection="0"/>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6" fillId="2" borderId="46" applyNumberFormat="0" applyAlignment="0">
      <alignment horizontal="left"/>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7" fillId="35" borderId="22" applyNumberFormat="0">
      <alignment horizontal="center"/>
      <protection locked="0"/>
    </xf>
    <xf numFmtId="0" fontId="281" fillId="0" borderId="0" applyFill="0" applyBorder="0">
      <alignment vertical="center"/>
    </xf>
    <xf numFmtId="0" fontId="173" fillId="114" borderId="86" applyNumberFormat="0" applyAlignment="0">
      <alignment vertical="center"/>
      <protection locked="0"/>
    </xf>
    <xf numFmtId="0" fontId="94" fillId="0" borderId="0" applyNumberFormat="0" applyFill="0" applyBorder="0" applyAlignment="0">
      <protection locked="0"/>
    </xf>
    <xf numFmtId="0" fontId="282" fillId="0" borderId="0" applyNumberFormat="0" applyFill="0" applyBorder="0" applyProtection="0">
      <alignment horizontal="centerContinuous" wrapText="1"/>
    </xf>
    <xf numFmtId="0" fontId="77" fillId="0" borderId="0" applyNumberFormat="0" applyFill="0" applyBorder="0" applyProtection="0">
      <alignment horizontal="centerContinuous" wrapText="1"/>
    </xf>
    <xf numFmtId="0" fontId="202" fillId="0" borderId="0" applyNumberFormat="0" applyFont="0" applyFill="0" applyBorder="0" applyAlignment="0"/>
    <xf numFmtId="0" fontId="7" fillId="0" borderId="0" applyFill="0" applyBorder="0">
      <alignment wrapText="1"/>
    </xf>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25" fillId="34" borderId="39" applyNumberFormat="0" applyAlignment="0" applyProtection="0"/>
    <xf numFmtId="0" fontId="7" fillId="6" borderId="22" applyNumberFormat="0">
      <alignment horizontal="center"/>
      <protection locked="0"/>
    </xf>
    <xf numFmtId="0" fontId="27" fillId="0" borderId="95" applyNumberFormat="0" applyFill="0" applyAlignment="0" applyProtection="0"/>
    <xf numFmtId="0" fontId="32" fillId="0" borderId="43" applyNumberFormat="0" applyFill="0" applyAlignment="0" applyProtection="0"/>
    <xf numFmtId="0" fontId="283" fillId="0" borderId="96" applyNumberFormat="0" applyFill="0" applyAlignment="0" applyProtection="0"/>
    <xf numFmtId="0" fontId="284" fillId="0" borderId="0">
      <alignment horizontal="centerContinuous"/>
    </xf>
    <xf numFmtId="249" fontId="232" fillId="0" borderId="0"/>
    <xf numFmtId="0" fontId="263" fillId="0" borderId="0" applyFont="0" applyFill="0" applyBorder="0" applyAlignment="0" applyProtection="0"/>
    <xf numFmtId="2" fontId="101" fillId="0" borderId="33" applyFont="0" applyFill="0" applyBorder="0" applyAlignment="0"/>
    <xf numFmtId="0" fontId="285" fillId="0" borderId="0"/>
    <xf numFmtId="250" fontId="286" fillId="0" borderId="0">
      <alignment horizontal="center" vertical="center" shrinkToFit="1"/>
      <protection hidden="1"/>
    </xf>
    <xf numFmtId="0" fontId="260" fillId="0" borderId="0" applyFont="0" applyFill="0" applyBorder="0" applyProtection="0">
      <alignment horizontal="right"/>
    </xf>
    <xf numFmtId="0" fontId="287" fillId="0" borderId="0"/>
    <xf numFmtId="0" fontId="75" fillId="37" borderId="52" applyNumberFormat="0" applyFont="0" applyFill="0" applyAlignment="0" applyProtection="0">
      <alignment vertical="center"/>
      <protection locked="0"/>
    </xf>
    <xf numFmtId="0" fontId="27" fillId="107" borderId="0" applyNumberFormat="0" applyBorder="0" applyAlignment="0" applyProtection="0"/>
    <xf numFmtId="0" fontId="33" fillId="48" borderId="0" applyNumberFormat="0" applyBorder="0" applyAlignment="0" applyProtection="0"/>
    <xf numFmtId="0" fontId="33" fillId="107" borderId="0" applyNumberFormat="0" applyBorder="0" applyAlignment="0" applyProtection="0"/>
    <xf numFmtId="0" fontId="33" fillId="48" borderId="0" applyNumberFormat="0" applyBorder="0" applyAlignment="0" applyProtection="0"/>
    <xf numFmtId="0" fontId="7" fillId="5" borderId="86" applyAlignment="0">
      <alignment vertical="center"/>
    </xf>
    <xf numFmtId="0" fontId="288" fillId="0" borderId="0"/>
    <xf numFmtId="0" fontId="2" fillId="0" borderId="0"/>
    <xf numFmtId="0" fontId="5" fillId="0" borderId="0"/>
    <xf numFmtId="0" fontId="2" fillId="0" borderId="0"/>
    <xf numFmtId="0" fontId="2" fillId="0" borderId="0"/>
    <xf numFmtId="0" fontId="5" fillId="0" borderId="0"/>
    <xf numFmtId="0" fontId="261" fillId="0" borderId="0"/>
    <xf numFmtId="0" fontId="261" fillId="0" borderId="0"/>
    <xf numFmtId="0" fontId="261" fillId="0" borderId="0"/>
    <xf numFmtId="0" fontId="5" fillId="0" borderId="0"/>
    <xf numFmtId="0" fontId="261" fillId="0" borderId="0"/>
    <xf numFmtId="0" fontId="5" fillId="0" borderId="0"/>
    <xf numFmtId="0" fontId="261" fillId="0" borderId="0"/>
    <xf numFmtId="0" fontId="261" fillId="0" borderId="0"/>
    <xf numFmtId="0" fontId="261" fillId="0" borderId="0"/>
    <xf numFmtId="0" fontId="5" fillId="0" borderId="0"/>
    <xf numFmtId="0" fontId="261" fillId="0" borderId="0"/>
    <xf numFmtId="0" fontId="5" fillId="0" borderId="0"/>
    <xf numFmtId="0" fontId="261" fillId="0" borderId="0"/>
    <xf numFmtId="0" fontId="261" fillId="0" borderId="0"/>
    <xf numFmtId="0" fontId="2" fillId="0" borderId="0"/>
    <xf numFmtId="0" fontId="261" fillId="0" borderId="0"/>
    <xf numFmtId="0" fontId="14" fillId="0" borderId="0"/>
    <xf numFmtId="0" fontId="202" fillId="0" borderId="0">
      <protection locked="0"/>
    </xf>
    <xf numFmtId="0" fontId="5" fillId="0" borderId="0"/>
    <xf numFmtId="0" fontId="2" fillId="0" borderId="0"/>
    <xf numFmtId="0" fontId="94" fillId="117" borderId="0"/>
    <xf numFmtId="0" fontId="43" fillId="0" borderId="0"/>
    <xf numFmtId="0" fontId="2" fillId="0" borderId="0"/>
    <xf numFmtId="0" fontId="2" fillId="0" borderId="0"/>
    <xf numFmtId="0" fontId="2" fillId="0" borderId="0"/>
    <xf numFmtId="0" fontId="2" fillId="0" borderId="0"/>
    <xf numFmtId="0" fontId="5" fillId="0" borderId="0"/>
    <xf numFmtId="0" fontId="2" fillId="0" borderId="0"/>
    <xf numFmtId="0" fontId="202" fillId="0" borderId="0">
      <protection locked="0"/>
    </xf>
    <xf numFmtId="0" fontId="7" fillId="0" borderId="0"/>
    <xf numFmtId="0" fontId="112" fillId="0" borderId="0"/>
    <xf numFmtId="0" fontId="94" fillId="117" borderId="0"/>
    <xf numFmtId="0" fontId="43" fillId="0" borderId="0"/>
    <xf numFmtId="0" fontId="94" fillId="117" borderId="0"/>
    <xf numFmtId="0" fontId="43"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1" fillId="0" borderId="0"/>
    <xf numFmtId="0" fontId="261" fillId="0" borderId="0"/>
    <xf numFmtId="0" fontId="263" fillId="113" borderId="0"/>
    <xf numFmtId="0" fontId="112" fillId="0" borderId="0"/>
    <xf numFmtId="0" fontId="261" fillId="0" borderId="0"/>
    <xf numFmtId="0" fontId="261" fillId="0" borderId="0"/>
    <xf numFmtId="0" fontId="261" fillId="0" borderId="0"/>
    <xf numFmtId="0" fontId="261" fillId="0" borderId="0"/>
    <xf numFmtId="0" fontId="261" fillId="0" borderId="0"/>
    <xf numFmtId="0" fontId="2" fillId="0" borderId="0"/>
    <xf numFmtId="0" fontId="2" fillId="0" borderId="0"/>
    <xf numFmtId="0" fontId="2" fillId="0" borderId="0"/>
    <xf numFmtId="0" fontId="2" fillId="0" borderId="0"/>
    <xf numFmtId="0" fontId="2" fillId="0" borderId="0"/>
    <xf numFmtId="0" fontId="2" fillId="0" borderId="0"/>
    <xf numFmtId="0" fontId="1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1" fillId="0" borderId="0"/>
    <xf numFmtId="0" fontId="112" fillId="0" borderId="0"/>
    <xf numFmtId="0" fontId="261" fillId="0" borderId="0"/>
    <xf numFmtId="0" fontId="261" fillId="0" borderId="0"/>
    <xf numFmtId="0" fontId="261" fillId="0" borderId="0"/>
    <xf numFmtId="0" fontId="261" fillId="0" borderId="0"/>
    <xf numFmtId="0" fontId="14"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5" fillId="0" borderId="0"/>
    <xf numFmtId="0" fontId="261" fillId="0" borderId="0"/>
    <xf numFmtId="0" fontId="112" fillId="0" borderId="0"/>
    <xf numFmtId="0" fontId="261" fillId="0" borderId="0"/>
    <xf numFmtId="0" fontId="261" fillId="0" borderId="0"/>
    <xf numFmtId="0" fontId="5" fillId="0" borderId="0"/>
    <xf numFmtId="0" fontId="5" fillId="0" borderId="0"/>
    <xf numFmtId="0" fontId="261" fillId="0" borderId="0"/>
    <xf numFmtId="0" fontId="261" fillId="0" borderId="0"/>
    <xf numFmtId="0" fontId="261" fillId="0" borderId="0"/>
    <xf numFmtId="0" fontId="5" fillId="0" borderId="0"/>
    <xf numFmtId="0" fontId="261"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8" fillId="0" borderId="0">
      <alignment horizontal="left"/>
    </xf>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7" fillId="33" borderId="38"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94" fillId="106" borderId="87"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0" fontId="7" fillId="106" borderId="38" applyNumberFormat="0" applyFont="0" applyAlignment="0" applyProtection="0"/>
    <xf numFmtId="251" fontId="289" fillId="0" borderId="0" applyFont="0" applyFill="0" applyBorder="0" applyProtection="0">
      <alignment horizontal="right"/>
    </xf>
    <xf numFmtId="205" fontId="7" fillId="0" borderId="0" applyFont="0" applyFill="0" applyBorder="0" applyAlignment="0" applyProtection="0"/>
    <xf numFmtId="10" fontId="7" fillId="0" borderId="0" applyFill="0" applyBorder="0">
      <alignment horizontal="center" vertical="center"/>
    </xf>
    <xf numFmtId="10" fontId="7" fillId="0" borderId="0" applyFill="0" applyBorder="0">
      <alignment horizontal="center" vertic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34" fillId="34"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34" fillId="111" borderId="40" applyNumberFormat="0" applyAlignment="0" applyProtection="0"/>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34" fillId="112" borderId="40" applyNumberFormat="0" applyAlignment="0" applyProtection="0"/>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46" fillId="83" borderId="22" applyNumberFormat="0" applyFont="0">
      <alignment horizontal="center"/>
    </xf>
    <xf numFmtId="0" fontId="290" fillId="0" borderId="0" applyFill="0" applyBorder="0" applyProtection="0">
      <alignment horizontal="left"/>
    </xf>
    <xf numFmtId="0" fontId="291" fillId="0" borderId="0" applyFill="0" applyBorder="0" applyProtection="0">
      <alignment horizontal="left"/>
    </xf>
    <xf numFmtId="1" fontId="292" fillId="0" borderId="0" applyProtection="0">
      <alignment horizontal="right" vertical="center"/>
    </xf>
    <xf numFmtId="49" fontId="7" fillId="0" borderId="27" applyFill="0" applyProtection="0">
      <alignment vertical="center"/>
    </xf>
    <xf numFmtId="9" fontId="94" fillId="0" borderId="0" applyFont="0" applyFill="0" applyBorder="0" applyAlignmen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0" fontId="91" fillId="0" borderId="0" applyNumberForma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1" fontId="7" fillId="0" borderId="0" applyFont="0" applyFill="0" applyBorder="0" applyAlignment="0" applyProtection="0"/>
    <xf numFmtId="41" fontId="43"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2" fillId="0" borderId="0" applyFont="0" applyFill="0" applyBorder="0" applyAlignment="0" applyProtection="0"/>
    <xf numFmtId="41" fontId="4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68"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1" fontId="7" fillId="0" borderId="0" applyFont="0" applyFill="0" applyBorder="0" applyAlignment="0" applyProtection="0"/>
    <xf numFmtId="41" fontId="43"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2" fillId="0" borderId="0" applyFont="0" applyFill="0" applyBorder="0" applyAlignment="0" applyProtection="0"/>
    <xf numFmtId="41" fontId="4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8"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1" fontId="7" fillId="0" borderId="0" applyFont="0" applyFill="0" applyBorder="0" applyAlignment="0" applyProtection="0"/>
    <xf numFmtId="41" fontId="43"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2" fillId="0" borderId="0" applyFont="0" applyFill="0" applyBorder="0" applyAlignment="0" applyProtection="0"/>
    <xf numFmtId="41" fontId="4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68"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2" fillId="0" borderId="0" applyFont="0" applyFill="0" applyBorder="0" applyAlignment="0" applyProtection="0"/>
    <xf numFmtId="43" fontId="261"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4" fontId="43" fillId="0" borderId="0" applyFont="0" applyFill="0" applyBorder="0" applyAlignment="0" applyProtection="0"/>
    <xf numFmtId="44" fontId="91" fillId="0" borderId="0" applyNumberFormat="0" applyProtection="0"/>
    <xf numFmtId="44" fontId="7" fillId="0" borderId="0" applyFont="0" applyFill="0" applyBorder="0" applyAlignment="0" applyProtection="0"/>
    <xf numFmtId="44" fontId="7" fillId="0" borderId="0" applyFont="0" applyFill="0" applyBorder="0" applyAlignment="0" applyProtection="0"/>
    <xf numFmtId="44" fontId="202" fillId="0" borderId="0" applyFont="0" applyFill="0" applyBorder="0" applyAlignment="0" applyProtection="0"/>
    <xf numFmtId="44" fontId="202" fillId="0" borderId="0" applyFont="0" applyFill="0" applyBorder="0" applyAlignment="0" applyProtection="0"/>
    <xf numFmtId="0" fontId="7" fillId="0" borderId="0"/>
    <xf numFmtId="0" fontId="7" fillId="0" borderId="0"/>
    <xf numFmtId="0" fontId="7" fillId="0" borderId="0"/>
    <xf numFmtId="43" fontId="1" fillId="0" borderId="0" applyFont="0" applyFill="0" applyBorder="0" applyAlignment="0" applyProtection="0"/>
  </cellStyleXfs>
  <cellXfs count="1601">
    <xf numFmtId="0" fontId="0" fillId="0" borderId="0" xfId="0"/>
    <xf numFmtId="0" fontId="4" fillId="0" borderId="0" xfId="2" applyFont="1"/>
    <xf numFmtId="0" fontId="4" fillId="0" borderId="0" xfId="3" applyFont="1"/>
    <xf numFmtId="0" fontId="3" fillId="3" borderId="6" xfId="0" applyFont="1" applyFill="1" applyBorder="1" applyAlignment="1">
      <alignment horizontal="center" wrapText="1"/>
    </xf>
    <xf numFmtId="0" fontId="3" fillId="0" borderId="0" xfId="2" applyFont="1" applyAlignment="1">
      <alignment vertical="center"/>
    </xf>
    <xf numFmtId="3" fontId="4" fillId="0" borderId="11" xfId="3" applyNumberFormat="1" applyFont="1" applyBorder="1"/>
    <xf numFmtId="0" fontId="3" fillId="0" borderId="1" xfId="3" applyFont="1" applyBorder="1"/>
    <xf numFmtId="0" fontId="3" fillId="0" borderId="25" xfId="3" applyFont="1" applyBorder="1"/>
    <xf numFmtId="0" fontId="3" fillId="0" borderId="2" xfId="3" applyFont="1" applyBorder="1"/>
    <xf numFmtId="0" fontId="4" fillId="0" borderId="0" xfId="2" applyFont="1" applyAlignment="1">
      <alignment vertical="center"/>
    </xf>
    <xf numFmtId="0" fontId="9" fillId="0" borderId="17" xfId="2" applyFont="1" applyBorder="1" applyAlignment="1">
      <alignment vertical="center"/>
    </xf>
    <xf numFmtId="0" fontId="3" fillId="3" borderId="22" xfId="2" applyFont="1" applyFill="1" applyBorder="1" applyAlignment="1">
      <alignment horizontal="center" wrapText="1"/>
    </xf>
    <xf numFmtId="0" fontId="3" fillId="3" borderId="7" xfId="0" applyFont="1" applyFill="1" applyBorder="1" applyAlignment="1">
      <alignment horizontal="center" wrapText="1"/>
    </xf>
    <xf numFmtId="0" fontId="3" fillId="3" borderId="21" xfId="0" applyFont="1" applyFill="1" applyBorder="1" applyAlignment="1">
      <alignment horizontal="center" wrapText="1"/>
    </xf>
    <xf numFmtId="0" fontId="3" fillId="0" borderId="0" xfId="0" applyFont="1" applyAlignment="1">
      <alignment horizontal="center" wrapText="1"/>
    </xf>
    <xf numFmtId="0" fontId="3" fillId="0" borderId="0" xfId="3" applyFont="1" applyAlignment="1">
      <alignment vertical="center"/>
    </xf>
    <xf numFmtId="0" fontId="4" fillId="0" borderId="27" xfId="3" applyFont="1" applyBorder="1" applyAlignment="1">
      <alignment vertical="center"/>
    </xf>
    <xf numFmtId="0" fontId="4" fillId="0" borderId="0" xfId="3" applyFont="1" applyAlignment="1">
      <alignment vertical="center"/>
    </xf>
    <xf numFmtId="3" fontId="4" fillId="0" borderId="0" xfId="3" applyNumberFormat="1" applyFont="1" applyAlignment="1">
      <alignment vertical="center"/>
    </xf>
    <xf numFmtId="3" fontId="4" fillId="0" borderId="27" xfId="3" applyNumberFormat="1" applyFont="1" applyBorder="1" applyAlignment="1">
      <alignment vertical="center"/>
    </xf>
    <xf numFmtId="0" fontId="4" fillId="0" borderId="8" xfId="3" applyFont="1" applyBorder="1"/>
    <xf numFmtId="0" fontId="4" fillId="0" borderId="25" xfId="3" applyFont="1" applyBorder="1"/>
    <xf numFmtId="3" fontId="4" fillId="0" borderId="16" xfId="3" applyNumberFormat="1" applyFont="1" applyBorder="1"/>
    <xf numFmtId="3" fontId="4" fillId="0" borderId="28" xfId="3" applyNumberFormat="1" applyFont="1" applyBorder="1"/>
    <xf numFmtId="0" fontId="4" fillId="0" borderId="17" xfId="3" applyFont="1" applyBorder="1"/>
    <xf numFmtId="3" fontId="4" fillId="0" borderId="18" xfId="3" applyNumberFormat="1" applyFont="1" applyBorder="1"/>
    <xf numFmtId="3" fontId="4" fillId="0" borderId="0" xfId="3" applyNumberFormat="1" applyFont="1"/>
    <xf numFmtId="168" fontId="4" fillId="0" borderId="0" xfId="3" applyNumberFormat="1" applyFont="1"/>
    <xf numFmtId="167" fontId="4" fillId="0" borderId="24" xfId="3" applyNumberFormat="1" applyFont="1" applyBorder="1"/>
    <xf numFmtId="167" fontId="4" fillId="0" borderId="23" xfId="3" applyNumberFormat="1" applyFont="1" applyBorder="1"/>
    <xf numFmtId="167" fontId="4" fillId="0" borderId="30" xfId="3" applyNumberFormat="1" applyFont="1" applyBorder="1"/>
    <xf numFmtId="0" fontId="4" fillId="0" borderId="0" xfId="3" applyFont="1" applyAlignment="1">
      <alignment horizontal="left" indent="1"/>
    </xf>
    <xf numFmtId="167" fontId="4" fillId="0" borderId="0" xfId="3" applyNumberFormat="1" applyFont="1"/>
    <xf numFmtId="168" fontId="4" fillId="0" borderId="16" xfId="3" applyNumberFormat="1" applyFont="1" applyBorder="1"/>
    <xf numFmtId="168" fontId="4" fillId="0" borderId="9" xfId="3" applyNumberFormat="1" applyFont="1" applyBorder="1"/>
    <xf numFmtId="168" fontId="4" fillId="0" borderId="11" xfId="3" applyNumberFormat="1" applyFont="1" applyBorder="1"/>
    <xf numFmtId="168" fontId="4" fillId="0" borderId="12" xfId="3" applyNumberFormat="1" applyFont="1" applyBorder="1"/>
    <xf numFmtId="3" fontId="4" fillId="0" borderId="13" xfId="3" applyNumberFormat="1" applyFont="1" applyBorder="1"/>
    <xf numFmtId="167" fontId="4" fillId="0" borderId="13" xfId="6" applyNumberFormat="1" applyFont="1" applyFill="1" applyBorder="1" applyAlignment="1"/>
    <xf numFmtId="167" fontId="4" fillId="0" borderId="0" xfId="5" applyNumberFormat="1" applyFont="1" applyFill="1" applyBorder="1" applyAlignment="1"/>
    <xf numFmtId="167" fontId="4" fillId="0" borderId="11" xfId="6" applyNumberFormat="1" applyFont="1" applyBorder="1" applyAlignment="1"/>
    <xf numFmtId="167" fontId="4" fillId="0" borderId="12" xfId="6" applyNumberFormat="1" applyFont="1" applyBorder="1" applyAlignment="1"/>
    <xf numFmtId="0" fontId="4" fillId="0" borderId="1" xfId="2" applyFont="1" applyBorder="1"/>
    <xf numFmtId="3" fontId="4" fillId="7" borderId="0" xfId="3" applyNumberFormat="1" applyFont="1" applyFill="1"/>
    <xf numFmtId="0" fontId="4" fillId="0" borderId="25" xfId="2" applyFont="1" applyBorder="1"/>
    <xf numFmtId="0" fontId="4" fillId="0" borderId="2" xfId="2" applyFont="1" applyBorder="1"/>
    <xf numFmtId="3" fontId="4" fillId="0" borderId="24" xfId="3" applyNumberFormat="1" applyFont="1" applyBorder="1"/>
    <xf numFmtId="3" fontId="4" fillId="0" borderId="23" xfId="3" applyNumberFormat="1" applyFont="1" applyBorder="1"/>
    <xf numFmtId="3" fontId="4" fillId="0" borderId="30" xfId="3" applyNumberFormat="1" applyFont="1" applyBorder="1"/>
    <xf numFmtId="168" fontId="4" fillId="0" borderId="23" xfId="3" applyNumberFormat="1" applyFont="1" applyBorder="1"/>
    <xf numFmtId="168" fontId="4" fillId="0" borderId="20" xfId="3" applyNumberFormat="1" applyFont="1" applyBorder="1"/>
    <xf numFmtId="0" fontId="4" fillId="7" borderId="0" xfId="3" applyFont="1" applyFill="1" applyAlignment="1">
      <alignment vertical="center"/>
    </xf>
    <xf numFmtId="0" fontId="4" fillId="0" borderId="1" xfId="3" applyFont="1" applyBorder="1" applyAlignment="1">
      <alignment vertical="center"/>
    </xf>
    <xf numFmtId="10" fontId="4" fillId="7" borderId="0" xfId="5" applyNumberFormat="1" applyFont="1" applyFill="1" applyBorder="1" applyAlignment="1">
      <alignment vertical="center"/>
    </xf>
    <xf numFmtId="167" fontId="4" fillId="0" borderId="16" xfId="6" applyNumberFormat="1" applyFont="1" applyFill="1" applyBorder="1" applyAlignment="1">
      <alignment vertical="center"/>
    </xf>
    <xf numFmtId="167" fontId="4" fillId="0" borderId="9" xfId="6" applyNumberFormat="1" applyFont="1" applyFill="1" applyBorder="1" applyAlignment="1">
      <alignment vertical="center"/>
    </xf>
    <xf numFmtId="0" fontId="4" fillId="0" borderId="25" xfId="3" applyFont="1" applyBorder="1" applyAlignment="1">
      <alignment vertical="center"/>
    </xf>
    <xf numFmtId="167" fontId="4" fillId="0" borderId="11" xfId="6" applyNumberFormat="1" applyFont="1" applyFill="1" applyBorder="1" applyAlignment="1">
      <alignment vertical="center"/>
    </xf>
    <xf numFmtId="167" fontId="4" fillId="0" borderId="12" xfId="6" applyNumberFormat="1" applyFont="1" applyFill="1" applyBorder="1" applyAlignment="1">
      <alignment vertical="center"/>
    </xf>
    <xf numFmtId="10" fontId="4" fillId="7" borderId="0" xfId="5" applyNumberFormat="1" applyFont="1" applyFill="1" applyBorder="1" applyAlignment="1"/>
    <xf numFmtId="10" fontId="4" fillId="0" borderId="23" xfId="6" applyNumberFormat="1" applyFont="1" applyBorder="1" applyAlignment="1">
      <alignment vertical="center"/>
    </xf>
    <xf numFmtId="167" fontId="4" fillId="0" borderId="23" xfId="6" applyNumberFormat="1" applyFont="1" applyFill="1" applyBorder="1" applyAlignment="1"/>
    <xf numFmtId="167" fontId="4" fillId="0" borderId="20" xfId="6" applyNumberFormat="1" applyFont="1" applyFill="1" applyBorder="1" applyAlignment="1"/>
    <xf numFmtId="167" fontId="4" fillId="0" borderId="0" xfId="6" applyNumberFormat="1" applyFont="1" applyBorder="1" applyAlignment="1">
      <alignment vertical="center"/>
    </xf>
    <xf numFmtId="167" fontId="4" fillId="0" borderId="0" xfId="5" applyNumberFormat="1" applyFont="1" applyFill="1" applyBorder="1" applyAlignment="1">
      <alignment vertical="center"/>
    </xf>
    <xf numFmtId="167" fontId="4" fillId="0" borderId="0" xfId="6" applyNumberFormat="1" applyFont="1" applyFill="1" applyBorder="1" applyAlignment="1">
      <alignment vertical="center"/>
    </xf>
    <xf numFmtId="0" fontId="4" fillId="0" borderId="1" xfId="3" applyFont="1" applyBorder="1" applyAlignment="1">
      <alignment vertical="center" wrapText="1"/>
    </xf>
    <xf numFmtId="3" fontId="4" fillId="0" borderId="14" xfId="3" applyNumberFormat="1" applyFont="1" applyBorder="1"/>
    <xf numFmtId="168" fontId="3" fillId="0" borderId="0" xfId="3" applyNumberFormat="1" applyFont="1"/>
    <xf numFmtId="168" fontId="3" fillId="0" borderId="23" xfId="3" applyNumberFormat="1" applyFont="1" applyBorder="1"/>
    <xf numFmtId="168" fontId="3" fillId="0" borderId="20" xfId="3" applyNumberFormat="1" applyFont="1" applyBorder="1"/>
    <xf numFmtId="0" fontId="3" fillId="0" borderId="0" xfId="3" applyFont="1" applyAlignment="1">
      <alignment vertical="top"/>
    </xf>
    <xf numFmtId="10" fontId="4" fillId="0" borderId="14" xfId="6" applyNumberFormat="1" applyFont="1" applyFill="1" applyBorder="1" applyAlignment="1"/>
    <xf numFmtId="10" fontId="4" fillId="0" borderId="16" xfId="6" applyNumberFormat="1" applyFont="1" applyFill="1" applyBorder="1" applyAlignment="1"/>
    <xf numFmtId="10" fontId="4" fillId="0" borderId="28" xfId="6" applyNumberFormat="1" applyFont="1" applyFill="1" applyBorder="1" applyAlignment="1"/>
    <xf numFmtId="10" fontId="4" fillId="0" borderId="0" xfId="5" applyNumberFormat="1" applyFont="1" applyFill="1" applyBorder="1" applyAlignment="1"/>
    <xf numFmtId="10" fontId="4" fillId="0" borderId="9" xfId="6" applyNumberFormat="1" applyFont="1" applyFill="1" applyBorder="1" applyAlignment="1"/>
    <xf numFmtId="0" fontId="11" fillId="0" borderId="0" xfId="2" applyFont="1"/>
    <xf numFmtId="169" fontId="4" fillId="0" borderId="13" xfId="6" applyNumberFormat="1" applyFont="1" applyFill="1" applyBorder="1" applyAlignment="1"/>
    <xf numFmtId="169" fontId="4" fillId="0" borderId="11" xfId="6" applyNumberFormat="1" applyFont="1" applyFill="1" applyBorder="1" applyAlignment="1"/>
    <xf numFmtId="169" fontId="4" fillId="0" borderId="18" xfId="6" applyNumberFormat="1" applyFont="1" applyFill="1" applyBorder="1" applyAlignment="1"/>
    <xf numFmtId="169" fontId="4" fillId="0" borderId="0" xfId="5" applyNumberFormat="1" applyFont="1" applyFill="1" applyBorder="1" applyAlignment="1"/>
    <xf numFmtId="169" fontId="4" fillId="0" borderId="12" xfId="6" applyNumberFormat="1" applyFont="1" applyFill="1" applyBorder="1" applyAlignment="1"/>
    <xf numFmtId="0" fontId="3" fillId="0" borderId="25" xfId="2" applyFont="1" applyBorder="1"/>
    <xf numFmtId="0" fontId="3" fillId="0" borderId="0" xfId="3" applyFont="1"/>
    <xf numFmtId="3" fontId="3" fillId="0" borderId="13" xfId="3" applyNumberFormat="1" applyFont="1" applyBorder="1"/>
    <xf numFmtId="3" fontId="3" fillId="0" borderId="11" xfId="3" applyNumberFormat="1" applyFont="1" applyBorder="1"/>
    <xf numFmtId="3" fontId="3" fillId="0" borderId="0" xfId="3" applyNumberFormat="1" applyFont="1"/>
    <xf numFmtId="168" fontId="3" fillId="0" borderId="11" xfId="7" applyNumberFormat="1" applyFont="1" applyBorder="1"/>
    <xf numFmtId="168" fontId="3" fillId="0" borderId="12" xfId="7" applyNumberFormat="1" applyFont="1" applyBorder="1"/>
    <xf numFmtId="0" fontId="12" fillId="0" borderId="0" xfId="2" applyFont="1"/>
    <xf numFmtId="0" fontId="4" fillId="0" borderId="25" xfId="3" applyFont="1" applyBorder="1" applyAlignment="1">
      <alignment horizontal="left" indent="3"/>
    </xf>
    <xf numFmtId="167" fontId="4" fillId="0" borderId="18" xfId="6" applyNumberFormat="1" applyFont="1" applyBorder="1" applyAlignment="1"/>
    <xf numFmtId="0" fontId="3" fillId="0" borderId="25" xfId="2" applyFont="1" applyBorder="1" applyAlignment="1">
      <alignment horizontal="left"/>
    </xf>
    <xf numFmtId="168" fontId="3" fillId="0" borderId="13" xfId="3" applyNumberFormat="1" applyFont="1" applyBorder="1"/>
    <xf numFmtId="168" fontId="3" fillId="0" borderId="11" xfId="3" applyNumberFormat="1" applyFont="1" applyBorder="1"/>
    <xf numFmtId="168" fontId="3" fillId="0" borderId="18" xfId="3" applyNumberFormat="1" applyFont="1" applyBorder="1"/>
    <xf numFmtId="4" fontId="3" fillId="0" borderId="13" xfId="3" applyNumberFormat="1" applyFont="1" applyBorder="1"/>
    <xf numFmtId="4" fontId="3" fillId="0" borderId="11" xfId="3" applyNumberFormat="1" applyFont="1" applyBorder="1"/>
    <xf numFmtId="4" fontId="3" fillId="0" borderId="18" xfId="3" applyNumberFormat="1" applyFont="1" applyBorder="1"/>
    <xf numFmtId="4" fontId="3" fillId="0" borderId="0" xfId="3" applyNumberFormat="1" applyFont="1"/>
    <xf numFmtId="4" fontId="3" fillId="0" borderId="11" xfId="7" applyNumberFormat="1" applyFont="1" applyBorder="1"/>
    <xf numFmtId="0" fontId="4" fillId="0" borderId="2" xfId="3" applyFont="1" applyBorder="1" applyAlignment="1">
      <alignment horizontal="left" indent="3"/>
    </xf>
    <xf numFmtId="167" fontId="4" fillId="0" borderId="24" xfId="6" applyNumberFormat="1" applyFont="1" applyFill="1" applyBorder="1" applyAlignment="1"/>
    <xf numFmtId="167" fontId="4" fillId="0" borderId="23" xfId="6" applyNumberFormat="1" applyFont="1" applyBorder="1" applyAlignment="1"/>
    <xf numFmtId="167" fontId="4" fillId="0" borderId="30" xfId="6" applyNumberFormat="1" applyFont="1" applyBorder="1" applyAlignment="1"/>
    <xf numFmtId="167" fontId="4" fillId="0" borderId="20" xfId="6" applyNumberFormat="1" applyFont="1" applyBorder="1" applyAlignment="1"/>
    <xf numFmtId="0" fontId="4" fillId="0" borderId="0" xfId="3" applyFont="1" applyAlignment="1">
      <alignment horizontal="left" indent="3"/>
    </xf>
    <xf numFmtId="0" fontId="10" fillId="0" borderId="0" xfId="2" applyFont="1"/>
    <xf numFmtId="10" fontId="4" fillId="0" borderId="0" xfId="5" applyNumberFormat="1" applyFont="1" applyFill="1" applyBorder="1" applyAlignment="1">
      <alignment vertical="center"/>
    </xf>
    <xf numFmtId="0" fontId="4" fillId="0" borderId="0" xfId="7" applyFont="1" applyAlignment="1">
      <alignment vertical="top"/>
    </xf>
    <xf numFmtId="10" fontId="4" fillId="0" borderId="0" xfId="8" applyNumberFormat="1" applyFont="1" applyFill="1" applyBorder="1" applyAlignment="1">
      <alignment vertical="center"/>
    </xf>
    <xf numFmtId="3" fontId="4" fillId="0" borderId="14" xfId="0" applyNumberFormat="1" applyFont="1" applyBorder="1"/>
    <xf numFmtId="3" fontId="4" fillId="0" borderId="16" xfId="0" applyNumberFormat="1" applyFont="1" applyBorder="1"/>
    <xf numFmtId="3" fontId="4" fillId="0" borderId="0" xfId="0" applyNumberFormat="1" applyFont="1"/>
    <xf numFmtId="3" fontId="4" fillId="0" borderId="13" xfId="0" applyNumberFormat="1" applyFont="1" applyBorder="1"/>
    <xf numFmtId="3" fontId="4" fillId="0" borderId="11" xfId="0" applyNumberFormat="1" applyFont="1" applyBorder="1"/>
    <xf numFmtId="10" fontId="4" fillId="0" borderId="11" xfId="6" applyNumberFormat="1" applyFont="1" applyFill="1" applyBorder="1" applyAlignment="1">
      <alignment horizontal="right" vertical="center"/>
    </xf>
    <xf numFmtId="10" fontId="4" fillId="0" borderId="13" xfId="6" applyNumberFormat="1" applyFont="1" applyFill="1" applyBorder="1" applyAlignment="1">
      <alignment horizontal="right" vertical="center"/>
    </xf>
    <xf numFmtId="10" fontId="4" fillId="0" borderId="23" xfId="6" applyNumberFormat="1" applyFont="1" applyFill="1" applyBorder="1" applyAlignment="1">
      <alignment horizontal="right" vertical="center"/>
    </xf>
    <xf numFmtId="10" fontId="4" fillId="0" borderId="24" xfId="6" applyNumberFormat="1" applyFont="1" applyFill="1" applyBorder="1" applyAlignment="1">
      <alignment horizontal="right" vertical="center"/>
    </xf>
    <xf numFmtId="10" fontId="4" fillId="0" borderId="16" xfId="6" applyNumberFormat="1" applyFont="1" applyFill="1" applyBorder="1" applyAlignment="1">
      <alignment horizontal="right" vertical="center"/>
    </xf>
    <xf numFmtId="0" fontId="4" fillId="0" borderId="1" xfId="2" applyFont="1" applyBorder="1" applyAlignment="1">
      <alignment horizontal="left"/>
    </xf>
    <xf numFmtId="0" fontId="4" fillId="0" borderId="12" xfId="7" applyFont="1" applyBorder="1"/>
    <xf numFmtId="168" fontId="4" fillId="0" borderId="8" xfId="7" applyNumberFormat="1" applyFont="1" applyBorder="1"/>
    <xf numFmtId="168" fontId="4" fillId="0" borderId="16" xfId="7" applyNumberFormat="1" applyFont="1" applyBorder="1"/>
    <xf numFmtId="0" fontId="4" fillId="0" borderId="22" xfId="2" applyFont="1" applyBorder="1" applyAlignment="1">
      <alignment horizontal="left"/>
    </xf>
    <xf numFmtId="168" fontId="4" fillId="0" borderId="3" xfId="7" applyNumberFormat="1" applyFont="1" applyBorder="1"/>
    <xf numFmtId="168" fontId="4" fillId="0" borderId="6" xfId="7" applyNumberFormat="1" applyFont="1" applyBorder="1"/>
    <xf numFmtId="0" fontId="10" fillId="0" borderId="0" xfId="2" applyFont="1" applyAlignment="1">
      <alignment vertical="center"/>
    </xf>
    <xf numFmtId="0" fontId="16" fillId="0" borderId="0" xfId="3" applyFont="1" applyAlignment="1">
      <alignment vertical="top"/>
    </xf>
    <xf numFmtId="0" fontId="4" fillId="0" borderId="0" xfId="3" applyFont="1" applyAlignment="1">
      <alignment vertical="top"/>
    </xf>
    <xf numFmtId="10" fontId="10" fillId="0" borderId="0" xfId="5" applyNumberFormat="1" applyFont="1" applyFill="1" applyBorder="1" applyAlignment="1">
      <alignment vertical="center"/>
    </xf>
    <xf numFmtId="3" fontId="4" fillId="0" borderId="0" xfId="2" applyNumberFormat="1" applyFont="1"/>
    <xf numFmtId="0" fontId="3" fillId="0" borderId="17" xfId="3" applyFont="1" applyBorder="1" applyAlignment="1">
      <alignment horizontal="left"/>
    </xf>
    <xf numFmtId="0" fontId="4" fillId="0" borderId="1" xfId="3" applyFont="1" applyBorder="1"/>
    <xf numFmtId="167" fontId="4" fillId="0" borderId="30" xfId="6" applyNumberFormat="1" applyFont="1" applyFill="1" applyBorder="1" applyAlignment="1"/>
    <xf numFmtId="0" fontId="4" fillId="0" borderId="2" xfId="3" applyFont="1" applyBorder="1" applyAlignment="1">
      <alignment vertical="center"/>
    </xf>
    <xf numFmtId="0" fontId="4" fillId="0" borderId="0" xfId="3" applyFont="1" applyAlignment="1">
      <alignment vertical="center" wrapText="1"/>
    </xf>
    <xf numFmtId="0" fontId="16" fillId="0" borderId="0" xfId="3" applyFont="1"/>
    <xf numFmtId="168" fontId="4" fillId="0" borderId="0" xfId="7" applyNumberFormat="1" applyFont="1"/>
    <xf numFmtId="0" fontId="3" fillId="0" borderId="25" xfId="3" applyFont="1" applyBorder="1" applyAlignment="1">
      <alignment horizontal="left"/>
    </xf>
    <xf numFmtId="168" fontId="3" fillId="0" borderId="12" xfId="3" applyNumberFormat="1" applyFont="1" applyBorder="1"/>
    <xf numFmtId="0" fontId="3" fillId="0" borderId="0" xfId="2" applyFont="1"/>
    <xf numFmtId="10" fontId="4" fillId="0" borderId="0" xfId="6" applyNumberFormat="1" applyFont="1" applyFill="1" applyBorder="1" applyAlignment="1">
      <alignment horizontal="right" vertical="center"/>
    </xf>
    <xf numFmtId="167" fontId="4" fillId="0" borderId="0" xfId="6" applyNumberFormat="1" applyFont="1" applyFill="1" applyBorder="1" applyAlignment="1"/>
    <xf numFmtId="0" fontId="3" fillId="0" borderId="2" xfId="2" applyFont="1" applyBorder="1"/>
    <xf numFmtId="3" fontId="3" fillId="0" borderId="24" xfId="3" applyNumberFormat="1" applyFont="1" applyBorder="1"/>
    <xf numFmtId="3" fontId="3" fillId="0" borderId="23" xfId="3" applyNumberFormat="1" applyFont="1" applyBorder="1"/>
    <xf numFmtId="3" fontId="3" fillId="0" borderId="30" xfId="3" applyNumberFormat="1" applyFont="1" applyBorder="1"/>
    <xf numFmtId="167" fontId="4" fillId="0" borderId="11" xfId="6" applyNumberFormat="1" applyFont="1" applyFill="1" applyBorder="1" applyAlignment="1"/>
    <xf numFmtId="167" fontId="4" fillId="0" borderId="18" xfId="6" applyNumberFormat="1" applyFont="1" applyFill="1" applyBorder="1" applyAlignment="1"/>
    <xf numFmtId="3" fontId="4" fillId="0" borderId="6" xfId="7" applyNumberFormat="1" applyFont="1" applyBorder="1"/>
    <xf numFmtId="43" fontId="4" fillId="0" borderId="0" xfId="1" applyFont="1" applyFill="1" applyBorder="1" applyAlignment="1">
      <alignment vertical="center"/>
    </xf>
    <xf numFmtId="167" fontId="4" fillId="0" borderId="0" xfId="14" applyNumberFormat="1" applyFont="1" applyFill="1"/>
    <xf numFmtId="3" fontId="3" fillId="0" borderId="10" xfId="3" applyNumberFormat="1" applyFont="1" applyBorder="1"/>
    <xf numFmtId="3" fontId="4" fillId="0" borderId="10" xfId="3" applyNumberFormat="1" applyFont="1" applyBorder="1"/>
    <xf numFmtId="3" fontId="4" fillId="0" borderId="15" xfId="3" applyNumberFormat="1" applyFont="1" applyBorder="1"/>
    <xf numFmtId="3" fontId="4" fillId="0" borderId="31" xfId="3" applyNumberFormat="1" applyFont="1" applyBorder="1"/>
    <xf numFmtId="167" fontId="4" fillId="0" borderId="31" xfId="3" applyNumberFormat="1" applyFont="1" applyBorder="1"/>
    <xf numFmtId="3" fontId="3" fillId="0" borderId="0" xfId="3" applyNumberFormat="1" applyFont="1" applyAlignment="1">
      <alignment vertical="center"/>
    </xf>
    <xf numFmtId="0" fontId="152" fillId="71" borderId="0" xfId="851" applyFont="1" applyFill="1"/>
    <xf numFmtId="0" fontId="153" fillId="71" borderId="0" xfId="851" applyFont="1" applyFill="1"/>
    <xf numFmtId="0" fontId="153" fillId="73" borderId="0" xfId="851" applyFont="1" applyFill="1"/>
    <xf numFmtId="0" fontId="153" fillId="4" borderId="0" xfId="851" applyFont="1" applyFill="1" applyAlignment="1">
      <alignment horizontal="center" vertical="center"/>
    </xf>
    <xf numFmtId="49" fontId="153" fillId="4" borderId="0" xfId="851" applyNumberFormat="1" applyFont="1" applyFill="1" applyAlignment="1">
      <alignment horizontal="center" vertical="center"/>
    </xf>
    <xf numFmtId="0" fontId="153" fillId="4" borderId="0" xfId="851" applyFont="1" applyFill="1"/>
    <xf numFmtId="0" fontId="152" fillId="4" borderId="12" xfId="851" applyFont="1" applyFill="1" applyBorder="1" applyAlignment="1">
      <alignment vertical="center" wrapText="1"/>
    </xf>
    <xf numFmtId="0" fontId="157" fillId="77" borderId="22" xfId="851" applyFont="1" applyFill="1" applyBorder="1" applyAlignment="1">
      <alignment horizontal="center" vertical="center" wrapText="1"/>
    </xf>
    <xf numFmtId="0" fontId="157" fillId="3" borderId="3" xfId="851" applyFont="1" applyFill="1" applyBorder="1" applyAlignment="1">
      <alignment horizontal="center" vertical="center" wrapText="1"/>
    </xf>
    <xf numFmtId="0" fontId="157" fillId="3" borderId="6" xfId="851" applyFont="1" applyFill="1" applyBorder="1" applyAlignment="1">
      <alignment horizontal="center" vertical="center" wrapText="1"/>
    </xf>
    <xf numFmtId="0" fontId="157" fillId="3" borderId="5" xfId="851" applyFont="1" applyFill="1" applyBorder="1" applyAlignment="1">
      <alignment horizontal="center" vertical="center" wrapText="1"/>
    </xf>
    <xf numFmtId="0" fontId="159" fillId="78" borderId="0" xfId="3" applyFont="1" applyFill="1" applyAlignment="1">
      <alignment horizontal="center"/>
    </xf>
    <xf numFmtId="49" fontId="159" fillId="78" borderId="0" xfId="3" applyNumberFormat="1" applyFont="1" applyFill="1"/>
    <xf numFmtId="0" fontId="159" fillId="78" borderId="0" xfId="3" applyFont="1" applyFill="1"/>
    <xf numFmtId="0" fontId="157" fillId="78" borderId="12" xfId="3" applyFont="1" applyFill="1" applyBorder="1"/>
    <xf numFmtId="0" fontId="157" fillId="78" borderId="0" xfId="3" applyFont="1" applyFill="1"/>
    <xf numFmtId="0" fontId="157" fillId="71" borderId="0" xfId="1282" applyFont="1" applyFill="1"/>
    <xf numFmtId="0" fontId="153" fillId="0" borderId="0" xfId="3" applyFont="1" applyAlignment="1">
      <alignment horizontal="center" vertical="center"/>
    </xf>
    <xf numFmtId="49" fontId="153" fillId="0" borderId="0" xfId="1280" quotePrefix="1" applyNumberFormat="1" applyFont="1" applyFill="1" applyAlignment="1">
      <alignment horizontal="center" vertical="center"/>
    </xf>
    <xf numFmtId="0" fontId="153" fillId="0" borderId="0" xfId="1280" applyFont="1" applyFill="1" applyAlignment="1"/>
    <xf numFmtId="0" fontId="152" fillId="77" borderId="12" xfId="1280" applyFont="1" applyFill="1" applyBorder="1" applyAlignment="1"/>
    <xf numFmtId="213" fontId="152" fillId="0" borderId="0" xfId="3" applyNumberFormat="1" applyFont="1"/>
    <xf numFmtId="0" fontId="152" fillId="71" borderId="0" xfId="1282" applyFont="1" applyFill="1"/>
    <xf numFmtId="0" fontId="160" fillId="0" borderId="0" xfId="3" applyFont="1" applyAlignment="1">
      <alignment horizontal="center" vertical="center"/>
    </xf>
    <xf numFmtId="49" fontId="160" fillId="0" borderId="0" xfId="1280" applyNumberFormat="1" applyFont="1" applyFill="1" applyAlignment="1">
      <alignment horizontal="center" vertical="center"/>
    </xf>
    <xf numFmtId="0" fontId="160" fillId="0" borderId="0" xfId="1280" applyFont="1" applyFill="1" applyAlignment="1">
      <alignment horizontal="left" indent="2"/>
    </xf>
    <xf numFmtId="0" fontId="161" fillId="0" borderId="12" xfId="1280" applyFont="1" applyFill="1" applyBorder="1" applyAlignment="1">
      <alignment horizontal="left" indent="2"/>
    </xf>
    <xf numFmtId="214" fontId="161" fillId="0" borderId="0" xfId="3" applyNumberFormat="1" applyFont="1"/>
    <xf numFmtId="0" fontId="161" fillId="71" borderId="0" xfId="1282" applyFont="1" applyFill="1"/>
    <xf numFmtId="0" fontId="161" fillId="0" borderId="12" xfId="1280" applyFont="1" applyFill="1" applyBorder="1" applyAlignment="1"/>
    <xf numFmtId="0" fontId="162" fillId="78" borderId="12" xfId="3" applyFont="1" applyFill="1" applyBorder="1"/>
    <xf numFmtId="0" fontId="162" fillId="78" borderId="0" xfId="3" applyFont="1" applyFill="1"/>
    <xf numFmtId="0" fontId="162" fillId="71" borderId="0" xfId="1282" applyFont="1" applyFill="1"/>
    <xf numFmtId="0" fontId="152" fillId="77" borderId="12" xfId="1280" applyNumberFormat="1" applyFont="1" applyFill="1" applyBorder="1" applyAlignment="1"/>
    <xf numFmtId="49" fontId="160" fillId="0" borderId="0" xfId="1280" quotePrefix="1" applyNumberFormat="1" applyFont="1" applyFill="1" applyAlignment="1">
      <alignment horizontal="center" vertical="center"/>
    </xf>
    <xf numFmtId="0" fontId="23" fillId="0" borderId="0" xfId="1281" applyFont="1" applyFill="1" applyAlignment="1">
      <alignment horizontal="center" vertical="center"/>
    </xf>
    <xf numFmtId="0" fontId="163" fillId="0" borderId="0" xfId="1281" applyFont="1" applyFill="1" applyAlignment="1">
      <alignment horizontal="center" vertical="center"/>
    </xf>
    <xf numFmtId="10" fontId="161" fillId="0" borderId="0" xfId="3" applyNumberFormat="1" applyFont="1"/>
    <xf numFmtId="0" fontId="160" fillId="0" borderId="0" xfId="1281" applyFont="1" applyFill="1" applyAlignment="1">
      <alignment horizontal="center" vertical="center"/>
    </xf>
    <xf numFmtId="0" fontId="153" fillId="0" borderId="0" xfId="852" applyFont="1" applyFill="1" applyAlignment="1"/>
    <xf numFmtId="215" fontId="161" fillId="0" borderId="0" xfId="3" applyNumberFormat="1" applyFont="1"/>
    <xf numFmtId="0" fontId="153" fillId="0" borderId="0" xfId="1279" applyFont="1" applyFill="1" applyAlignment="1"/>
    <xf numFmtId="0" fontId="160" fillId="0" borderId="0" xfId="1279" applyFont="1" applyFill="1" applyAlignment="1">
      <alignment horizontal="left" indent="2"/>
    </xf>
    <xf numFmtId="10" fontId="161" fillId="0" borderId="0" xfId="848" applyNumberFormat="1" applyFont="1" applyFill="1" applyAlignment="1"/>
    <xf numFmtId="0" fontId="160" fillId="71" borderId="0" xfId="851" applyFont="1" applyFill="1"/>
    <xf numFmtId="0" fontId="153" fillId="71" borderId="0" xfId="12" applyFont="1" applyFill="1" applyAlignment="1">
      <alignment horizontal="center" vertical="center"/>
    </xf>
    <xf numFmtId="49" fontId="153" fillId="71" borderId="0" xfId="12" applyNumberFormat="1" applyFont="1" applyFill="1" applyAlignment="1">
      <alignment horizontal="center" vertical="center"/>
    </xf>
    <xf numFmtId="0" fontId="153" fillId="71" borderId="0" xfId="12" applyFont="1" applyFill="1"/>
    <xf numFmtId="0" fontId="152" fillId="71" borderId="0" xfId="12" applyFont="1" applyFill="1"/>
    <xf numFmtId="0" fontId="153" fillId="71" borderId="0" xfId="851" applyFont="1" applyFill="1" applyAlignment="1">
      <alignment horizontal="center" vertical="center"/>
    </xf>
    <xf numFmtId="49" fontId="153" fillId="71" borderId="0" xfId="851" applyNumberFormat="1" applyFont="1" applyFill="1" applyAlignment="1">
      <alignment horizontal="center" vertical="center"/>
    </xf>
    <xf numFmtId="0" fontId="157" fillId="3" borderId="7" xfId="851" applyFont="1" applyFill="1" applyBorder="1" applyAlignment="1">
      <alignment horizontal="center" vertical="center" wrapText="1"/>
    </xf>
    <xf numFmtId="0" fontId="157" fillId="3" borderId="21" xfId="851" applyFont="1" applyFill="1" applyBorder="1" applyAlignment="1">
      <alignment horizontal="center" vertical="center" wrapText="1"/>
    </xf>
    <xf numFmtId="2" fontId="161" fillId="0" borderId="0" xfId="3" applyNumberFormat="1" applyFont="1" applyAlignment="1">
      <alignment horizontal="center"/>
    </xf>
    <xf numFmtId="0" fontId="164" fillId="0" borderId="0" xfId="3" applyFont="1" applyAlignment="1">
      <alignment horizontal="center" vertical="center"/>
    </xf>
    <xf numFmtId="10" fontId="161" fillId="0" borderId="0" xfId="1280" applyNumberFormat="1" applyFont="1" applyFill="1" applyBorder="1" applyAlignment="1"/>
    <xf numFmtId="3" fontId="4" fillId="0" borderId="21" xfId="7" applyNumberFormat="1" applyFont="1" applyBorder="1"/>
    <xf numFmtId="0" fontId="5" fillId="0" borderId="0" xfId="9"/>
    <xf numFmtId="0" fontId="167" fillId="0" borderId="0" xfId="0" applyFont="1"/>
    <xf numFmtId="0" fontId="15" fillId="0" borderId="0" xfId="2" applyFont="1" applyAlignment="1">
      <alignment horizontal="center"/>
    </xf>
    <xf numFmtId="0" fontId="173" fillId="0" borderId="0" xfId="2" applyFont="1"/>
    <xf numFmtId="0" fontId="174" fillId="0" borderId="0" xfId="2" applyFont="1" applyAlignment="1">
      <alignment horizontal="right"/>
    </xf>
    <xf numFmtId="0" fontId="15" fillId="0" borderId="1" xfId="2" applyFont="1" applyBorder="1"/>
    <xf numFmtId="0" fontId="7" fillId="0" borderId="0" xfId="0" applyFont="1"/>
    <xf numFmtId="0" fontId="15" fillId="0" borderId="25" xfId="2" applyFont="1" applyBorder="1"/>
    <xf numFmtId="0" fontId="15" fillId="0" borderId="2" xfId="2" applyFont="1" applyBorder="1"/>
    <xf numFmtId="0" fontId="15" fillId="3" borderId="3" xfId="0" applyFont="1" applyFill="1" applyBorder="1" applyAlignment="1">
      <alignment horizontal="center" wrapText="1"/>
    </xf>
    <xf numFmtId="0" fontId="15" fillId="3" borderId="6" xfId="0" applyFont="1" applyFill="1" applyBorder="1" applyAlignment="1">
      <alignment horizontal="center" wrapText="1"/>
    </xf>
    <xf numFmtId="0" fontId="15" fillId="3" borderId="5" xfId="0" applyFont="1" applyFill="1" applyBorder="1" applyAlignment="1">
      <alignment horizontal="center" wrapText="1"/>
    </xf>
    <xf numFmtId="0" fontId="15" fillId="0" borderId="0" xfId="2" applyFont="1"/>
    <xf numFmtId="218" fontId="15" fillId="0" borderId="0" xfId="1" applyNumberFormat="1" applyFont="1" applyFill="1" applyBorder="1"/>
    <xf numFmtId="0" fontId="15" fillId="80" borderId="3" xfId="2" applyFont="1" applyFill="1" applyBorder="1" applyAlignment="1">
      <alignment horizontal="left" vertical="center" indent="4"/>
    </xf>
    <xf numFmtId="0" fontId="173" fillId="80" borderId="5" xfId="2" applyFont="1" applyFill="1" applyBorder="1"/>
    <xf numFmtId="218" fontId="173" fillId="80" borderId="7" xfId="1" applyNumberFormat="1" applyFont="1" applyFill="1" applyBorder="1"/>
    <xf numFmtId="218" fontId="173" fillId="80" borderId="6" xfId="1" applyNumberFormat="1" applyFont="1" applyFill="1" applyBorder="1"/>
    <xf numFmtId="218" fontId="173" fillId="80" borderId="5" xfId="1" applyNumberFormat="1" applyFont="1" applyFill="1" applyBorder="1"/>
    <xf numFmtId="0" fontId="15" fillId="0" borderId="19" xfId="2" applyFont="1" applyBorder="1"/>
    <xf numFmtId="0" fontId="15" fillId="0" borderId="20" xfId="2" applyFont="1" applyBorder="1"/>
    <xf numFmtId="168" fontId="15" fillId="0" borderId="7" xfId="2" applyNumberFormat="1" applyFont="1" applyBorder="1"/>
    <xf numFmtId="168" fontId="15" fillId="0" borderId="6" xfId="2" applyNumberFormat="1" applyFont="1" applyBorder="1"/>
    <xf numFmtId="168" fontId="15" fillId="0" borderId="21" xfId="2" applyNumberFormat="1" applyFont="1" applyBorder="1"/>
    <xf numFmtId="0" fontId="15" fillId="80" borderId="8" xfId="2" applyFont="1" applyFill="1" applyBorder="1" applyAlignment="1">
      <alignment horizontal="left" vertical="center" indent="4"/>
    </xf>
    <xf numFmtId="0" fontId="173" fillId="80" borderId="9" xfId="2" applyFont="1" applyFill="1" applyBorder="1"/>
    <xf numFmtId="0" fontId="173" fillId="0" borderId="8" xfId="2" applyFont="1" applyBorder="1"/>
    <xf numFmtId="0" fontId="173" fillId="0" borderId="9" xfId="2" applyFont="1" applyBorder="1"/>
    <xf numFmtId="168" fontId="173" fillId="0" borderId="13" xfId="2" applyNumberFormat="1" applyFont="1" applyBorder="1"/>
    <xf numFmtId="168" fontId="173" fillId="0" borderId="11" xfId="1" applyNumberFormat="1" applyFont="1" applyFill="1" applyBorder="1"/>
    <xf numFmtId="168" fontId="173" fillId="0" borderId="12" xfId="1" applyNumberFormat="1" applyFont="1" applyFill="1" applyBorder="1"/>
    <xf numFmtId="0" fontId="173" fillId="0" borderId="17" xfId="2" applyFont="1" applyBorder="1"/>
    <xf numFmtId="0" fontId="173" fillId="0" borderId="12" xfId="2" applyFont="1" applyBorder="1"/>
    <xf numFmtId="171" fontId="173" fillId="0" borderId="13" xfId="1" applyNumberFormat="1" applyFont="1" applyFill="1" applyBorder="1"/>
    <xf numFmtId="171" fontId="173" fillId="0" borderId="11" xfId="1" applyNumberFormat="1" applyFont="1" applyFill="1" applyBorder="1"/>
    <xf numFmtId="171" fontId="173" fillId="0" borderId="11" xfId="2" applyNumberFormat="1" applyFont="1" applyBorder="1"/>
    <xf numFmtId="0" fontId="173" fillId="0" borderId="19" xfId="2" applyFont="1" applyBorder="1"/>
    <xf numFmtId="0" fontId="173" fillId="0" borderId="20" xfId="2" applyFont="1" applyBorder="1"/>
    <xf numFmtId="167" fontId="173" fillId="0" borderId="13" xfId="14" applyNumberFormat="1" applyFont="1" applyFill="1" applyBorder="1"/>
    <xf numFmtId="167" fontId="173" fillId="0" borderId="11" xfId="14" applyNumberFormat="1" applyFont="1" applyFill="1" applyBorder="1"/>
    <xf numFmtId="168" fontId="173" fillId="0" borderId="6" xfId="2" applyNumberFormat="1" applyFont="1" applyBorder="1"/>
    <xf numFmtId="168" fontId="173" fillId="0" borderId="21" xfId="2" applyNumberFormat="1" applyFont="1" applyBorder="1"/>
    <xf numFmtId="0" fontId="173" fillId="0" borderId="8" xfId="2" applyFont="1" applyBorder="1" applyAlignment="1">
      <alignment vertical="center"/>
    </xf>
    <xf numFmtId="0" fontId="173" fillId="0" borderId="9" xfId="2" applyFont="1" applyBorder="1" applyAlignment="1">
      <alignment vertical="center"/>
    </xf>
    <xf numFmtId="168" fontId="173" fillId="0" borderId="14" xfId="2" applyNumberFormat="1" applyFont="1" applyBorder="1"/>
    <xf numFmtId="168" fontId="173" fillId="0" borderId="16" xfId="2" applyNumberFormat="1" applyFont="1" applyBorder="1"/>
    <xf numFmtId="0" fontId="173" fillId="0" borderId="17" xfId="2" applyFont="1" applyBorder="1" applyAlignment="1">
      <alignment vertical="center"/>
    </xf>
    <xf numFmtId="0" fontId="173" fillId="0" borderId="12" xfId="2" applyFont="1" applyBorder="1" applyAlignment="1">
      <alignment vertical="center"/>
    </xf>
    <xf numFmtId="168" fontId="173" fillId="0" borderId="11" xfId="2" applyNumberFormat="1" applyFont="1" applyBorder="1"/>
    <xf numFmtId="3" fontId="173" fillId="0" borderId="11" xfId="2" applyNumberFormat="1" applyFont="1" applyBorder="1"/>
    <xf numFmtId="3" fontId="173" fillId="0" borderId="12" xfId="2" applyNumberFormat="1" applyFont="1" applyBorder="1"/>
    <xf numFmtId="0" fontId="15" fillId="0" borderId="3" xfId="2" applyFont="1" applyBorder="1"/>
    <xf numFmtId="0" fontId="15" fillId="0" borderId="5" xfId="2" applyFont="1" applyBorder="1"/>
    <xf numFmtId="0" fontId="173" fillId="0" borderId="17" xfId="2" applyFont="1" applyBorder="1" applyAlignment="1">
      <alignment horizontal="left"/>
    </xf>
    <xf numFmtId="0" fontId="173" fillId="0" borderId="12" xfId="2" applyFont="1" applyBorder="1" applyAlignment="1">
      <alignment horizontal="left"/>
    </xf>
    <xf numFmtId="9" fontId="173" fillId="4" borderId="11" xfId="4" applyFont="1" applyFill="1" applyBorder="1" applyAlignment="1"/>
    <xf numFmtId="168" fontId="173" fillId="0" borderId="10" xfId="2" applyNumberFormat="1" applyFont="1" applyBorder="1"/>
    <xf numFmtId="168" fontId="173" fillId="0" borderId="12" xfId="2" applyNumberFormat="1" applyFont="1" applyBorder="1"/>
    <xf numFmtId="0" fontId="173" fillId="0" borderId="19" xfId="2" applyFont="1" applyBorder="1" applyAlignment="1">
      <alignment horizontal="left"/>
    </xf>
    <xf numFmtId="0" fontId="173" fillId="0" borderId="20" xfId="2" applyFont="1" applyBorder="1" applyAlignment="1">
      <alignment horizontal="left"/>
    </xf>
    <xf numFmtId="167" fontId="173" fillId="0" borderId="23" xfId="4" applyNumberFormat="1" applyFont="1" applyBorder="1" applyAlignment="1"/>
    <xf numFmtId="218" fontId="173" fillId="80" borderId="14" xfId="1" applyNumberFormat="1" applyFont="1" applyFill="1" applyBorder="1"/>
    <xf numFmtId="218" fontId="173" fillId="80" borderId="16" xfId="1" applyNumberFormat="1" applyFont="1" applyFill="1" applyBorder="1"/>
    <xf numFmtId="218" fontId="173" fillId="80" borderId="9" xfId="1" applyNumberFormat="1" applyFont="1" applyFill="1" applyBorder="1"/>
    <xf numFmtId="0" fontId="173" fillId="0" borderId="14" xfId="2" applyFont="1" applyBorder="1" applyAlignment="1">
      <alignment horizontal="left"/>
    </xf>
    <xf numFmtId="0" fontId="173" fillId="0" borderId="28" xfId="2" applyFont="1" applyBorder="1" applyAlignment="1">
      <alignment horizontal="left"/>
    </xf>
    <xf numFmtId="0" fontId="173" fillId="0" borderId="13" xfId="2" applyFont="1" applyBorder="1" applyAlignment="1">
      <alignment horizontal="left"/>
    </xf>
    <xf numFmtId="0" fontId="173" fillId="0" borderId="18" xfId="2" applyFont="1" applyBorder="1" applyAlignment="1">
      <alignment horizontal="left"/>
    </xf>
    <xf numFmtId="168" fontId="173" fillId="0" borderId="11" xfId="2" quotePrefix="1" applyNumberFormat="1" applyFont="1" applyBorder="1"/>
    <xf numFmtId="9" fontId="173" fillId="0" borderId="11" xfId="4" applyFont="1" applyBorder="1" applyAlignment="1"/>
    <xf numFmtId="168" fontId="15" fillId="0" borderId="61" xfId="2" applyNumberFormat="1" applyFont="1" applyBorder="1"/>
    <xf numFmtId="168" fontId="15" fillId="0" borderId="5" xfId="2" applyNumberFormat="1" applyFont="1" applyBorder="1"/>
    <xf numFmtId="0" fontId="8" fillId="0" borderId="0" xfId="0" applyFont="1"/>
    <xf numFmtId="219" fontId="15" fillId="0" borderId="0" xfId="1" applyNumberFormat="1" applyFont="1" applyFill="1" applyBorder="1"/>
    <xf numFmtId="3" fontId="15" fillId="0" borderId="6" xfId="2" applyNumberFormat="1" applyFont="1" applyBorder="1"/>
    <xf numFmtId="0" fontId="177" fillId="0" borderId="0" xfId="0" applyFont="1"/>
    <xf numFmtId="168" fontId="173" fillId="0" borderId="0" xfId="2" applyNumberFormat="1" applyFont="1"/>
    <xf numFmtId="168" fontId="173" fillId="80" borderId="7" xfId="1" applyNumberFormat="1" applyFont="1" applyFill="1" applyBorder="1"/>
    <xf numFmtId="168" fontId="173" fillId="80" borderId="6" xfId="1" applyNumberFormat="1" applyFont="1" applyFill="1" applyBorder="1"/>
    <xf numFmtId="43" fontId="173" fillId="0" borderId="16" xfId="1" applyFont="1" applyFill="1" applyBorder="1"/>
    <xf numFmtId="0" fontId="15" fillId="0" borderId="3" xfId="2" applyFont="1" applyBorder="1" applyAlignment="1">
      <alignment vertical="center"/>
    </xf>
    <xf numFmtId="0" fontId="173" fillId="0" borderId="5" xfId="2" applyFont="1" applyBorder="1"/>
    <xf numFmtId="3" fontId="173" fillId="0" borderId="6" xfId="2" applyNumberFormat="1" applyFont="1" applyBorder="1"/>
    <xf numFmtId="168" fontId="173" fillId="80" borderId="14" xfId="1" applyNumberFormat="1" applyFont="1" applyFill="1" applyBorder="1"/>
    <xf numFmtId="168" fontId="173" fillId="80" borderId="16" xfId="1" applyNumberFormat="1" applyFont="1" applyFill="1" applyBorder="1"/>
    <xf numFmtId="0" fontId="173" fillId="0" borderId="8" xfId="2" applyFont="1" applyBorder="1" applyAlignment="1">
      <alignment horizontal="left"/>
    </xf>
    <xf numFmtId="0" fontId="173" fillId="0" borderId="9" xfId="2" applyFont="1" applyBorder="1" applyAlignment="1">
      <alignment horizontal="left"/>
    </xf>
    <xf numFmtId="3" fontId="173" fillId="0" borderId="18" xfId="2" applyNumberFormat="1" applyFont="1" applyBorder="1"/>
    <xf numFmtId="0" fontId="15" fillId="0" borderId="3" xfId="2" applyFont="1" applyBorder="1" applyAlignment="1">
      <alignment horizontal="left"/>
    </xf>
    <xf numFmtId="0" fontId="15" fillId="0" borderId="5" xfId="2" applyFont="1" applyBorder="1" applyAlignment="1">
      <alignment horizontal="left"/>
    </xf>
    <xf numFmtId="3" fontId="15" fillId="0" borderId="21" xfId="2" applyNumberFormat="1" applyFont="1" applyBorder="1"/>
    <xf numFmtId="0" fontId="15" fillId="0" borderId="0" xfId="2" applyFont="1" applyAlignment="1">
      <alignment horizontal="left"/>
    </xf>
    <xf numFmtId="168" fontId="15" fillId="0" borderId="0" xfId="2" applyNumberFormat="1" applyFont="1"/>
    <xf numFmtId="3" fontId="15" fillId="0" borderId="0" xfId="2" applyNumberFormat="1" applyFont="1"/>
    <xf numFmtId="0" fontId="15" fillId="8" borderId="3" xfId="2" applyFont="1" applyFill="1" applyBorder="1" applyAlignment="1">
      <alignment vertical="center"/>
    </xf>
    <xf numFmtId="0" fontId="173" fillId="8" borderId="4" xfId="2" applyFont="1" applyFill="1" applyBorder="1"/>
    <xf numFmtId="168" fontId="15" fillId="8" borderId="7" xfId="2" applyNumberFormat="1" applyFont="1" applyFill="1" applyBorder="1"/>
    <xf numFmtId="168" fontId="15" fillId="8" borderId="6" xfId="2" applyNumberFormat="1" applyFont="1" applyFill="1" applyBorder="1"/>
    <xf numFmtId="3" fontId="15" fillId="8" borderId="6" xfId="2" applyNumberFormat="1" applyFont="1" applyFill="1" applyBorder="1"/>
    <xf numFmtId="3" fontId="15" fillId="8" borderId="21" xfId="2" applyNumberFormat="1" applyFont="1" applyFill="1" applyBorder="1"/>
    <xf numFmtId="0" fontId="15" fillId="0" borderId="0" xfId="2" applyFont="1" applyAlignment="1">
      <alignment vertical="center"/>
    </xf>
    <xf numFmtId="3" fontId="173" fillId="0" borderId="0" xfId="2" applyNumberFormat="1" applyFont="1"/>
    <xf numFmtId="220" fontId="173" fillId="0" borderId="14" xfId="1" applyNumberFormat="1" applyFont="1" applyFill="1" applyBorder="1"/>
    <xf numFmtId="220" fontId="173" fillId="0" borderId="16" xfId="1" applyNumberFormat="1" applyFont="1" applyFill="1" applyBorder="1"/>
    <xf numFmtId="220" fontId="173" fillId="0" borderId="28" xfId="1" applyNumberFormat="1" applyFont="1" applyFill="1" applyBorder="1"/>
    <xf numFmtId="220" fontId="173" fillId="0" borderId="13" xfId="1" applyNumberFormat="1" applyFont="1" applyFill="1" applyBorder="1"/>
    <xf numFmtId="220" fontId="173" fillId="0" borderId="11" xfId="1" applyNumberFormat="1" applyFont="1" applyFill="1" applyBorder="1"/>
    <xf numFmtId="220" fontId="173" fillId="0" borderId="18" xfId="1" applyNumberFormat="1" applyFont="1" applyFill="1" applyBorder="1"/>
    <xf numFmtId="220" fontId="173" fillId="0" borderId="24" xfId="1" applyNumberFormat="1" applyFont="1" applyFill="1" applyBorder="1"/>
    <xf numFmtId="220" fontId="173" fillId="0" borderId="23" xfId="1" applyNumberFormat="1" applyFont="1" applyFill="1" applyBorder="1"/>
    <xf numFmtId="220" fontId="173" fillId="0" borderId="30" xfId="1" applyNumberFormat="1" applyFont="1" applyFill="1" applyBorder="1"/>
    <xf numFmtId="0" fontId="15" fillId="0" borderId="8" xfId="2" applyFont="1" applyBorder="1" applyAlignment="1">
      <alignment vertical="center"/>
    </xf>
    <xf numFmtId="0" fontId="15" fillId="0" borderId="9" xfId="2" applyFont="1" applyBorder="1" applyAlignment="1">
      <alignment vertical="center"/>
    </xf>
    <xf numFmtId="168" fontId="15" fillId="0" borderId="9" xfId="2" applyNumberFormat="1" applyFont="1" applyBorder="1"/>
    <xf numFmtId="4" fontId="15" fillId="0" borderId="5" xfId="1" applyNumberFormat="1" applyFont="1" applyBorder="1"/>
    <xf numFmtId="4" fontId="178" fillId="0" borderId="5" xfId="1" applyNumberFormat="1" applyFont="1" applyBorder="1"/>
    <xf numFmtId="4" fontId="179" fillId="0" borderId="5" xfId="1" applyNumberFormat="1" applyFont="1" applyBorder="1"/>
    <xf numFmtId="0" fontId="15" fillId="8" borderId="3" xfId="2" applyFont="1" applyFill="1" applyBorder="1" applyAlignment="1">
      <alignment horizontal="left" vertical="center"/>
    </xf>
    <xf numFmtId="4" fontId="15" fillId="8" borderId="7" xfId="2" applyNumberFormat="1" applyFont="1" applyFill="1" applyBorder="1"/>
    <xf numFmtId="4" fontId="15" fillId="0" borderId="0" xfId="2" applyNumberFormat="1" applyFont="1"/>
    <xf numFmtId="0" fontId="180" fillId="0" borderId="0" xfId="2" applyFont="1"/>
    <xf numFmtId="43" fontId="15" fillId="0" borderId="0" xfId="1" applyFont="1" applyFill="1" applyBorder="1"/>
    <xf numFmtId="221" fontId="15" fillId="0" borderId="7" xfId="1" applyNumberFormat="1" applyFont="1" applyFill="1" applyBorder="1"/>
    <xf numFmtId="221" fontId="15" fillId="0" borderId="6" xfId="1" applyNumberFormat="1" applyFont="1" applyFill="1" applyBorder="1"/>
    <xf numFmtId="221" fontId="15" fillId="0" borderId="21" xfId="1" applyNumberFormat="1" applyFont="1" applyFill="1" applyBorder="1"/>
    <xf numFmtId="168" fontId="173" fillId="0" borderId="12" xfId="4" applyNumberFormat="1" applyFont="1" applyFill="1" applyBorder="1"/>
    <xf numFmtId="168" fontId="181" fillId="0" borderId="14" xfId="2" applyNumberFormat="1" applyFont="1" applyBorder="1"/>
    <xf numFmtId="168" fontId="181" fillId="0" borderId="16" xfId="2" applyNumberFormat="1" applyFont="1" applyBorder="1"/>
    <xf numFmtId="168" fontId="181" fillId="4" borderId="13" xfId="2" applyNumberFormat="1" applyFont="1" applyFill="1" applyBorder="1"/>
    <xf numFmtId="168" fontId="181" fillId="4" borderId="11" xfId="2" applyNumberFormat="1" applyFont="1" applyFill="1" applyBorder="1"/>
    <xf numFmtId="3" fontId="173" fillId="4" borderId="11" xfId="2" applyNumberFormat="1" applyFont="1" applyFill="1" applyBorder="1"/>
    <xf numFmtId="3" fontId="173" fillId="4" borderId="12" xfId="2" applyNumberFormat="1" applyFont="1" applyFill="1" applyBorder="1"/>
    <xf numFmtId="168" fontId="173" fillId="4" borderId="13" xfId="2" applyNumberFormat="1" applyFont="1" applyFill="1" applyBorder="1"/>
    <xf numFmtId="168" fontId="173" fillId="4" borderId="11" xfId="2" applyNumberFormat="1" applyFont="1" applyFill="1" applyBorder="1"/>
    <xf numFmtId="168" fontId="181" fillId="0" borderId="13" xfId="2" applyNumberFormat="1" applyFont="1" applyBorder="1"/>
    <xf numFmtId="168" fontId="181" fillId="0" borderId="11" xfId="2" applyNumberFormat="1" applyFont="1" applyBorder="1"/>
    <xf numFmtId="9" fontId="173" fillId="0" borderId="12" xfId="4" applyFont="1" applyBorder="1" applyAlignment="1"/>
    <xf numFmtId="168" fontId="181" fillId="0" borderId="7" xfId="2" applyNumberFormat="1" applyFont="1" applyBorder="1"/>
    <xf numFmtId="168" fontId="181" fillId="0" borderId="6" xfId="2" applyNumberFormat="1" applyFont="1" applyBorder="1"/>
    <xf numFmtId="168" fontId="173" fillId="4" borderId="11" xfId="1" applyNumberFormat="1" applyFont="1" applyFill="1" applyBorder="1"/>
    <xf numFmtId="168" fontId="176" fillId="4" borderId="11" xfId="4" applyNumberFormat="1" applyFont="1" applyFill="1" applyBorder="1" applyAlignment="1"/>
    <xf numFmtId="168" fontId="173" fillId="4" borderId="11" xfId="4" applyNumberFormat="1" applyFont="1" applyFill="1" applyBorder="1" applyAlignment="1"/>
    <xf numFmtId="3" fontId="178" fillId="0" borderId="7" xfId="2" applyNumberFormat="1" applyFont="1" applyBorder="1"/>
    <xf numFmtId="3" fontId="173" fillId="0" borderId="61" xfId="2" applyNumberFormat="1" applyFont="1" applyBorder="1"/>
    <xf numFmtId="3" fontId="181" fillId="0" borderId="16" xfId="2" applyNumberFormat="1" applyFont="1" applyBorder="1"/>
    <xf numFmtId="3" fontId="181" fillId="0" borderId="11" xfId="2" applyNumberFormat="1" applyFont="1" applyBorder="1"/>
    <xf numFmtId="3" fontId="181" fillId="69" borderId="13" xfId="2" applyNumberFormat="1" applyFont="1" applyFill="1" applyBorder="1"/>
    <xf numFmtId="3" fontId="181" fillId="69" borderId="11" xfId="2" applyNumberFormat="1" applyFont="1" applyFill="1" applyBorder="1"/>
    <xf numFmtId="3" fontId="15" fillId="0" borderId="7" xfId="2" applyNumberFormat="1" applyFont="1" applyBorder="1"/>
    <xf numFmtId="170" fontId="167" fillId="0" borderId="0" xfId="1" applyNumberFormat="1" applyFont="1"/>
    <xf numFmtId="221" fontId="173" fillId="4" borderId="14" xfId="1" applyNumberFormat="1" applyFont="1" applyFill="1" applyBorder="1"/>
    <xf numFmtId="221" fontId="173" fillId="4" borderId="16" xfId="1" applyNumberFormat="1" applyFont="1" applyFill="1" applyBorder="1"/>
    <xf numFmtId="221" fontId="173" fillId="4" borderId="28" xfId="1" applyNumberFormat="1" applyFont="1" applyFill="1" applyBorder="1"/>
    <xf numFmtId="218" fontId="173" fillId="4" borderId="13" xfId="1" applyNumberFormat="1" applyFont="1" applyFill="1" applyBorder="1"/>
    <xf numFmtId="218" fontId="173" fillId="4" borderId="11" xfId="1" applyNumberFormat="1" applyFont="1" applyFill="1" applyBorder="1"/>
    <xf numFmtId="222" fontId="173" fillId="4" borderId="13" xfId="1" applyNumberFormat="1" applyFont="1" applyFill="1" applyBorder="1"/>
    <xf numFmtId="4" fontId="173" fillId="4" borderId="11" xfId="2" applyNumberFormat="1" applyFont="1" applyFill="1" applyBorder="1"/>
    <xf numFmtId="167" fontId="173" fillId="4" borderId="13" xfId="14" applyNumberFormat="1" applyFont="1" applyFill="1" applyBorder="1"/>
    <xf numFmtId="167" fontId="173" fillId="4" borderId="11" xfId="14" applyNumberFormat="1" applyFont="1" applyFill="1" applyBorder="1"/>
    <xf numFmtId="221" fontId="15" fillId="4" borderId="7" xfId="1" applyNumberFormat="1" applyFont="1" applyFill="1" applyBorder="1"/>
    <xf numFmtId="221" fontId="15" fillId="4" borderId="6" xfId="1" applyNumberFormat="1" applyFont="1" applyFill="1" applyBorder="1"/>
    <xf numFmtId="221" fontId="15" fillId="4" borderId="21" xfId="1" applyNumberFormat="1" applyFont="1" applyFill="1" applyBorder="1"/>
    <xf numFmtId="220" fontId="173" fillId="4" borderId="13" xfId="1" applyNumberFormat="1" applyFont="1" applyFill="1" applyBorder="1"/>
    <xf numFmtId="220" fontId="173" fillId="4" borderId="11" xfId="1" applyNumberFormat="1" applyFont="1" applyFill="1" applyBorder="1"/>
    <xf numFmtId="220" fontId="173" fillId="4" borderId="18" xfId="1" applyNumberFormat="1" applyFont="1" applyFill="1" applyBorder="1"/>
    <xf numFmtId="3" fontId="181" fillId="4" borderId="11" xfId="2" applyNumberFormat="1" applyFont="1" applyFill="1" applyBorder="1"/>
    <xf numFmtId="3" fontId="15" fillId="8" borderId="7" xfId="2" applyNumberFormat="1" applyFont="1" applyFill="1" applyBorder="1"/>
    <xf numFmtId="0" fontId="11" fillId="0" borderId="0" xfId="9" applyFont="1"/>
    <xf numFmtId="0" fontId="3" fillId="0" borderId="0" xfId="1297" applyFont="1"/>
    <xf numFmtId="0" fontId="3" fillId="0" borderId="0" xfId="1297" applyFont="1" applyAlignment="1">
      <alignment horizontal="center"/>
    </xf>
    <xf numFmtId="0" fontId="3" fillId="0" borderId="22" xfId="2" applyFont="1" applyBorder="1"/>
    <xf numFmtId="0" fontId="4" fillId="0" borderId="0" xfId="1297" applyFont="1"/>
    <xf numFmtId="0" fontId="3" fillId="3" borderId="22" xfId="2" applyFont="1" applyFill="1" applyBorder="1" applyAlignment="1">
      <alignment horizontal="center" vertical="center" wrapText="1"/>
    </xf>
    <xf numFmtId="0" fontId="3" fillId="3" borderId="3" xfId="2" applyFont="1" applyFill="1" applyBorder="1" applyAlignment="1">
      <alignment horizontal="center" vertical="center" wrapText="1"/>
    </xf>
    <xf numFmtId="0" fontId="3" fillId="3" borderId="7" xfId="2" applyFont="1" applyFill="1" applyBorder="1" applyAlignment="1">
      <alignment horizontal="center" vertical="center" wrapText="1"/>
    </xf>
    <xf numFmtId="0" fontId="3" fillId="3" borderId="6" xfId="2" applyFont="1" applyFill="1" applyBorder="1" applyAlignment="1">
      <alignment horizontal="center" vertical="center" wrapText="1"/>
    </xf>
    <xf numFmtId="0" fontId="3" fillId="3" borderId="21" xfId="2" applyFont="1" applyFill="1" applyBorder="1" applyAlignment="1">
      <alignment horizontal="center" vertical="center" wrapText="1"/>
    </xf>
    <xf numFmtId="0" fontId="186" fillId="0" borderId="0" xfId="9" applyFont="1"/>
    <xf numFmtId="0" fontId="11" fillId="0" borderId="4" xfId="9" applyFont="1" applyBorder="1"/>
    <xf numFmtId="0" fontId="4" fillId="0" borderId="1" xfId="1297" applyFont="1" applyBorder="1" applyAlignment="1">
      <alignment horizontal="left" indent="1"/>
    </xf>
    <xf numFmtId="3" fontId="4" fillId="0" borderId="1" xfId="1297" applyNumberFormat="1" applyFont="1" applyBorder="1"/>
    <xf numFmtId="3" fontId="4" fillId="7" borderId="14" xfId="1297" applyNumberFormat="1" applyFont="1" applyFill="1" applyBorder="1"/>
    <xf numFmtId="3" fontId="4" fillId="5" borderId="16" xfId="1297" applyNumberFormat="1" applyFont="1" applyFill="1" applyBorder="1"/>
    <xf numFmtId="3" fontId="4" fillId="69" borderId="16" xfId="1297" applyNumberFormat="1" applyFont="1" applyFill="1" applyBorder="1"/>
    <xf numFmtId="3" fontId="4" fillId="69" borderId="28" xfId="1297" applyNumberFormat="1" applyFont="1" applyFill="1" applyBorder="1"/>
    <xf numFmtId="3" fontId="4" fillId="69" borderId="1" xfId="1297" applyNumberFormat="1" applyFont="1" applyFill="1" applyBorder="1"/>
    <xf numFmtId="43" fontId="11" fillId="0" borderId="0" xfId="1" applyFont="1"/>
    <xf numFmtId="0" fontId="4" fillId="0" borderId="25" xfId="1297" applyFont="1" applyBorder="1" applyAlignment="1">
      <alignment horizontal="left" indent="1"/>
    </xf>
    <xf numFmtId="3" fontId="4" fillId="0" borderId="25" xfId="1297" applyNumberFormat="1" applyFont="1" applyBorder="1"/>
    <xf numFmtId="3" fontId="4" fillId="5" borderId="13" xfId="1297" applyNumberFormat="1" applyFont="1" applyFill="1" applyBorder="1"/>
    <xf numFmtId="3" fontId="4" fillId="7" borderId="11" xfId="1297" applyNumberFormat="1" applyFont="1" applyFill="1" applyBorder="1"/>
    <xf numFmtId="3" fontId="4" fillId="69" borderId="11" xfId="1297" applyNumberFormat="1" applyFont="1" applyFill="1" applyBorder="1"/>
    <xf numFmtId="3" fontId="4" fillId="69" borderId="18" xfId="1297" applyNumberFormat="1" applyFont="1" applyFill="1" applyBorder="1"/>
    <xf numFmtId="3" fontId="4" fillId="69" borderId="25" xfId="1297" applyNumberFormat="1" applyFont="1" applyFill="1" applyBorder="1"/>
    <xf numFmtId="0" fontId="4" fillId="0" borderId="22" xfId="1297" applyFont="1" applyBorder="1" applyAlignment="1">
      <alignment vertical="center"/>
    </xf>
    <xf numFmtId="3" fontId="4" fillId="0" borderId="22" xfId="1297" applyNumberFormat="1" applyFont="1" applyBorder="1"/>
    <xf numFmtId="3" fontId="4" fillId="0" borderId="7" xfId="1297" applyNumberFormat="1" applyFont="1" applyBorder="1"/>
    <xf numFmtId="3" fontId="4" fillId="0" borderId="6" xfId="1297" applyNumberFormat="1" applyFont="1" applyBorder="1"/>
    <xf numFmtId="3" fontId="4" fillId="69" borderId="6" xfId="1297" applyNumberFormat="1" applyFont="1" applyFill="1" applyBorder="1"/>
    <xf numFmtId="3" fontId="4" fillId="69" borderId="21" xfId="1297" applyNumberFormat="1" applyFont="1" applyFill="1" applyBorder="1"/>
    <xf numFmtId="3" fontId="4" fillId="69" borderId="22" xfId="1297" applyNumberFormat="1" applyFont="1" applyFill="1" applyBorder="1"/>
    <xf numFmtId="3" fontId="4" fillId="5" borderId="14" xfId="1297" applyNumberFormat="1" applyFont="1" applyFill="1" applyBorder="1"/>
    <xf numFmtId="3" fontId="4" fillId="0" borderId="16" xfId="1297" applyNumberFormat="1" applyFont="1" applyBorder="1"/>
    <xf numFmtId="3" fontId="4" fillId="5" borderId="11" xfId="1297" applyNumberFormat="1" applyFont="1" applyFill="1" applyBorder="1"/>
    <xf numFmtId="3" fontId="4" fillId="0" borderId="11" xfId="1297" applyNumberFormat="1" applyFont="1" applyBorder="1"/>
    <xf numFmtId="3" fontId="4" fillId="0" borderId="18" xfId="1297" applyNumberFormat="1" applyFont="1" applyBorder="1"/>
    <xf numFmtId="3" fontId="4" fillId="83" borderId="25" xfId="1297" applyNumberFormat="1" applyFont="1" applyFill="1" applyBorder="1"/>
    <xf numFmtId="0" fontId="4" fillId="0" borderId="2" xfId="1297" applyFont="1" applyBorder="1" applyAlignment="1">
      <alignment horizontal="left" indent="1"/>
    </xf>
    <xf numFmtId="3" fontId="4" fillId="0" borderId="2" xfId="1297" applyNumberFormat="1" applyFont="1" applyBorder="1"/>
    <xf numFmtId="3" fontId="4" fillId="5" borderId="24" xfId="1297" applyNumberFormat="1" applyFont="1" applyFill="1" applyBorder="1"/>
    <xf numFmtId="3" fontId="4" fillId="5" borderId="23" xfId="1297" applyNumberFormat="1" applyFont="1" applyFill="1" applyBorder="1"/>
    <xf numFmtId="3" fontId="4" fillId="83" borderId="2" xfId="1297" applyNumberFormat="1" applyFont="1" applyFill="1" applyBorder="1"/>
    <xf numFmtId="0" fontId="3" fillId="0" borderId="22" xfId="1297" applyFont="1" applyBorder="1" applyAlignment="1">
      <alignment vertical="center"/>
    </xf>
    <xf numFmtId="3" fontId="3" fillId="0" borderId="22" xfId="1297" applyNumberFormat="1" applyFont="1" applyBorder="1"/>
    <xf numFmtId="3" fontId="3" fillId="0" borderId="7" xfId="1297" applyNumberFormat="1" applyFont="1" applyBorder="1"/>
    <xf numFmtId="3" fontId="3" fillId="0" borderId="6" xfId="1297" applyNumberFormat="1" applyFont="1" applyBorder="1"/>
    <xf numFmtId="3" fontId="11" fillId="0" borderId="0" xfId="9" applyNumberFormat="1" applyFont="1"/>
    <xf numFmtId="0" fontId="4" fillId="7" borderId="1" xfId="1297" applyFont="1" applyFill="1" applyBorder="1" applyAlignment="1">
      <alignment horizontal="left" indent="1"/>
    </xf>
    <xf numFmtId="3" fontId="4" fillId="0" borderId="9" xfId="1297" applyNumberFormat="1" applyFont="1" applyBorder="1"/>
    <xf numFmtId="3" fontId="4" fillId="0" borderId="14" xfId="1297" applyNumberFormat="1" applyFont="1" applyBorder="1"/>
    <xf numFmtId="0" fontId="4" fillId="7" borderId="25" xfId="1297" applyFont="1" applyFill="1" applyBorder="1" applyAlignment="1">
      <alignment horizontal="left" indent="1"/>
    </xf>
    <xf numFmtId="3" fontId="4" fillId="0" borderId="12" xfId="1297" applyNumberFormat="1" applyFont="1" applyBorder="1"/>
    <xf numFmtId="3" fontId="4" fillId="0" borderId="13" xfId="1297" applyNumberFormat="1" applyFont="1" applyBorder="1"/>
    <xf numFmtId="3" fontId="4" fillId="0" borderId="21" xfId="1297" applyNumberFormat="1" applyFont="1" applyBorder="1"/>
    <xf numFmtId="3" fontId="4" fillId="0" borderId="8" xfId="1297" applyNumberFormat="1" applyFont="1" applyBorder="1"/>
    <xf numFmtId="3" fontId="4" fillId="0" borderId="17" xfId="1297" applyNumberFormat="1" applyFont="1" applyBorder="1"/>
    <xf numFmtId="3" fontId="4" fillId="0" borderId="19" xfId="1297" applyNumberFormat="1" applyFont="1" applyBorder="1"/>
    <xf numFmtId="3" fontId="187" fillId="0" borderId="0" xfId="1297" applyNumberFormat="1" applyFont="1"/>
    <xf numFmtId="3" fontId="4" fillId="0" borderId="0" xfId="1297" applyNumberFormat="1" applyFont="1"/>
    <xf numFmtId="3" fontId="4" fillId="0" borderId="1" xfId="3" applyNumberFormat="1" applyFont="1" applyBorder="1"/>
    <xf numFmtId="3" fontId="4" fillId="0" borderId="25" xfId="3" applyNumberFormat="1" applyFont="1" applyBorder="1"/>
    <xf numFmtId="3" fontId="4" fillId="0" borderId="2" xfId="3" applyNumberFormat="1" applyFont="1" applyBorder="1"/>
    <xf numFmtId="3" fontId="4" fillId="0" borderId="63" xfId="1297" applyNumberFormat="1" applyFont="1" applyBorder="1"/>
    <xf numFmtId="3" fontId="4" fillId="0" borderId="1" xfId="3" quotePrefix="1" applyNumberFormat="1" applyFont="1" applyBorder="1"/>
    <xf numFmtId="3" fontId="4" fillId="0" borderId="25" xfId="3" quotePrefix="1" applyNumberFormat="1" applyFont="1" applyBorder="1"/>
    <xf numFmtId="3" fontId="4" fillId="0" borderId="2" xfId="3" quotePrefix="1" applyNumberFormat="1" applyFont="1" applyBorder="1"/>
    <xf numFmtId="0" fontId="4" fillId="0" borderId="0" xfId="9" applyFont="1" applyAlignment="1">
      <alignment horizontal="left"/>
    </xf>
    <xf numFmtId="3" fontId="4" fillId="69" borderId="14" xfId="1297" applyNumberFormat="1" applyFont="1" applyFill="1" applyBorder="1"/>
    <xf numFmtId="3" fontId="4" fillId="69" borderId="13" xfId="1297" applyNumberFormat="1" applyFont="1" applyFill="1" applyBorder="1"/>
    <xf numFmtId="3" fontId="4" fillId="7" borderId="16" xfId="1297" applyNumberFormat="1" applyFont="1" applyFill="1" applyBorder="1"/>
    <xf numFmtId="3" fontId="4" fillId="7" borderId="18" xfId="1297" applyNumberFormat="1" applyFont="1" applyFill="1" applyBorder="1"/>
    <xf numFmtId="3" fontId="4" fillId="69" borderId="24" xfId="1297" applyNumberFormat="1" applyFont="1" applyFill="1" applyBorder="1"/>
    <xf numFmtId="3" fontId="4" fillId="69" borderId="23" xfId="1297" applyNumberFormat="1" applyFont="1" applyFill="1" applyBorder="1"/>
    <xf numFmtId="0" fontId="188" fillId="0" borderId="0" xfId="0" applyFont="1"/>
    <xf numFmtId="3" fontId="4" fillId="0" borderId="23" xfId="1297" applyNumberFormat="1" applyFont="1" applyBorder="1"/>
    <xf numFmtId="3" fontId="4" fillId="69" borderId="7" xfId="1297" applyNumberFormat="1" applyFont="1" applyFill="1" applyBorder="1"/>
    <xf numFmtId="3" fontId="4" fillId="69" borderId="1" xfId="3" quotePrefix="1" applyNumberFormat="1" applyFont="1" applyFill="1" applyBorder="1"/>
    <xf numFmtId="3" fontId="4" fillId="69" borderId="25" xfId="3" quotePrefix="1" applyNumberFormat="1" applyFont="1" applyFill="1" applyBorder="1"/>
    <xf numFmtId="3" fontId="4" fillId="69" borderId="2" xfId="3" quotePrefix="1" applyNumberFormat="1" applyFont="1" applyFill="1" applyBorder="1"/>
    <xf numFmtId="3" fontId="4" fillId="69" borderId="2" xfId="1297" applyNumberFormat="1" applyFont="1" applyFill="1" applyBorder="1"/>
    <xf numFmtId="0" fontId="4" fillId="0" borderId="1" xfId="3" applyFont="1" applyBorder="1" applyAlignment="1">
      <alignment horizontal="left" indent="1"/>
    </xf>
    <xf numFmtId="0" fontId="4" fillId="0" borderId="25" xfId="3" applyFont="1" applyBorder="1" applyAlignment="1">
      <alignment horizontal="left" indent="1"/>
    </xf>
    <xf numFmtId="0" fontId="4" fillId="0" borderId="2" xfId="3" applyFont="1" applyBorder="1" applyAlignment="1">
      <alignment horizontal="left" indent="1"/>
    </xf>
    <xf numFmtId="0" fontId="11" fillId="0" borderId="32" xfId="9" applyFont="1" applyBorder="1"/>
    <xf numFmtId="0" fontId="5" fillId="0" borderId="32" xfId="9" applyBorder="1"/>
    <xf numFmtId="4" fontId="3" fillId="0" borderId="0" xfId="2" applyNumberFormat="1" applyFont="1"/>
    <xf numFmtId="3" fontId="189" fillId="0" borderId="1" xfId="1297" applyNumberFormat="1" applyFont="1" applyBorder="1"/>
    <xf numFmtId="168" fontId="4" fillId="69" borderId="28" xfId="1297" applyNumberFormat="1" applyFont="1" applyFill="1" applyBorder="1"/>
    <xf numFmtId="3" fontId="189" fillId="0" borderId="25" xfId="1297" applyNumberFormat="1" applyFont="1" applyBorder="1"/>
    <xf numFmtId="168" fontId="4" fillId="69" borderId="18" xfId="1297" applyNumberFormat="1" applyFont="1" applyFill="1" applyBorder="1"/>
    <xf numFmtId="168" fontId="4" fillId="5" borderId="30" xfId="1297" applyNumberFormat="1" applyFont="1" applyFill="1" applyBorder="1"/>
    <xf numFmtId="3" fontId="3" fillId="0" borderId="61" xfId="1297" applyNumberFormat="1" applyFont="1" applyBorder="1"/>
    <xf numFmtId="3" fontId="3" fillId="0" borderId="63" xfId="1297" applyNumberFormat="1" applyFont="1" applyBorder="1"/>
    <xf numFmtId="0" fontId="187" fillId="0" borderId="0" xfId="1297" applyFont="1"/>
    <xf numFmtId="0" fontId="187" fillId="0" borderId="27" xfId="1297" applyFont="1" applyBorder="1"/>
    <xf numFmtId="3" fontId="4" fillId="0" borderId="27" xfId="1297" applyNumberFormat="1" applyFont="1" applyBorder="1"/>
    <xf numFmtId="3" fontId="189" fillId="0" borderId="9" xfId="1297" applyNumberFormat="1" applyFont="1" applyBorder="1"/>
    <xf numFmtId="3" fontId="189" fillId="0" borderId="14" xfId="1297" applyNumberFormat="1" applyFont="1" applyBorder="1"/>
    <xf numFmtId="3" fontId="189" fillId="0" borderId="16" xfId="1297" applyNumberFormat="1" applyFont="1" applyBorder="1"/>
    <xf numFmtId="3" fontId="189" fillId="0" borderId="28" xfId="1297" applyNumberFormat="1" applyFont="1" applyBorder="1"/>
    <xf numFmtId="3" fontId="189" fillId="0" borderId="12" xfId="1297" applyNumberFormat="1" applyFont="1" applyBorder="1"/>
    <xf numFmtId="3" fontId="189" fillId="0" borderId="13" xfId="1297" applyNumberFormat="1" applyFont="1" applyBorder="1"/>
    <xf numFmtId="3" fontId="189" fillId="0" borderId="11" xfId="1297" applyNumberFormat="1" applyFont="1" applyBorder="1"/>
    <xf numFmtId="3" fontId="189" fillId="0" borderId="18" xfId="1297" applyNumberFormat="1" applyFont="1" applyBorder="1"/>
    <xf numFmtId="3" fontId="190" fillId="0" borderId="18" xfId="1297" applyNumberFormat="1" applyFont="1" applyBorder="1"/>
    <xf numFmtId="3" fontId="3" fillId="69" borderId="61" xfId="1297" applyNumberFormat="1" applyFont="1" applyFill="1" applyBorder="1"/>
    <xf numFmtId="3" fontId="3" fillId="69" borderId="6" xfId="1297" applyNumberFormat="1" applyFont="1" applyFill="1" applyBorder="1"/>
    <xf numFmtId="3" fontId="4" fillId="69" borderId="8" xfId="1297" applyNumberFormat="1" applyFont="1" applyFill="1" applyBorder="1"/>
    <xf numFmtId="3" fontId="4" fillId="69" borderId="17" xfId="1297" applyNumberFormat="1" applyFont="1" applyFill="1" applyBorder="1"/>
    <xf numFmtId="3" fontId="4" fillId="69" borderId="19" xfId="1297" applyNumberFormat="1" applyFont="1" applyFill="1" applyBorder="1"/>
    <xf numFmtId="168" fontId="4" fillId="69" borderId="30" xfId="1297" applyNumberFormat="1" applyFont="1" applyFill="1" applyBorder="1"/>
    <xf numFmtId="3" fontId="3" fillId="69" borderId="22" xfId="1297" applyNumberFormat="1" applyFont="1" applyFill="1" applyBorder="1"/>
    <xf numFmtId="3" fontId="3" fillId="69" borderId="63" xfId="1297" applyNumberFormat="1" applyFont="1" applyFill="1" applyBorder="1"/>
    <xf numFmtId="3" fontId="189" fillId="7" borderId="1" xfId="1297" applyNumberFormat="1" applyFont="1" applyFill="1" applyBorder="1"/>
    <xf numFmtId="3" fontId="189" fillId="7" borderId="25" xfId="1297" applyNumberFormat="1" applyFont="1" applyFill="1" applyBorder="1"/>
    <xf numFmtId="3" fontId="189" fillId="5" borderId="13" xfId="1297" applyNumberFormat="1" applyFont="1" applyFill="1" applyBorder="1"/>
    <xf numFmtId="168" fontId="187" fillId="0" borderId="0" xfId="1297" applyNumberFormat="1" applyFont="1"/>
    <xf numFmtId="3" fontId="189" fillId="69" borderId="14" xfId="1297" applyNumberFormat="1" applyFont="1" applyFill="1" applyBorder="1"/>
    <xf numFmtId="3" fontId="189" fillId="69" borderId="16" xfId="1297" applyNumberFormat="1" applyFont="1" applyFill="1" applyBorder="1"/>
    <xf numFmtId="3" fontId="189" fillId="69" borderId="13" xfId="1297" applyNumberFormat="1" applyFont="1" applyFill="1" applyBorder="1"/>
    <xf numFmtId="3" fontId="189" fillId="69" borderId="11" xfId="1297" applyNumberFormat="1" applyFont="1" applyFill="1" applyBorder="1"/>
    <xf numFmtId="3" fontId="189" fillId="69" borderId="18" xfId="1297" applyNumberFormat="1" applyFont="1" applyFill="1" applyBorder="1"/>
    <xf numFmtId="168" fontId="4" fillId="5" borderId="18" xfId="1297" applyNumberFormat="1" applyFont="1" applyFill="1" applyBorder="1"/>
    <xf numFmtId="3" fontId="190" fillId="0" borderId="11" xfId="1297" applyNumberFormat="1" applyFont="1" applyBorder="1"/>
    <xf numFmtId="3" fontId="189" fillId="69" borderId="24" xfId="1297" applyNumberFormat="1" applyFont="1" applyFill="1" applyBorder="1"/>
    <xf numFmtId="3" fontId="189" fillId="69" borderId="23" xfId="1297" applyNumberFormat="1" applyFont="1" applyFill="1" applyBorder="1"/>
    <xf numFmtId="3" fontId="189" fillId="0" borderId="30" xfId="1297" applyNumberFormat="1" applyFont="1" applyBorder="1"/>
    <xf numFmtId="0" fontId="191" fillId="0" borderId="0" xfId="0" applyFont="1"/>
    <xf numFmtId="3" fontId="190" fillId="0" borderId="1" xfId="1297" applyNumberFormat="1" applyFont="1" applyBorder="1"/>
    <xf numFmtId="3" fontId="190" fillId="0" borderId="25" xfId="1297" applyNumberFormat="1" applyFont="1" applyBorder="1"/>
    <xf numFmtId="168" fontId="189" fillId="69" borderId="28" xfId="1297" applyNumberFormat="1" applyFont="1" applyFill="1" applyBorder="1"/>
    <xf numFmtId="3" fontId="189" fillId="7" borderId="11" xfId="1297" applyNumberFormat="1" applyFont="1" applyFill="1" applyBorder="1"/>
    <xf numFmtId="168" fontId="189" fillId="69" borderId="18" xfId="1297" applyNumberFormat="1" applyFont="1" applyFill="1" applyBorder="1"/>
    <xf numFmtId="3" fontId="189" fillId="0" borderId="23" xfId="1297" applyNumberFormat="1" applyFont="1" applyBorder="1"/>
    <xf numFmtId="3" fontId="189" fillId="5" borderId="11" xfId="1297" applyNumberFormat="1" applyFont="1" applyFill="1" applyBorder="1"/>
    <xf numFmtId="3" fontId="189" fillId="5" borderId="24" xfId="1297" applyNumberFormat="1" applyFont="1" applyFill="1" applyBorder="1"/>
    <xf numFmtId="3" fontId="189" fillId="5" borderId="23" xfId="1297" applyNumberFormat="1" applyFont="1" applyFill="1" applyBorder="1"/>
    <xf numFmtId="0" fontId="3" fillId="0" borderId="22" xfId="3" applyFont="1" applyBorder="1" applyAlignment="1">
      <alignment vertical="center"/>
    </xf>
    <xf numFmtId="3" fontId="3" fillId="83" borderId="7" xfId="1297" applyNumberFormat="1" applyFont="1" applyFill="1" applyBorder="1"/>
    <xf numFmtId="3" fontId="3" fillId="83" borderId="6" xfId="1297" applyNumberFormat="1" applyFont="1" applyFill="1" applyBorder="1"/>
    <xf numFmtId="3" fontId="3" fillId="83" borderId="21" xfId="1297" applyNumberFormat="1" applyFont="1" applyFill="1" applyBorder="1"/>
    <xf numFmtId="168" fontId="4" fillId="0" borderId="18" xfId="1297" applyNumberFormat="1" applyFont="1" applyBorder="1"/>
    <xf numFmtId="3" fontId="189" fillId="69" borderId="9" xfId="1297" applyNumberFormat="1" applyFont="1" applyFill="1" applyBorder="1"/>
    <xf numFmtId="3" fontId="189" fillId="69" borderId="28" xfId="1297" applyNumberFormat="1" applyFont="1" applyFill="1" applyBorder="1"/>
    <xf numFmtId="3" fontId="189" fillId="69" borderId="12" xfId="1297" applyNumberFormat="1" applyFont="1" applyFill="1" applyBorder="1"/>
    <xf numFmtId="3" fontId="3" fillId="69" borderId="7" xfId="1297" applyNumberFormat="1" applyFont="1" applyFill="1" applyBorder="1"/>
    <xf numFmtId="3" fontId="3" fillId="69" borderId="21" xfId="1297" applyNumberFormat="1" applyFont="1" applyFill="1" applyBorder="1"/>
    <xf numFmtId="3" fontId="189" fillId="69" borderId="1" xfId="1297" applyNumberFormat="1" applyFont="1" applyFill="1" applyBorder="1"/>
    <xf numFmtId="3" fontId="189" fillId="69" borderId="25" xfId="1297" applyNumberFormat="1" applyFont="1" applyFill="1" applyBorder="1"/>
    <xf numFmtId="3" fontId="190" fillId="0" borderId="16" xfId="1297" applyNumberFormat="1" applyFont="1" applyBorder="1"/>
    <xf numFmtId="3" fontId="189" fillId="69" borderId="22" xfId="1297" applyNumberFormat="1" applyFont="1" applyFill="1" applyBorder="1"/>
    <xf numFmtId="0" fontId="11" fillId="7" borderId="0" xfId="9" applyFont="1" applyFill="1"/>
    <xf numFmtId="3" fontId="4" fillId="69" borderId="1" xfId="3" applyNumberFormat="1" applyFont="1" applyFill="1" applyBorder="1"/>
    <xf numFmtId="3" fontId="4" fillId="69" borderId="25" xfId="3" applyNumberFormat="1" applyFont="1" applyFill="1" applyBorder="1"/>
    <xf numFmtId="3" fontId="4" fillId="69" borderId="2" xfId="3" applyNumberFormat="1" applyFont="1" applyFill="1" applyBorder="1"/>
    <xf numFmtId="0" fontId="4" fillId="0" borderId="1" xfId="1297" applyFont="1" applyBorder="1" applyAlignment="1">
      <alignment vertical="center"/>
    </xf>
    <xf numFmtId="3" fontId="192" fillId="0" borderId="11" xfId="1297" applyNumberFormat="1" applyFont="1" applyBorder="1"/>
    <xf numFmtId="3" fontId="192" fillId="0" borderId="18" xfId="1297" applyNumberFormat="1" applyFont="1" applyBorder="1"/>
    <xf numFmtId="0" fontId="193" fillId="4" borderId="63" xfId="0" applyFont="1" applyFill="1" applyBorder="1" applyAlignment="1">
      <alignment horizontal="center" vertical="center"/>
    </xf>
    <xf numFmtId="0" fontId="167" fillId="0" borderId="0" xfId="0" applyFont="1" applyAlignment="1" applyProtection="1">
      <alignment horizontal="left" vertical="center"/>
      <protection locked="0"/>
    </xf>
    <xf numFmtId="0" fontId="177" fillId="0" borderId="0" xfId="0" applyFont="1" applyAlignment="1" applyProtection="1">
      <alignment horizontal="left" vertical="center"/>
      <protection locked="0"/>
    </xf>
    <xf numFmtId="3" fontId="167" fillId="0" borderId="71" xfId="0" applyNumberFormat="1" applyFont="1" applyBorder="1" applyAlignment="1">
      <alignment horizontal="right" vertical="center"/>
    </xf>
    <xf numFmtId="0" fontId="177" fillId="8" borderId="69" xfId="0" applyFont="1" applyFill="1" applyBorder="1" applyAlignment="1">
      <alignment horizontal="left" vertical="center"/>
    </xf>
    <xf numFmtId="0" fontId="167" fillId="8" borderId="70" xfId="0" applyFont="1" applyFill="1" applyBorder="1" applyAlignment="1">
      <alignment horizontal="left" vertical="center"/>
    </xf>
    <xf numFmtId="3" fontId="177" fillId="0" borderId="0" xfId="0" applyNumberFormat="1" applyFont="1" applyAlignment="1">
      <alignment horizontal="center" vertical="center"/>
    </xf>
    <xf numFmtId="3" fontId="200" fillId="0" borderId="71" xfId="0" applyNumberFormat="1" applyFont="1" applyBorder="1" applyAlignment="1" applyProtection="1">
      <alignment horizontal="right" vertical="center"/>
      <protection locked="0"/>
    </xf>
    <xf numFmtId="4" fontId="177" fillId="0" borderId="71" xfId="0" applyNumberFormat="1" applyFont="1" applyBorder="1" applyAlignment="1">
      <alignment horizontal="right" vertical="center"/>
    </xf>
    <xf numFmtId="0" fontId="177" fillId="8" borderId="72" xfId="0" applyFont="1" applyFill="1" applyBorder="1" applyAlignment="1">
      <alignment horizontal="center" vertical="center" wrapText="1"/>
    </xf>
    <xf numFmtId="0" fontId="177" fillId="8" borderId="69" xfId="0" applyFont="1" applyFill="1" applyBorder="1" applyAlignment="1">
      <alignment horizontal="center" vertical="center"/>
    </xf>
    <xf numFmtId="0" fontId="177" fillId="8" borderId="70" xfId="0" applyFont="1" applyFill="1" applyBorder="1" applyAlignment="1">
      <alignment horizontal="left" vertical="center"/>
    </xf>
    <xf numFmtId="0" fontId="177" fillId="8" borderId="73" xfId="0" applyFont="1" applyFill="1" applyBorder="1" applyAlignment="1">
      <alignment horizontal="left" vertical="center"/>
    </xf>
    <xf numFmtId="0" fontId="8" fillId="0" borderId="0" xfId="17" applyFont="1" applyAlignment="1">
      <alignment horizontal="center" vertical="center"/>
    </xf>
    <xf numFmtId="0" fontId="177" fillId="8" borderId="71" xfId="0" applyFont="1" applyFill="1" applyBorder="1" applyAlignment="1">
      <alignment horizontal="center" vertical="center"/>
    </xf>
    <xf numFmtId="3" fontId="177" fillId="8" borderId="74" xfId="0" applyNumberFormat="1" applyFont="1" applyFill="1" applyBorder="1" applyAlignment="1">
      <alignment horizontal="center" vertical="center"/>
    </xf>
    <xf numFmtId="0" fontId="177" fillId="8" borderId="71" xfId="0" applyFont="1" applyFill="1" applyBorder="1" applyAlignment="1">
      <alignment horizontal="center" vertical="center" wrapText="1"/>
    </xf>
    <xf numFmtId="0" fontId="167" fillId="8" borderId="69" xfId="0" applyFont="1" applyFill="1" applyBorder="1" applyAlignment="1">
      <alignment horizontal="left" vertical="center"/>
    </xf>
    <xf numFmtId="0" fontId="202" fillId="84" borderId="72" xfId="0" applyFont="1" applyFill="1" applyBorder="1" applyAlignment="1">
      <alignment horizontal="right" vertical="center" wrapText="1"/>
    </xf>
    <xf numFmtId="167" fontId="167" fillId="0" borderId="71" xfId="0" applyNumberFormat="1" applyFont="1" applyBorder="1" applyAlignment="1">
      <alignment horizontal="center" vertical="center"/>
    </xf>
    <xf numFmtId="167" fontId="167" fillId="0" borderId="71" xfId="0" applyNumberFormat="1" applyFont="1" applyBorder="1" applyAlignment="1">
      <alignment horizontal="right" vertical="center"/>
    </xf>
    <xf numFmtId="0" fontId="204" fillId="0" borderId="0" xfId="17" applyFont="1" applyAlignment="1">
      <alignment horizontal="center" vertical="center"/>
    </xf>
    <xf numFmtId="0" fontId="203" fillId="0" borderId="0" xfId="0" applyFont="1"/>
    <xf numFmtId="3" fontId="177" fillId="0" borderId="71" xfId="0" applyNumberFormat="1" applyFont="1" applyBorder="1" applyAlignment="1">
      <alignment horizontal="center" vertical="center"/>
    </xf>
    <xf numFmtId="3" fontId="177" fillId="0" borderId="71" xfId="0" applyNumberFormat="1" applyFont="1" applyBorder="1" applyAlignment="1">
      <alignment horizontal="right" vertical="center"/>
    </xf>
    <xf numFmtId="167" fontId="177" fillId="0" borderId="71" xfId="0" applyNumberFormat="1" applyFont="1" applyBorder="1" applyAlignment="1">
      <alignment horizontal="center" vertical="center"/>
    </xf>
    <xf numFmtId="3" fontId="172" fillId="0" borderId="71" xfId="0" applyNumberFormat="1" applyFont="1" applyBorder="1" applyAlignment="1">
      <alignment horizontal="center" vertical="center"/>
    </xf>
    <xf numFmtId="4" fontId="177" fillId="0" borderId="71" xfId="0" applyNumberFormat="1" applyFont="1" applyBorder="1" applyAlignment="1">
      <alignment horizontal="center" vertical="center"/>
    </xf>
    <xf numFmtId="0" fontId="207" fillId="0" borderId="0" xfId="17" applyFont="1" applyAlignment="1">
      <alignment wrapText="1"/>
    </xf>
    <xf numFmtId="0" fontId="7" fillId="0" borderId="0" xfId="17" applyFont="1" applyAlignment="1">
      <alignment horizontal="right" wrapText="1"/>
    </xf>
    <xf numFmtId="0" fontId="172" fillId="8" borderId="69" xfId="0" applyFont="1" applyFill="1" applyBorder="1" applyAlignment="1">
      <alignment horizontal="left" vertical="center"/>
    </xf>
    <xf numFmtId="3" fontId="4" fillId="0" borderId="28" xfId="0" applyNumberFormat="1" applyFont="1" applyBorder="1"/>
    <xf numFmtId="3" fontId="4" fillId="0" borderId="18" xfId="0" applyNumberFormat="1" applyFont="1" applyBorder="1"/>
    <xf numFmtId="0" fontId="4" fillId="0" borderId="17" xfId="3" applyFont="1" applyBorder="1" applyAlignment="1">
      <alignment horizontal="left"/>
    </xf>
    <xf numFmtId="168" fontId="4" fillId="0" borderId="18" xfId="3" applyNumberFormat="1" applyFont="1" applyBorder="1"/>
    <xf numFmtId="3" fontId="3" fillId="0" borderId="13" xfId="0" applyNumberFormat="1" applyFont="1" applyBorder="1"/>
    <xf numFmtId="3" fontId="3" fillId="0" borderId="11" xfId="0" applyNumberFormat="1" applyFont="1" applyBorder="1"/>
    <xf numFmtId="10" fontId="4" fillId="4" borderId="16" xfId="6" applyNumberFormat="1" applyFont="1" applyFill="1" applyBorder="1" applyAlignment="1">
      <alignment horizontal="right" vertical="center"/>
    </xf>
    <xf numFmtId="10" fontId="4" fillId="4" borderId="14" xfId="6" applyNumberFormat="1" applyFont="1" applyFill="1" applyBorder="1" applyAlignment="1">
      <alignment horizontal="right" vertical="center"/>
    </xf>
    <xf numFmtId="10" fontId="4" fillId="4" borderId="28" xfId="6" applyNumberFormat="1" applyFont="1" applyFill="1" applyBorder="1" applyAlignment="1">
      <alignment horizontal="right" vertical="center"/>
    </xf>
    <xf numFmtId="167" fontId="4" fillId="4" borderId="16" xfId="6" applyNumberFormat="1" applyFont="1" applyFill="1" applyBorder="1" applyAlignment="1">
      <alignment vertical="center"/>
    </xf>
    <xf numFmtId="167" fontId="4" fillId="4" borderId="9" xfId="6" applyNumberFormat="1" applyFont="1" applyFill="1" applyBorder="1" applyAlignment="1">
      <alignment vertical="center"/>
    </xf>
    <xf numFmtId="10" fontId="189" fillId="4" borderId="13" xfId="6" applyNumberFormat="1" applyFont="1" applyFill="1" applyBorder="1" applyAlignment="1">
      <alignment horizontal="right" vertical="center"/>
    </xf>
    <xf numFmtId="10" fontId="189" fillId="4" borderId="11" xfId="6" applyNumberFormat="1" applyFont="1" applyFill="1" applyBorder="1" applyAlignment="1">
      <alignment horizontal="right" vertical="center"/>
    </xf>
    <xf numFmtId="10" fontId="4" fillId="4" borderId="13" xfId="6" applyNumberFormat="1" applyFont="1" applyFill="1" applyBorder="1" applyAlignment="1">
      <alignment horizontal="right" vertical="center"/>
    </xf>
    <xf numFmtId="10" fontId="4" fillId="4" borderId="11" xfId="6" applyNumberFormat="1" applyFont="1" applyFill="1" applyBorder="1" applyAlignment="1">
      <alignment horizontal="right" vertical="center"/>
    </xf>
    <xf numFmtId="10" fontId="4" fillId="4" borderId="18" xfId="6" applyNumberFormat="1" applyFont="1" applyFill="1" applyBorder="1" applyAlignment="1">
      <alignment horizontal="right" vertical="center"/>
    </xf>
    <xf numFmtId="167" fontId="4" fillId="4" borderId="11" xfId="6" applyNumberFormat="1" applyFont="1" applyFill="1" applyBorder="1" applyAlignment="1">
      <alignment vertical="center"/>
    </xf>
    <xf numFmtId="167" fontId="4" fillId="4" borderId="12" xfId="6" applyNumberFormat="1" applyFont="1" applyFill="1" applyBorder="1" applyAlignment="1">
      <alignment vertical="center"/>
    </xf>
    <xf numFmtId="10" fontId="189" fillId="4" borderId="24" xfId="6" applyNumberFormat="1" applyFont="1" applyFill="1" applyBorder="1" applyAlignment="1">
      <alignment horizontal="right" vertical="center"/>
    </xf>
    <xf numFmtId="10" fontId="189" fillId="4" borderId="23" xfId="6" applyNumberFormat="1" applyFont="1" applyFill="1" applyBorder="1" applyAlignment="1">
      <alignment horizontal="right" vertical="center"/>
    </xf>
    <xf numFmtId="10" fontId="4" fillId="4" borderId="24" xfId="6" applyNumberFormat="1" applyFont="1" applyFill="1" applyBorder="1" applyAlignment="1">
      <alignment horizontal="right" vertical="center"/>
    </xf>
    <xf numFmtId="10" fontId="4" fillId="4" borderId="23" xfId="6" applyNumberFormat="1" applyFont="1" applyFill="1" applyBorder="1" applyAlignment="1">
      <alignment horizontal="right" vertical="center"/>
    </xf>
    <xf numFmtId="10" fontId="4" fillId="4" borderId="30" xfId="6" applyNumberFormat="1" applyFont="1" applyFill="1" applyBorder="1" applyAlignment="1">
      <alignment horizontal="right" vertical="center"/>
    </xf>
    <xf numFmtId="10" fontId="4" fillId="4" borderId="23" xfId="6" applyNumberFormat="1" applyFont="1" applyFill="1" applyBorder="1" applyAlignment="1">
      <alignment vertical="center"/>
    </xf>
    <xf numFmtId="167" fontId="4" fillId="4" borderId="23" xfId="6" applyNumberFormat="1" applyFont="1" applyFill="1" applyBorder="1" applyAlignment="1"/>
    <xf numFmtId="167" fontId="4" fillId="4" borderId="20" xfId="6" applyNumberFormat="1" applyFont="1" applyFill="1" applyBorder="1" applyAlignment="1"/>
    <xf numFmtId="168" fontId="192" fillId="0" borderId="0" xfId="3" applyNumberFormat="1" applyFont="1"/>
    <xf numFmtId="0" fontId="209" fillId="0" borderId="0" xfId="2" applyFont="1"/>
    <xf numFmtId="3" fontId="4" fillId="0" borderId="3" xfId="7" applyNumberFormat="1" applyFont="1" applyBorder="1"/>
    <xf numFmtId="3" fontId="5" fillId="0" borderId="0" xfId="9" applyNumberFormat="1"/>
    <xf numFmtId="3" fontId="192" fillId="0" borderId="6" xfId="7" applyNumberFormat="1" applyFont="1" applyBorder="1"/>
    <xf numFmtId="3" fontId="192" fillId="0" borderId="21" xfId="7" applyNumberFormat="1" applyFont="1" applyBorder="1"/>
    <xf numFmtId="3" fontId="4" fillId="0" borderId="0" xfId="6" applyNumberFormat="1" applyFont="1" applyFill="1" applyBorder="1" applyAlignment="1">
      <alignment horizontal="right" vertical="center"/>
    </xf>
    <xf numFmtId="3" fontId="4" fillId="7" borderId="0" xfId="5" applyNumberFormat="1" applyFont="1" applyFill="1" applyBorder="1" applyAlignment="1"/>
    <xf numFmtId="3" fontId="4" fillId="0" borderId="0" xfId="6" applyNumberFormat="1" applyFont="1" applyFill="1" applyBorder="1" applyAlignment="1"/>
    <xf numFmtId="3" fontId="192" fillId="0" borderId="0" xfId="3" applyNumberFormat="1" applyFont="1"/>
    <xf numFmtId="0" fontId="192" fillId="0" borderId="0" xfId="2" applyFont="1"/>
    <xf numFmtId="3" fontId="4" fillId="0" borderId="9" xfId="3" applyNumberFormat="1" applyFont="1" applyBorder="1"/>
    <xf numFmtId="3" fontId="4" fillId="0" borderId="12" xfId="3" applyNumberFormat="1" applyFont="1" applyBorder="1"/>
    <xf numFmtId="168" fontId="192" fillId="0" borderId="16" xfId="7" applyNumberFormat="1" applyFont="1" applyBorder="1"/>
    <xf numFmtId="0" fontId="210" fillId="0" borderId="0" xfId="9" applyFont="1"/>
    <xf numFmtId="3" fontId="192" fillId="0" borderId="16" xfId="7" applyNumberFormat="1" applyFont="1" applyBorder="1"/>
    <xf numFmtId="3" fontId="192" fillId="0" borderId="28" xfId="7" applyNumberFormat="1" applyFont="1" applyBorder="1"/>
    <xf numFmtId="3" fontId="16" fillId="0" borderId="0" xfId="3" applyNumberFormat="1" applyFont="1"/>
    <xf numFmtId="3" fontId="4" fillId="0" borderId="0" xfId="7" applyNumberFormat="1" applyFont="1"/>
    <xf numFmtId="3" fontId="192" fillId="0" borderId="0" xfId="7" applyNumberFormat="1" applyFont="1"/>
    <xf numFmtId="3" fontId="209" fillId="0" borderId="0" xfId="5" applyNumberFormat="1" applyFont="1" applyFill="1" applyBorder="1" applyAlignment="1"/>
    <xf numFmtId="168" fontId="209" fillId="0" borderId="0" xfId="3" applyNumberFormat="1" applyFont="1"/>
    <xf numFmtId="10" fontId="189" fillId="0" borderId="16" xfId="6" applyNumberFormat="1" applyFont="1" applyFill="1" applyBorder="1" applyAlignment="1"/>
    <xf numFmtId="10" fontId="189" fillId="0" borderId="28" xfId="6" applyNumberFormat="1" applyFont="1" applyFill="1" applyBorder="1" applyAlignment="1"/>
    <xf numFmtId="3" fontId="3" fillId="0" borderId="18" xfId="3" applyNumberFormat="1" applyFont="1" applyBorder="1"/>
    <xf numFmtId="168" fontId="211" fillId="0" borderId="11" xfId="3" applyNumberFormat="1" applyFont="1" applyBorder="1"/>
    <xf numFmtId="168" fontId="211" fillId="0" borderId="18" xfId="3" applyNumberFormat="1" applyFont="1" applyBorder="1"/>
    <xf numFmtId="4" fontId="192" fillId="0" borderId="0" xfId="5" applyNumberFormat="1" applyFont="1" applyFill="1" applyBorder="1" applyAlignment="1">
      <alignment horizontal="left" vertical="center"/>
    </xf>
    <xf numFmtId="10" fontId="189" fillId="0" borderId="0" xfId="5" applyNumberFormat="1" applyFont="1" applyFill="1" applyBorder="1" applyAlignment="1">
      <alignment vertical="center"/>
    </xf>
    <xf numFmtId="43" fontId="213" fillId="0" borderId="0" xfId="1" applyFont="1" applyFill="1" applyBorder="1" applyAlignment="1">
      <alignment vertical="center"/>
    </xf>
    <xf numFmtId="10" fontId="213" fillId="0" borderId="0" xfId="5" applyNumberFormat="1" applyFont="1" applyFill="1" applyBorder="1" applyAlignment="1">
      <alignment vertical="center"/>
    </xf>
    <xf numFmtId="10" fontId="192" fillId="0" borderId="0" xfId="5" applyNumberFormat="1" applyFont="1" applyFill="1" applyBorder="1" applyAlignment="1">
      <alignment horizontal="left" vertical="center" indent="2"/>
    </xf>
    <xf numFmtId="0" fontId="213" fillId="0" borderId="0" xfId="2" applyFont="1" applyAlignment="1">
      <alignment vertical="center"/>
    </xf>
    <xf numFmtId="10" fontId="192" fillId="0" borderId="0" xfId="8" applyNumberFormat="1" applyFont="1" applyFill="1" applyBorder="1" applyAlignment="1">
      <alignment vertical="center"/>
    </xf>
    <xf numFmtId="43" fontId="192" fillId="0" borderId="0" xfId="1" applyFont="1" applyFill="1" applyBorder="1" applyAlignment="1">
      <alignment vertical="center"/>
    </xf>
    <xf numFmtId="0" fontId="10" fillId="0" borderId="0" xfId="3" applyFont="1"/>
    <xf numFmtId="0" fontId="4" fillId="0" borderId="0" xfId="3" applyFont="1" applyAlignment="1">
      <alignment horizontal="left"/>
    </xf>
    <xf numFmtId="3" fontId="189" fillId="0" borderId="16" xfId="0" applyNumberFormat="1" applyFont="1" applyBorder="1"/>
    <xf numFmtId="3" fontId="189" fillId="4" borderId="11" xfId="3" applyNumberFormat="1" applyFont="1" applyFill="1" applyBorder="1"/>
    <xf numFmtId="3" fontId="189" fillId="0" borderId="11" xfId="3" applyNumberFormat="1" applyFont="1" applyBorder="1"/>
    <xf numFmtId="3" fontId="192" fillId="0" borderId="11" xfId="3" applyNumberFormat="1" applyFont="1" applyBorder="1"/>
    <xf numFmtId="3" fontId="189" fillId="0" borderId="11" xfId="0" applyNumberFormat="1" applyFont="1" applyBorder="1"/>
    <xf numFmtId="3" fontId="189" fillId="0" borderId="0" xfId="3" applyNumberFormat="1" applyFont="1"/>
    <xf numFmtId="3" fontId="189" fillId="0" borderId="14" xfId="3" applyNumberFormat="1" applyFont="1" applyBorder="1"/>
    <xf numFmtId="3" fontId="189" fillId="0" borderId="16" xfId="3" applyNumberFormat="1" applyFont="1" applyBorder="1"/>
    <xf numFmtId="3" fontId="189" fillId="0" borderId="28" xfId="3" applyNumberFormat="1" applyFont="1" applyBorder="1"/>
    <xf numFmtId="3" fontId="192" fillId="0" borderId="16" xfId="3" applyNumberFormat="1" applyFont="1" applyBorder="1"/>
    <xf numFmtId="3" fontId="189" fillId="4" borderId="11" xfId="0" applyNumberFormat="1" applyFont="1" applyFill="1" applyBorder="1"/>
    <xf numFmtId="3" fontId="192" fillId="4" borderId="11" xfId="3" applyNumberFormat="1" applyFont="1" applyFill="1" applyBorder="1"/>
    <xf numFmtId="10" fontId="4" fillId="0" borderId="16" xfId="6" applyNumberFormat="1" applyFont="1" applyFill="1" applyBorder="1" applyAlignment="1">
      <alignment vertical="center"/>
    </xf>
    <xf numFmtId="10" fontId="189" fillId="0" borderId="11" xfId="6" applyNumberFormat="1" applyFont="1" applyFill="1" applyBorder="1" applyAlignment="1">
      <alignment horizontal="right" vertical="center"/>
    </xf>
    <xf numFmtId="10" fontId="192" fillId="0" borderId="11" xfId="6" applyNumberFormat="1" applyFont="1" applyFill="1" applyBorder="1" applyAlignment="1">
      <alignment vertical="center"/>
    </xf>
    <xf numFmtId="10" fontId="189" fillId="0" borderId="23" xfId="6" applyNumberFormat="1" applyFont="1" applyFill="1" applyBorder="1" applyAlignment="1">
      <alignment horizontal="right" vertical="center"/>
    </xf>
    <xf numFmtId="10" fontId="192" fillId="0" borderId="23" xfId="6" applyNumberFormat="1" applyFont="1" applyBorder="1" applyAlignment="1">
      <alignment vertical="center"/>
    </xf>
    <xf numFmtId="43" fontId="4" fillId="0" borderId="0" xfId="1" applyFont="1" applyFill="1" applyBorder="1" applyAlignment="1"/>
    <xf numFmtId="168" fontId="4" fillId="4" borderId="6" xfId="7" applyNumberFormat="1" applyFont="1" applyFill="1" applyBorder="1"/>
    <xf numFmtId="3" fontId="4" fillId="4" borderId="16" xfId="3" applyNumberFormat="1" applyFont="1" applyFill="1" applyBorder="1"/>
    <xf numFmtId="3" fontId="4" fillId="4" borderId="11" xfId="3" applyNumberFormat="1" applyFont="1" applyFill="1" applyBorder="1"/>
    <xf numFmtId="168" fontId="189" fillId="0" borderId="11" xfId="3" applyNumberFormat="1" applyFont="1" applyBorder="1"/>
    <xf numFmtId="168" fontId="4" fillId="4" borderId="8" xfId="7" applyNumberFormat="1" applyFont="1" applyFill="1" applyBorder="1"/>
    <xf numFmtId="168" fontId="4" fillId="4" borderId="16" xfId="7" applyNumberFormat="1" applyFont="1" applyFill="1" applyBorder="1"/>
    <xf numFmtId="168" fontId="192" fillId="4" borderId="16" xfId="7" applyNumberFormat="1" applyFont="1" applyFill="1" applyBorder="1"/>
    <xf numFmtId="3" fontId="192" fillId="4" borderId="16" xfId="7" applyNumberFormat="1" applyFont="1" applyFill="1" applyBorder="1"/>
    <xf numFmtId="3" fontId="192" fillId="4" borderId="28" xfId="7" applyNumberFormat="1" applyFont="1" applyFill="1" applyBorder="1"/>
    <xf numFmtId="3" fontId="4" fillId="4" borderId="13" xfId="3" applyNumberFormat="1" applyFont="1" applyFill="1" applyBorder="1"/>
    <xf numFmtId="3" fontId="4" fillId="4" borderId="18" xfId="3" applyNumberFormat="1" applyFont="1" applyFill="1" applyBorder="1"/>
    <xf numFmtId="168" fontId="4" fillId="4" borderId="11" xfId="3" applyNumberFormat="1" applyFont="1" applyFill="1" applyBorder="1"/>
    <xf numFmtId="168" fontId="4" fillId="4" borderId="12" xfId="3" applyNumberFormat="1" applyFont="1" applyFill="1" applyBorder="1"/>
    <xf numFmtId="167" fontId="209" fillId="0" borderId="0" xfId="5" applyNumberFormat="1" applyFont="1" applyFill="1" applyBorder="1" applyAlignment="1"/>
    <xf numFmtId="168" fontId="3" fillId="7" borderId="11" xfId="7" applyNumberFormat="1" applyFont="1" applyFill="1" applyBorder="1"/>
    <xf numFmtId="168" fontId="3" fillId="7" borderId="11" xfId="3" applyNumberFormat="1" applyFont="1" applyFill="1" applyBorder="1"/>
    <xf numFmtId="0" fontId="3" fillId="0" borderId="1" xfId="2" applyFont="1" applyBorder="1"/>
    <xf numFmtId="3" fontId="190" fillId="0" borderId="11" xfId="0" applyNumberFormat="1" applyFont="1" applyBorder="1"/>
    <xf numFmtId="3" fontId="212" fillId="0" borderId="11" xfId="3" applyNumberFormat="1" applyFont="1" applyBorder="1"/>
    <xf numFmtId="3" fontId="4" fillId="4" borderId="14" xfId="3" applyNumberFormat="1" applyFont="1" applyFill="1" applyBorder="1"/>
    <xf numFmtId="3" fontId="189" fillId="4" borderId="16" xfId="3" applyNumberFormat="1" applyFont="1" applyFill="1" applyBorder="1"/>
    <xf numFmtId="3" fontId="192" fillId="4" borderId="16" xfId="3" applyNumberFormat="1" applyFont="1" applyFill="1" applyBorder="1"/>
    <xf numFmtId="168" fontId="4" fillId="4" borderId="16" xfId="3" applyNumberFormat="1" applyFont="1" applyFill="1" applyBorder="1"/>
    <xf numFmtId="0" fontId="4" fillId="0" borderId="17" xfId="3" applyFont="1" applyBorder="1" applyAlignment="1">
      <alignment horizontal="left" indent="1"/>
    </xf>
    <xf numFmtId="3" fontId="4" fillId="4" borderId="13" xfId="0" applyNumberFormat="1" applyFont="1" applyFill="1" applyBorder="1"/>
    <xf numFmtId="3" fontId="4" fillId="4" borderId="11" xfId="0" applyNumberFormat="1" applyFont="1" applyFill="1" applyBorder="1"/>
    <xf numFmtId="0" fontId="165" fillId="0" borderId="0" xfId="3" applyFont="1"/>
    <xf numFmtId="0" fontId="165" fillId="0" borderId="0" xfId="3" applyFont="1" applyAlignment="1">
      <alignment vertical="center"/>
    </xf>
    <xf numFmtId="3" fontId="10" fillId="0" borderId="28" xfId="0" applyNumberFormat="1" applyFont="1" applyBorder="1"/>
    <xf numFmtId="3" fontId="10" fillId="0" borderId="18" xfId="3" applyNumberFormat="1" applyFont="1" applyBorder="1"/>
    <xf numFmtId="3" fontId="10" fillId="0" borderId="18" xfId="0" applyNumberFormat="1" applyFont="1" applyBorder="1"/>
    <xf numFmtId="3" fontId="165" fillId="0" borderId="18" xfId="3" applyNumberFormat="1" applyFont="1" applyBorder="1"/>
    <xf numFmtId="167" fontId="10" fillId="0" borderId="30" xfId="3" applyNumberFormat="1" applyFont="1" applyBorder="1"/>
    <xf numFmtId="0" fontId="10" fillId="0" borderId="0" xfId="3" applyFont="1" applyAlignment="1">
      <alignment horizontal="left" indent="1"/>
    </xf>
    <xf numFmtId="3" fontId="165" fillId="0" borderId="18" xfId="0" applyNumberFormat="1" applyFont="1" applyBorder="1"/>
    <xf numFmtId="167" fontId="10" fillId="0" borderId="0" xfId="3" applyNumberFormat="1" applyFont="1"/>
    <xf numFmtId="3" fontId="10" fillId="0" borderId="16" xfId="3" applyNumberFormat="1" applyFont="1" applyBorder="1"/>
    <xf numFmtId="3" fontId="10" fillId="0" borderId="11" xfId="3" applyNumberFormat="1" applyFont="1" applyBorder="1"/>
    <xf numFmtId="3" fontId="10" fillId="0" borderId="23" xfId="3" applyNumberFormat="1" applyFont="1" applyBorder="1"/>
    <xf numFmtId="10" fontId="10" fillId="4" borderId="16" xfId="6" applyNumberFormat="1" applyFont="1" applyFill="1" applyBorder="1" applyAlignment="1">
      <alignment horizontal="right" vertical="center"/>
    </xf>
    <xf numFmtId="10" fontId="214" fillId="4" borderId="11" xfId="6" applyNumberFormat="1" applyFont="1" applyFill="1" applyBorder="1" applyAlignment="1">
      <alignment horizontal="right" vertical="center"/>
    </xf>
    <xf numFmtId="10" fontId="214" fillId="4" borderId="23" xfId="6" applyNumberFormat="1" applyFont="1" applyFill="1" applyBorder="1" applyAlignment="1">
      <alignment horizontal="right" vertical="center"/>
    </xf>
    <xf numFmtId="3" fontId="10" fillId="0" borderId="6" xfId="7" applyNumberFormat="1" applyFont="1" applyBorder="1"/>
    <xf numFmtId="3" fontId="10" fillId="0" borderId="0" xfId="3" applyNumberFormat="1" applyFont="1"/>
    <xf numFmtId="3" fontId="10" fillId="0" borderId="28" xfId="3" applyNumberFormat="1" applyFont="1" applyBorder="1"/>
    <xf numFmtId="3" fontId="10" fillId="0" borderId="30" xfId="3" applyNumberFormat="1" applyFont="1" applyBorder="1"/>
    <xf numFmtId="168" fontId="213" fillId="0" borderId="28" xfId="7" applyNumberFormat="1" applyFont="1" applyBorder="1"/>
    <xf numFmtId="3" fontId="166" fillId="0" borderId="0" xfId="3" applyNumberFormat="1" applyFont="1"/>
    <xf numFmtId="3" fontId="165" fillId="0" borderId="0" xfId="3" applyNumberFormat="1" applyFont="1" applyAlignment="1">
      <alignment vertical="center"/>
    </xf>
    <xf numFmtId="3" fontId="165" fillId="0" borderId="23" xfId="3" applyNumberFormat="1" applyFont="1" applyBorder="1"/>
    <xf numFmtId="169" fontId="10" fillId="0" borderId="18" xfId="6" applyNumberFormat="1" applyFont="1" applyFill="1" applyBorder="1" applyAlignment="1"/>
    <xf numFmtId="167" fontId="10" fillId="0" borderId="18" xfId="6" applyNumberFormat="1" applyFont="1" applyBorder="1" applyAlignment="1"/>
    <xf numFmtId="4" fontId="165" fillId="0" borderId="18" xfId="3" applyNumberFormat="1" applyFont="1" applyBorder="1"/>
    <xf numFmtId="167" fontId="10" fillId="0" borderId="30" xfId="6" applyNumberFormat="1" applyFont="1" applyBorder="1" applyAlignment="1"/>
    <xf numFmtId="0" fontId="165" fillId="0" borderId="0" xfId="2" applyFont="1" applyAlignment="1">
      <alignment vertical="center"/>
    </xf>
    <xf numFmtId="0" fontId="166" fillId="0" borderId="0" xfId="3" applyFont="1" applyAlignment="1">
      <alignment vertical="top"/>
    </xf>
    <xf numFmtId="0" fontId="10" fillId="0" borderId="0" xfId="3" applyFont="1" applyAlignment="1">
      <alignment vertical="top"/>
    </xf>
    <xf numFmtId="0" fontId="10" fillId="0" borderId="0" xfId="7" applyFont="1" applyAlignment="1">
      <alignment vertical="top"/>
    </xf>
    <xf numFmtId="0" fontId="213" fillId="0" borderId="0" xfId="2" applyFont="1"/>
    <xf numFmtId="3" fontId="214" fillId="4" borderId="18" xfId="3" applyNumberFormat="1" applyFont="1" applyFill="1" applyBorder="1"/>
    <xf numFmtId="3" fontId="214" fillId="0" borderId="16" xfId="3" applyNumberFormat="1" applyFont="1" applyBorder="1"/>
    <xf numFmtId="3" fontId="214" fillId="0" borderId="11" xfId="3" applyNumberFormat="1" applyFont="1" applyBorder="1"/>
    <xf numFmtId="10" fontId="10" fillId="0" borderId="16" xfId="6" applyNumberFormat="1" applyFont="1" applyFill="1" applyBorder="1" applyAlignment="1">
      <alignment horizontal="right" vertical="center"/>
    </xf>
    <xf numFmtId="10" fontId="214" fillId="0" borderId="11" xfId="6" applyNumberFormat="1" applyFont="1" applyFill="1" applyBorder="1" applyAlignment="1">
      <alignment horizontal="right" vertical="center"/>
    </xf>
    <xf numFmtId="10" fontId="214" fillId="0" borderId="23" xfId="6" applyNumberFormat="1" applyFont="1" applyFill="1" applyBorder="1" applyAlignment="1">
      <alignment horizontal="right" vertical="center"/>
    </xf>
    <xf numFmtId="3" fontId="10" fillId="4" borderId="64" xfId="3" applyNumberFormat="1" applyFont="1" applyFill="1" applyBorder="1"/>
    <xf numFmtId="3" fontId="10" fillId="4" borderId="26" xfId="3" applyNumberFormat="1" applyFont="1" applyFill="1" applyBorder="1"/>
    <xf numFmtId="10" fontId="10" fillId="4" borderId="29" xfId="6" applyNumberFormat="1" applyFont="1" applyFill="1" applyBorder="1" applyAlignment="1">
      <alignment horizontal="right" vertical="center"/>
    </xf>
    <xf numFmtId="168" fontId="213" fillId="4" borderId="28" xfId="7" applyNumberFormat="1" applyFont="1" applyFill="1" applyBorder="1"/>
    <xf numFmtId="3" fontId="10" fillId="4" borderId="18" xfId="3" applyNumberFormat="1" applyFont="1" applyFill="1" applyBorder="1"/>
    <xf numFmtId="10" fontId="10" fillId="4" borderId="30" xfId="6" applyNumberFormat="1" applyFont="1" applyFill="1" applyBorder="1" applyAlignment="1">
      <alignment horizontal="right" vertical="center"/>
    </xf>
    <xf numFmtId="0" fontId="166" fillId="0" borderId="0" xfId="3" applyFont="1"/>
    <xf numFmtId="10" fontId="10" fillId="0" borderId="28" xfId="6" applyNumberFormat="1" applyFont="1" applyFill="1" applyBorder="1" applyAlignment="1"/>
    <xf numFmtId="168" fontId="165" fillId="0" borderId="18" xfId="3" applyNumberFormat="1" applyFont="1" applyBorder="1"/>
    <xf numFmtId="167" fontId="10" fillId="0" borderId="0" xfId="5" applyNumberFormat="1" applyFont="1" applyFill="1" applyBorder="1" applyAlignment="1"/>
    <xf numFmtId="3" fontId="214" fillId="4" borderId="28" xfId="3" applyNumberFormat="1" applyFont="1" applyFill="1" applyBorder="1"/>
    <xf numFmtId="168" fontId="213" fillId="0" borderId="6" xfId="7" applyNumberFormat="1" applyFont="1" applyBorder="1"/>
    <xf numFmtId="3" fontId="10" fillId="4" borderId="16" xfId="3" applyNumberFormat="1" applyFont="1" applyFill="1" applyBorder="1"/>
    <xf numFmtId="3" fontId="10" fillId="4" borderId="11" xfId="3" applyNumberFormat="1" applyFont="1" applyFill="1" applyBorder="1"/>
    <xf numFmtId="10" fontId="10" fillId="4" borderId="23" xfId="6" applyNumberFormat="1" applyFont="1" applyFill="1" applyBorder="1" applyAlignment="1">
      <alignment horizontal="right" vertical="center"/>
    </xf>
    <xf numFmtId="10" fontId="10" fillId="0" borderId="16" xfId="6" applyNumberFormat="1" applyFont="1" applyFill="1" applyBorder="1" applyAlignment="1"/>
    <xf numFmtId="169" fontId="10" fillId="0" borderId="11" xfId="6" applyNumberFormat="1" applyFont="1" applyFill="1" applyBorder="1" applyAlignment="1"/>
    <xf numFmtId="167" fontId="10" fillId="0" borderId="11" xfId="6" applyNumberFormat="1" applyFont="1" applyBorder="1" applyAlignment="1"/>
    <xf numFmtId="168" fontId="165" fillId="0" borderId="11" xfId="3" applyNumberFormat="1" applyFont="1" applyBorder="1"/>
    <xf numFmtId="4" fontId="165" fillId="0" borderId="11" xfId="3" applyNumberFormat="1" applyFont="1" applyBorder="1"/>
    <xf numFmtId="167" fontId="10" fillId="0" borderId="23" xfId="6" applyNumberFormat="1" applyFont="1" applyBorder="1" applyAlignment="1"/>
    <xf numFmtId="168" fontId="10" fillId="0" borderId="23" xfId="3" applyNumberFormat="1" applyFont="1" applyBorder="1"/>
    <xf numFmtId="3" fontId="201" fillId="0" borderId="78" xfId="0" applyNumberFormat="1" applyFont="1" applyBorder="1" applyAlignment="1">
      <alignment horizontal="left" vertical="center"/>
    </xf>
    <xf numFmtId="212" fontId="216" fillId="0" borderId="71" xfId="0" applyNumberFormat="1" applyFont="1" applyBorder="1" applyAlignment="1">
      <alignment horizontal="center" vertical="center"/>
    </xf>
    <xf numFmtId="3" fontId="198" fillId="0" borderId="78" xfId="0" applyNumberFormat="1" applyFont="1" applyBorder="1" applyAlignment="1">
      <alignment horizontal="left" vertical="center"/>
    </xf>
    <xf numFmtId="0" fontId="11" fillId="0" borderId="0" xfId="9" applyFont="1" applyAlignment="1">
      <alignment horizontal="left"/>
    </xf>
    <xf numFmtId="0" fontId="167" fillId="0" borderId="33" xfId="0" applyFont="1" applyBorder="1"/>
    <xf numFmtId="0" fontId="167" fillId="0" borderId="65" xfId="0" applyFont="1" applyBorder="1"/>
    <xf numFmtId="0" fontId="167" fillId="0" borderId="66" xfId="0" applyFont="1" applyBorder="1"/>
    <xf numFmtId="0" fontId="167" fillId="0" borderId="67" xfId="0" applyFont="1" applyBorder="1"/>
    <xf numFmtId="0" fontId="167" fillId="0" borderId="68" xfId="0" applyFont="1" applyBorder="1"/>
    <xf numFmtId="3" fontId="177" fillId="0" borderId="67" xfId="0" applyNumberFormat="1" applyFont="1" applyBorder="1" applyAlignment="1">
      <alignment horizontal="center" vertical="center"/>
    </xf>
    <xf numFmtId="0" fontId="201" fillId="0" borderId="0" xfId="0" applyFont="1"/>
    <xf numFmtId="223" fontId="201" fillId="0" borderId="0" xfId="0" applyNumberFormat="1" applyFont="1"/>
    <xf numFmtId="0" fontId="203" fillId="0" borderId="67" xfId="0" applyFont="1" applyBorder="1"/>
    <xf numFmtId="0" fontId="203" fillId="0" borderId="68" xfId="0" applyFont="1" applyBorder="1"/>
    <xf numFmtId="0" fontId="167" fillId="0" borderId="75" xfId="0" applyFont="1" applyBorder="1"/>
    <xf numFmtId="0" fontId="167" fillId="0" borderId="76" xfId="0" applyFont="1" applyBorder="1"/>
    <xf numFmtId="0" fontId="167" fillId="0" borderId="77" xfId="0" applyFont="1" applyBorder="1"/>
    <xf numFmtId="3" fontId="199" fillId="0" borderId="71" xfId="0" applyNumberFormat="1" applyFont="1" applyBorder="1" applyAlignment="1" applyProtection="1">
      <alignment horizontal="right" vertical="center"/>
      <protection locked="0"/>
    </xf>
    <xf numFmtId="168" fontId="15" fillId="4" borderId="7" xfId="2" applyNumberFormat="1" applyFont="1" applyFill="1" applyBorder="1"/>
    <xf numFmtId="168" fontId="15" fillId="4" borderId="61" xfId="2" applyNumberFormat="1" applyFont="1" applyFill="1" applyBorder="1"/>
    <xf numFmtId="168" fontId="15" fillId="4" borderId="5" xfId="2" applyNumberFormat="1" applyFont="1" applyFill="1" applyBorder="1"/>
    <xf numFmtId="0" fontId="172" fillId="8" borderId="73" xfId="0" applyFont="1" applyFill="1" applyBorder="1" applyAlignment="1">
      <alignment horizontal="left" vertical="center"/>
    </xf>
    <xf numFmtId="0" fontId="167" fillId="8" borderId="73" xfId="0" applyFont="1" applyFill="1" applyBorder="1" applyAlignment="1">
      <alignment horizontal="left" vertical="center"/>
    </xf>
    <xf numFmtId="43" fontId="11" fillId="0" borderId="0" xfId="1" applyFont="1" applyFill="1"/>
    <xf numFmtId="3" fontId="4" fillId="69" borderId="30" xfId="1297" applyNumberFormat="1" applyFont="1" applyFill="1" applyBorder="1"/>
    <xf numFmtId="168" fontId="173" fillId="69" borderId="7" xfId="2" applyNumberFormat="1" applyFont="1" applyFill="1" applyBorder="1"/>
    <xf numFmtId="168" fontId="173" fillId="69" borderId="6" xfId="2" applyNumberFormat="1" applyFont="1" applyFill="1" applyBorder="1"/>
    <xf numFmtId="3" fontId="173" fillId="69" borderId="6" xfId="2" applyNumberFormat="1" applyFont="1" applyFill="1" applyBorder="1"/>
    <xf numFmtId="3" fontId="173" fillId="69" borderId="5" xfId="2" applyNumberFormat="1" applyFont="1" applyFill="1" applyBorder="1"/>
    <xf numFmtId="3" fontId="176" fillId="69" borderId="7" xfId="2" applyNumberFormat="1" applyFont="1" applyFill="1" applyBorder="1"/>
    <xf numFmtId="168" fontId="181" fillId="69" borderId="7" xfId="2" applyNumberFormat="1" applyFont="1" applyFill="1" applyBorder="1"/>
    <xf numFmtId="168" fontId="181" fillId="69" borderId="6" xfId="2" applyNumberFormat="1" applyFont="1" applyFill="1" applyBorder="1"/>
    <xf numFmtId="4" fontId="15" fillId="8" borderId="22" xfId="2" applyNumberFormat="1" applyFont="1" applyFill="1" applyBorder="1"/>
    <xf numFmtId="212" fontId="4" fillId="0" borderId="11" xfId="3" applyNumberFormat="1" applyFont="1" applyBorder="1"/>
    <xf numFmtId="168" fontId="189" fillId="0" borderId="14" xfId="1297" applyNumberFormat="1" applyFont="1" applyBorder="1"/>
    <xf numFmtId="3" fontId="184" fillId="0" borderId="0" xfId="2" applyNumberFormat="1" applyFont="1"/>
    <xf numFmtId="0" fontId="217" fillId="0" borderId="0" xfId="1297" applyFont="1" applyAlignment="1">
      <alignment horizontal="center"/>
    </xf>
    <xf numFmtId="3" fontId="3" fillId="85" borderId="13" xfId="3" applyNumberFormat="1" applyFont="1" applyFill="1" applyBorder="1"/>
    <xf numFmtId="3" fontId="3" fillId="7" borderId="11" xfId="3" applyNumberFormat="1" applyFont="1" applyFill="1" applyBorder="1"/>
    <xf numFmtId="3" fontId="4" fillId="86" borderId="11" xfId="0" applyNumberFormat="1" applyFont="1" applyFill="1" applyBorder="1"/>
    <xf numFmtId="3" fontId="4" fillId="86" borderId="11" xfId="3" applyNumberFormat="1" applyFont="1" applyFill="1" applyBorder="1"/>
    <xf numFmtId="3" fontId="189" fillId="0" borderId="64" xfId="0" applyNumberFormat="1" applyFont="1" applyBorder="1"/>
    <xf numFmtId="3" fontId="189" fillId="4" borderId="26" xfId="3" applyNumberFormat="1" applyFont="1" applyFill="1" applyBorder="1"/>
    <xf numFmtId="3" fontId="189" fillId="0" borderId="26" xfId="0" applyNumberFormat="1" applyFont="1" applyBorder="1"/>
    <xf numFmtId="3" fontId="3" fillId="0" borderId="26" xfId="3" applyNumberFormat="1" applyFont="1" applyBorder="1"/>
    <xf numFmtId="167" fontId="10" fillId="0" borderId="29" xfId="3" applyNumberFormat="1" applyFont="1" applyBorder="1"/>
    <xf numFmtId="3" fontId="214" fillId="0" borderId="9" xfId="0" applyNumberFormat="1" applyFont="1" applyBorder="1"/>
    <xf numFmtId="3" fontId="214" fillId="0" borderId="12" xfId="0" applyNumberFormat="1" applyFont="1" applyBorder="1"/>
    <xf numFmtId="3" fontId="165" fillId="0" borderId="12" xfId="0" applyNumberFormat="1" applyFont="1" applyBorder="1"/>
    <xf numFmtId="167" fontId="10" fillId="0" borderId="20" xfId="3" applyNumberFormat="1" applyFont="1" applyBorder="1"/>
    <xf numFmtId="10" fontId="10" fillId="0" borderId="64" xfId="6" applyNumberFormat="1" applyFont="1" applyFill="1" applyBorder="1" applyAlignment="1">
      <alignment horizontal="right" vertical="center"/>
    </xf>
    <xf numFmtId="10" fontId="214" fillId="0" borderId="26" xfId="6" applyNumberFormat="1" applyFont="1" applyFill="1" applyBorder="1" applyAlignment="1">
      <alignment horizontal="right" vertical="center"/>
    </xf>
    <xf numFmtId="10" fontId="214" fillId="0" borderId="29" xfId="6" applyNumberFormat="1" applyFont="1" applyFill="1" applyBorder="1" applyAlignment="1">
      <alignment horizontal="right" vertical="center"/>
    </xf>
    <xf numFmtId="168" fontId="4" fillId="4" borderId="7" xfId="7" applyNumberFormat="1" applyFont="1" applyFill="1" applyBorder="1"/>
    <xf numFmtId="10" fontId="4" fillId="85" borderId="14" xfId="6" applyNumberFormat="1" applyFont="1" applyFill="1" applyBorder="1" applyAlignment="1"/>
    <xf numFmtId="169" fontId="4" fillId="85" borderId="13" xfId="6" applyNumberFormat="1" applyFont="1" applyFill="1" applyBorder="1" applyAlignment="1"/>
    <xf numFmtId="0" fontId="173" fillId="0" borderId="32" xfId="2" applyFont="1" applyBorder="1"/>
    <xf numFmtId="0" fontId="173" fillId="0" borderId="27" xfId="2" applyFont="1" applyBorder="1"/>
    <xf numFmtId="168" fontId="173" fillId="80" borderId="9" xfId="1" applyNumberFormat="1" applyFont="1" applyFill="1" applyBorder="1"/>
    <xf numFmtId="168" fontId="15" fillId="0" borderId="24" xfId="2" applyNumberFormat="1" applyFont="1" applyBorder="1"/>
    <xf numFmtId="168" fontId="15" fillId="0" borderId="23" xfId="2" applyNumberFormat="1" applyFont="1" applyBorder="1"/>
    <xf numFmtId="168" fontId="173" fillId="0" borderId="0" xfId="1" applyNumberFormat="1" applyFont="1" applyFill="1" applyBorder="1"/>
    <xf numFmtId="168" fontId="173" fillId="0" borderId="17" xfId="1" applyNumberFormat="1" applyFont="1" applyFill="1" applyBorder="1"/>
    <xf numFmtId="167" fontId="173" fillId="0" borderId="27" xfId="14" applyNumberFormat="1" applyFont="1" applyFill="1" applyBorder="1"/>
    <xf numFmtId="221" fontId="173" fillId="85" borderId="8" xfId="1" applyNumberFormat="1" applyFont="1" applyFill="1" applyBorder="1"/>
    <xf numFmtId="221" fontId="173" fillId="85" borderId="32" xfId="1" applyNumberFormat="1" applyFont="1" applyFill="1" applyBorder="1"/>
    <xf numFmtId="221" fontId="173" fillId="85" borderId="9" xfId="1" applyNumberFormat="1" applyFont="1" applyFill="1" applyBorder="1"/>
    <xf numFmtId="168" fontId="190" fillId="0" borderId="63" xfId="7" applyNumberFormat="1" applyFont="1" applyBorder="1"/>
    <xf numFmtId="168" fontId="181" fillId="0" borderId="12" xfId="2" applyNumberFormat="1" applyFont="1" applyBorder="1"/>
    <xf numFmtId="170" fontId="196" fillId="0" borderId="4" xfId="0" applyNumberFormat="1" applyFont="1" applyBorder="1" applyAlignment="1">
      <alignment horizontal="left" vertical="center"/>
    </xf>
    <xf numFmtId="0" fontId="173" fillId="0" borderId="27" xfId="2" applyFont="1" applyBorder="1" applyAlignment="1">
      <alignment horizontal="left"/>
    </xf>
    <xf numFmtId="3" fontId="194" fillId="0" borderId="7" xfId="0" applyNumberFormat="1" applyFont="1" applyBorder="1" applyAlignment="1">
      <alignment horizontal="right" vertical="center" shrinkToFit="1"/>
    </xf>
    <xf numFmtId="3" fontId="194" fillId="0" borderId="6" xfId="0" applyNumberFormat="1" applyFont="1" applyBorder="1" applyAlignment="1">
      <alignment horizontal="right" vertical="center" shrinkToFit="1"/>
    </xf>
    <xf numFmtId="3" fontId="194" fillId="0" borderId="63" xfId="0" applyNumberFormat="1" applyFont="1" applyBorder="1" applyAlignment="1">
      <alignment horizontal="right" vertical="center" shrinkToFit="1"/>
    </xf>
    <xf numFmtId="3" fontId="195" fillId="0" borderId="21" xfId="0" applyNumberFormat="1" applyFont="1" applyBorder="1" applyAlignment="1">
      <alignment horizontal="right" vertical="center" shrinkToFit="1"/>
    </xf>
    <xf numFmtId="0" fontId="195" fillId="0" borderId="0" xfId="0" applyFont="1"/>
    <xf numFmtId="0" fontId="193" fillId="4" borderId="7" xfId="0" applyFont="1" applyFill="1" applyBorder="1" applyAlignment="1">
      <alignment horizontal="center" vertical="center" wrapText="1"/>
    </xf>
    <xf numFmtId="0" fontId="193" fillId="4" borderId="21" xfId="0" applyFont="1" applyFill="1" applyBorder="1" applyAlignment="1">
      <alignment horizontal="center" vertical="center" wrapText="1"/>
    </xf>
    <xf numFmtId="0" fontId="193" fillId="4" borderId="61" xfId="0" applyFont="1" applyFill="1" applyBorder="1" applyAlignment="1">
      <alignment horizontal="center" vertical="center" wrapText="1"/>
    </xf>
    <xf numFmtId="0" fontId="193" fillId="4" borderId="7" xfId="0" applyFont="1" applyFill="1" applyBorder="1" applyAlignment="1">
      <alignment horizontal="center" vertical="center"/>
    </xf>
    <xf numFmtId="0" fontId="193" fillId="4" borderId="6" xfId="0" applyFont="1" applyFill="1" applyBorder="1" applyAlignment="1">
      <alignment horizontal="center" vertical="center"/>
    </xf>
    <xf numFmtId="0" fontId="193" fillId="4" borderId="21" xfId="0" applyFont="1" applyFill="1" applyBorder="1" applyAlignment="1">
      <alignment horizontal="center" vertical="center"/>
    </xf>
    <xf numFmtId="3" fontId="194" fillId="0" borderId="10" xfId="0" applyNumberFormat="1" applyFont="1" applyBorder="1" applyAlignment="1">
      <alignment horizontal="right" vertical="center" shrinkToFit="1"/>
    </xf>
    <xf numFmtId="3" fontId="194" fillId="0" borderId="18" xfId="0" applyNumberFormat="1" applyFont="1" applyBorder="1" applyAlignment="1">
      <alignment horizontal="right" vertical="center" shrinkToFit="1"/>
    </xf>
    <xf numFmtId="3" fontId="194" fillId="0" borderId="25" xfId="0" applyNumberFormat="1" applyFont="1" applyBorder="1" applyAlignment="1">
      <alignment horizontal="right" vertical="center" shrinkToFit="1"/>
    </xf>
    <xf numFmtId="3" fontId="194" fillId="0" borderId="13" xfId="0" applyNumberFormat="1" applyFont="1" applyBorder="1" applyAlignment="1">
      <alignment horizontal="right" vertical="center" shrinkToFit="1"/>
    </xf>
    <xf numFmtId="3" fontId="194" fillId="0" borderId="11" xfId="0" applyNumberFormat="1" applyFont="1" applyBorder="1" applyAlignment="1">
      <alignment horizontal="right" vertical="center" shrinkToFit="1"/>
    </xf>
    <xf numFmtId="3" fontId="194" fillId="0" borderId="26" xfId="0" applyNumberFormat="1" applyFont="1" applyBorder="1" applyAlignment="1">
      <alignment horizontal="right" vertical="center" shrinkToFit="1"/>
    </xf>
    <xf numFmtId="170" fontId="0" fillId="0" borderId="0" xfId="1366" applyNumberFormat="1" applyFont="1"/>
    <xf numFmtId="9" fontId="0" fillId="0" borderId="0" xfId="0" applyNumberFormat="1"/>
    <xf numFmtId="9" fontId="0" fillId="0" borderId="0" xfId="14" applyFont="1"/>
    <xf numFmtId="43" fontId="0" fillId="0" borderId="0" xfId="0" applyNumberFormat="1"/>
    <xf numFmtId="43" fontId="0" fillId="0" borderId="0" xfId="1366" applyFont="1"/>
    <xf numFmtId="0" fontId="173" fillId="0" borderId="32" xfId="2" applyFont="1" applyBorder="1" applyAlignment="1">
      <alignment horizontal="left"/>
    </xf>
    <xf numFmtId="0" fontId="173" fillId="0" borderId="0" xfId="2" applyFont="1" applyAlignment="1">
      <alignment horizontal="left"/>
    </xf>
    <xf numFmtId="168" fontId="181" fillId="0" borderId="0" xfId="2" applyNumberFormat="1" applyFont="1"/>
    <xf numFmtId="168" fontId="181" fillId="0" borderId="9" xfId="2" applyNumberFormat="1" applyFont="1" applyBorder="1"/>
    <xf numFmtId="168" fontId="181" fillId="69" borderId="19" xfId="2" applyNumberFormat="1" applyFont="1" applyFill="1" applyBorder="1"/>
    <xf numFmtId="168" fontId="181" fillId="69" borderId="27" xfId="2" applyNumberFormat="1" applyFont="1" applyFill="1" applyBorder="1"/>
    <xf numFmtId="3" fontId="173" fillId="69" borderId="27" xfId="2" applyNumberFormat="1" applyFont="1" applyFill="1" applyBorder="1"/>
    <xf numFmtId="3" fontId="173" fillId="69" borderId="20" xfId="2" applyNumberFormat="1" applyFont="1" applyFill="1" applyBorder="1"/>
    <xf numFmtId="0" fontId="194" fillId="0" borderId="13" xfId="0" applyFont="1" applyBorder="1" applyAlignment="1">
      <alignment horizontal="left" vertical="center" wrapText="1"/>
    </xf>
    <xf numFmtId="0" fontId="194" fillId="0" borderId="18" xfId="0" applyFont="1" applyBorder="1" applyAlignment="1">
      <alignment horizontal="left" vertical="center" wrapText="1"/>
    </xf>
    <xf numFmtId="3" fontId="195" fillId="0" borderId="18" xfId="0" applyNumberFormat="1" applyFont="1" applyBorder="1" applyAlignment="1">
      <alignment horizontal="right" vertical="center" shrinkToFit="1"/>
    </xf>
    <xf numFmtId="0" fontId="196" fillId="0" borderId="13" xfId="0" applyFont="1" applyBorder="1" applyAlignment="1">
      <alignment horizontal="left" vertical="center" wrapText="1"/>
    </xf>
    <xf numFmtId="3" fontId="191" fillId="0" borderId="0" xfId="0" applyNumberFormat="1" applyFont="1"/>
    <xf numFmtId="0" fontId="193" fillId="0" borderId="0" xfId="0" applyFont="1" applyAlignment="1">
      <alignment wrapText="1"/>
    </xf>
    <xf numFmtId="0" fontId="0" fillId="0" borderId="0" xfId="0" applyAlignment="1">
      <alignment wrapText="1"/>
    </xf>
    <xf numFmtId="10" fontId="4" fillId="0" borderId="14" xfId="6" applyNumberFormat="1" applyFont="1" applyFill="1" applyBorder="1" applyAlignment="1">
      <alignment horizontal="right" vertical="center"/>
    </xf>
    <xf numFmtId="10" fontId="4" fillId="0" borderId="28" xfId="6" applyNumberFormat="1" applyFont="1" applyFill="1" applyBorder="1" applyAlignment="1">
      <alignment horizontal="right" vertical="center"/>
    </xf>
    <xf numFmtId="3" fontId="189" fillId="0" borderId="28" xfId="0" applyNumberFormat="1" applyFont="1" applyBorder="1"/>
    <xf numFmtId="3" fontId="189" fillId="0" borderId="18" xfId="3" applyNumberFormat="1" applyFont="1" applyBorder="1"/>
    <xf numFmtId="3" fontId="189" fillId="0" borderId="18" xfId="0" applyNumberFormat="1" applyFont="1" applyBorder="1"/>
    <xf numFmtId="167" fontId="4" fillId="0" borderId="14" xfId="6" applyNumberFormat="1" applyFont="1" applyFill="1" applyBorder="1" applyAlignment="1">
      <alignment horizontal="right" vertical="center"/>
    </xf>
    <xf numFmtId="167" fontId="4" fillId="0" borderId="16" xfId="6" applyNumberFormat="1" applyFont="1" applyFill="1" applyBorder="1" applyAlignment="1">
      <alignment horizontal="right" vertical="center"/>
    </xf>
    <xf numFmtId="214" fontId="161" fillId="0" borderId="0" xfId="1280" applyNumberFormat="1" applyFont="1" applyFill="1" applyBorder="1" applyAlignment="1">
      <alignment horizontal="right"/>
    </xf>
    <xf numFmtId="49" fontId="153" fillId="0" borderId="0" xfId="241" quotePrefix="1" applyNumberFormat="1" applyFont="1" applyFill="1" applyAlignment="1">
      <alignment horizontal="center" vertical="center"/>
    </xf>
    <xf numFmtId="0" fontId="153" fillId="0" borderId="0" xfId="269" applyFont="1" applyFill="1" applyAlignment="1"/>
    <xf numFmtId="0" fontId="152" fillId="77" borderId="12" xfId="241" applyFont="1" applyFill="1" applyBorder="1" applyAlignment="1"/>
    <xf numFmtId="49" fontId="160" fillId="0" borderId="0" xfId="241" applyNumberFormat="1" applyFont="1" applyFill="1" applyAlignment="1">
      <alignment horizontal="center" vertical="center"/>
    </xf>
    <xf numFmtId="0" fontId="160" fillId="0" borderId="0" xfId="241" applyFont="1" applyFill="1" applyAlignment="1">
      <alignment horizontal="left" indent="2"/>
    </xf>
    <xf numFmtId="0" fontId="161" fillId="0" borderId="12" xfId="241" applyFont="1" applyFill="1" applyBorder="1" applyAlignment="1"/>
    <xf numFmtId="214" fontId="161" fillId="0" borderId="0" xfId="241" applyNumberFormat="1" applyFont="1" applyFill="1" applyBorder="1" applyAlignment="1"/>
    <xf numFmtId="213" fontId="152" fillId="0" borderId="0" xfId="3" applyNumberFormat="1" applyFont="1" applyAlignment="1">
      <alignment horizontal="center"/>
    </xf>
    <xf numFmtId="214" fontId="161" fillId="0" borderId="0" xfId="241" applyNumberFormat="1" applyFont="1" applyFill="1" applyBorder="1" applyAlignment="1">
      <alignment horizontal="right"/>
    </xf>
    <xf numFmtId="0" fontId="11" fillId="0" borderId="12" xfId="11" applyFont="1" applyBorder="1" applyAlignment="1">
      <alignment vertical="center"/>
    </xf>
    <xf numFmtId="0" fontId="153" fillId="71" borderId="0" xfId="11" applyFont="1" applyFill="1" applyAlignment="1">
      <alignment vertical="center"/>
    </xf>
    <xf numFmtId="0" fontId="11" fillId="78" borderId="12" xfId="3" applyFont="1" applyFill="1" applyBorder="1"/>
    <xf numFmtId="0" fontId="152" fillId="78" borderId="0" xfId="3" applyFont="1" applyFill="1"/>
    <xf numFmtId="0" fontId="152" fillId="71" borderId="0" xfId="2" applyFont="1" applyFill="1"/>
    <xf numFmtId="0" fontId="220" fillId="0" borderId="0" xfId="1282" applyFont="1" applyAlignment="1">
      <alignment horizontal="center" vertical="center"/>
    </xf>
    <xf numFmtId="49" fontId="220" fillId="0" borderId="0" xfId="1282" quotePrefix="1" applyNumberFormat="1" applyFont="1" applyAlignment="1">
      <alignment horizontal="center" vertical="center"/>
    </xf>
    <xf numFmtId="0" fontId="153" fillId="0" borderId="0" xfId="850" applyFont="1" applyAlignment="1">
      <alignment vertical="center"/>
    </xf>
    <xf numFmtId="0" fontId="221" fillId="71" borderId="0" xfId="2" applyFont="1" applyFill="1" applyAlignment="1">
      <alignment vertical="center"/>
    </xf>
    <xf numFmtId="0" fontId="191" fillId="0" borderId="0" xfId="1437" applyFont="1" applyAlignment="1">
      <alignment vertical="center"/>
    </xf>
    <xf numFmtId="0" fontId="160" fillId="0" borderId="0" xfId="850" applyFont="1" applyAlignment="1">
      <alignment horizontal="left" vertical="center" indent="2"/>
    </xf>
    <xf numFmtId="0" fontId="11" fillId="0" borderId="12" xfId="850" applyFont="1" applyBorder="1" applyAlignment="1">
      <alignment vertical="center"/>
    </xf>
    <xf numFmtId="0" fontId="222" fillId="71" borderId="0" xfId="2" applyFont="1" applyFill="1" applyAlignment="1">
      <alignment vertical="center"/>
    </xf>
    <xf numFmtId="214" fontId="161" fillId="0" borderId="0" xfId="1438" applyNumberFormat="1" applyFont="1" applyFill="1" applyAlignment="1">
      <alignment vertical="center"/>
    </xf>
    <xf numFmtId="4" fontId="161" fillId="0" borderId="0" xfId="1438" applyNumberFormat="1" applyFont="1" applyFill="1" applyAlignment="1">
      <alignment vertical="center"/>
    </xf>
    <xf numFmtId="0" fontId="153" fillId="0" borderId="0" xfId="240" applyFont="1" applyFill="1" applyAlignment="1">
      <alignment vertical="center" wrapText="1"/>
    </xf>
    <xf numFmtId="0" fontId="160" fillId="0" borderId="0" xfId="241" applyFont="1" applyFill="1" applyAlignment="1">
      <alignment horizontal="left" vertical="center" indent="2"/>
    </xf>
    <xf numFmtId="0" fontId="11" fillId="0" borderId="12" xfId="241" applyFont="1" applyFill="1" applyBorder="1" applyAlignment="1">
      <alignment horizontal="left" vertical="center" indent="2"/>
    </xf>
    <xf numFmtId="0" fontId="153" fillId="0" borderId="0" xfId="850" applyFont="1"/>
    <xf numFmtId="0" fontId="160" fillId="0" borderId="0" xfId="850" applyFont="1" applyAlignment="1">
      <alignment horizontal="left" indent="2"/>
    </xf>
    <xf numFmtId="0" fontId="161" fillId="0" borderId="12" xfId="0" applyFont="1" applyBorder="1"/>
    <xf numFmtId="0" fontId="221" fillId="71" borderId="0" xfId="1282" applyFont="1" applyFill="1"/>
    <xf numFmtId="4" fontId="191" fillId="0" borderId="0" xfId="1437" applyNumberFormat="1" applyFont="1" applyAlignment="1">
      <alignment vertical="center"/>
    </xf>
    <xf numFmtId="10" fontId="222" fillId="0" borderId="0" xfId="849" applyNumberFormat="1" applyFont="1" applyFill="1" applyAlignment="1">
      <alignment vertical="center"/>
    </xf>
    <xf numFmtId="0" fontId="152" fillId="78" borderId="12" xfId="3" applyFont="1" applyFill="1" applyBorder="1"/>
    <xf numFmtId="0" fontId="153" fillId="0" borderId="0" xfId="241" applyFont="1" applyFill="1" applyAlignment="1"/>
    <xf numFmtId="224" fontId="161" fillId="0" borderId="0" xfId="1" applyNumberFormat="1" applyFont="1" applyFill="1" applyAlignment="1"/>
    <xf numFmtId="3" fontId="4" fillId="7" borderId="1" xfId="1297" applyNumberFormat="1" applyFont="1" applyFill="1" applyBorder="1"/>
    <xf numFmtId="3" fontId="189" fillId="7" borderId="13" xfId="1297" applyNumberFormat="1" applyFont="1" applyFill="1" applyBorder="1"/>
    <xf numFmtId="0" fontId="167" fillId="85" borderId="0" xfId="0" applyFont="1" applyFill="1" applyAlignment="1">
      <alignment wrapText="1"/>
    </xf>
    <xf numFmtId="3" fontId="183" fillId="0" borderId="0" xfId="2" applyNumberFormat="1" applyFont="1"/>
    <xf numFmtId="168" fontId="181" fillId="7" borderId="32" xfId="2" applyNumberFormat="1" applyFont="1" applyFill="1" applyBorder="1"/>
    <xf numFmtId="0" fontId="223" fillId="0" borderId="0" xfId="3" applyFont="1" applyAlignment="1">
      <alignment vertical="center"/>
    </xf>
    <xf numFmtId="3" fontId="10" fillId="0" borderId="14" xfId="0" applyNumberFormat="1" applyFont="1" applyBorder="1"/>
    <xf numFmtId="3" fontId="10" fillId="0" borderId="13" xfId="0" applyNumberFormat="1" applyFont="1" applyBorder="1"/>
    <xf numFmtId="3" fontId="3" fillId="0" borderId="29" xfId="3" applyNumberFormat="1" applyFont="1" applyBorder="1"/>
    <xf numFmtId="3" fontId="214" fillId="0" borderId="64" xfId="3" applyNumberFormat="1" applyFont="1" applyBorder="1"/>
    <xf numFmtId="3" fontId="214" fillId="0" borderId="26" xfId="3" applyNumberFormat="1" applyFont="1" applyBorder="1"/>
    <xf numFmtId="1" fontId="4" fillId="0" borderId="0" xfId="2" applyNumberFormat="1" applyFont="1"/>
    <xf numFmtId="168" fontId="4" fillId="7" borderId="6" xfId="3" applyNumberFormat="1" applyFont="1" applyFill="1" applyBorder="1"/>
    <xf numFmtId="3" fontId="195" fillId="0" borderId="26" xfId="0" applyNumberFormat="1" applyFont="1" applyBorder="1" applyAlignment="1">
      <alignment horizontal="center" vertical="center"/>
    </xf>
    <xf numFmtId="3" fontId="195" fillId="0" borderId="12" xfId="0" applyNumberFormat="1" applyFont="1" applyBorder="1" applyAlignment="1">
      <alignment horizontal="center" vertical="center"/>
    </xf>
    <xf numFmtId="0" fontId="196" fillId="0" borderId="14" xfId="0" applyFont="1" applyBorder="1" applyAlignment="1">
      <alignment horizontal="left" vertical="center" wrapText="1"/>
    </xf>
    <xf numFmtId="0" fontId="194" fillId="0" borderId="28" xfId="0" applyFont="1" applyBorder="1" applyAlignment="1">
      <alignment horizontal="left" vertical="center" wrapText="1"/>
    </xf>
    <xf numFmtId="3" fontId="195" fillId="0" borderId="15" xfId="0" applyNumberFormat="1" applyFont="1" applyBorder="1" applyAlignment="1">
      <alignment horizontal="right" vertical="center" shrinkToFit="1"/>
    </xf>
    <xf numFmtId="3" fontId="195" fillId="0" borderId="28" xfId="0" applyNumberFormat="1" applyFont="1" applyBorder="1" applyAlignment="1">
      <alignment horizontal="right" vertical="center" shrinkToFit="1"/>
    </xf>
    <xf numFmtId="3" fontId="195" fillId="0" borderId="1" xfId="0" applyNumberFormat="1" applyFont="1" applyBorder="1" applyAlignment="1">
      <alignment horizontal="right" vertical="center" shrinkToFit="1"/>
    </xf>
    <xf numFmtId="3" fontId="195" fillId="0" borderId="14" xfId="0" applyNumberFormat="1" applyFont="1" applyBorder="1" applyAlignment="1">
      <alignment horizontal="right" vertical="center" shrinkToFit="1"/>
    </xf>
    <xf numFmtId="3" fontId="195" fillId="0" borderId="16" xfId="0" applyNumberFormat="1" applyFont="1" applyBorder="1" applyAlignment="1">
      <alignment horizontal="right" vertical="center" shrinkToFit="1"/>
    </xf>
    <xf numFmtId="3" fontId="195" fillId="0" borderId="64" xfId="0" applyNumberFormat="1" applyFont="1" applyBorder="1" applyAlignment="1">
      <alignment horizontal="right" vertical="center" shrinkToFit="1"/>
    </xf>
    <xf numFmtId="3" fontId="194" fillId="85" borderId="11" xfId="0" applyNumberFormat="1" applyFont="1" applyFill="1" applyBorder="1" applyAlignment="1">
      <alignment horizontal="right" vertical="center" shrinkToFit="1"/>
    </xf>
    <xf numFmtId="3" fontId="194" fillId="85" borderId="26" xfId="0" applyNumberFormat="1" applyFont="1" applyFill="1" applyBorder="1" applyAlignment="1">
      <alignment horizontal="right" vertical="center" shrinkToFit="1"/>
    </xf>
    <xf numFmtId="3" fontId="191" fillId="0" borderId="0" xfId="0" applyNumberFormat="1" applyFont="1" applyAlignment="1">
      <alignment wrapText="1"/>
    </xf>
    <xf numFmtId="0" fontId="191" fillId="0" borderId="22" xfId="0" applyFont="1" applyBorder="1" applyAlignment="1">
      <alignment horizontal="left" vertical="center"/>
    </xf>
    <xf numFmtId="0" fontId="191" fillId="0" borderId="3" xfId="0" applyFont="1" applyBorder="1" applyAlignment="1">
      <alignment horizontal="left" vertical="center"/>
    </xf>
    <xf numFmtId="3" fontId="191" fillId="0" borderId="5" xfId="0" applyNumberFormat="1" applyFont="1" applyBorder="1" applyAlignment="1">
      <alignment horizontal="right" vertical="center" shrinkToFit="1"/>
    </xf>
    <xf numFmtId="3" fontId="191" fillId="0" borderId="22" xfId="0" applyNumberFormat="1" applyFont="1" applyBorder="1" applyAlignment="1">
      <alignment horizontal="right" vertical="center" shrinkToFit="1"/>
    </xf>
    <xf numFmtId="3" fontId="191" fillId="0" borderId="3" xfId="0" applyNumberFormat="1" applyFont="1" applyBorder="1" applyAlignment="1">
      <alignment horizontal="right" vertical="center" shrinkToFit="1"/>
    </xf>
    <xf numFmtId="170" fontId="193" fillId="0" borderId="7" xfId="0" applyNumberFormat="1" applyFont="1" applyBorder="1" applyAlignment="1">
      <alignment horizontal="left" vertical="center"/>
    </xf>
    <xf numFmtId="0" fontId="193" fillId="0" borderId="21" xfId="0" applyFont="1" applyBorder="1" applyAlignment="1">
      <alignment horizontal="left" vertical="center"/>
    </xf>
    <xf numFmtId="3" fontId="193" fillId="0" borderId="61" xfId="0" applyNumberFormat="1" applyFont="1" applyBorder="1" applyAlignment="1">
      <alignment horizontal="right" vertical="center" shrinkToFit="1"/>
    </xf>
    <xf numFmtId="3" fontId="193" fillId="0" borderId="21" xfId="0" applyNumberFormat="1" applyFont="1" applyBorder="1" applyAlignment="1">
      <alignment horizontal="right" vertical="center" shrinkToFit="1"/>
    </xf>
    <xf numFmtId="3" fontId="193" fillId="0" borderId="22" xfId="0" applyNumberFormat="1" applyFont="1" applyBorder="1" applyAlignment="1">
      <alignment horizontal="right" vertical="center" shrinkToFit="1"/>
    </xf>
    <xf numFmtId="3" fontId="193" fillId="0" borderId="16" xfId="0" applyNumberFormat="1" applyFont="1" applyBorder="1" applyAlignment="1">
      <alignment horizontal="right" vertical="center" shrinkToFit="1"/>
    </xf>
    <xf numFmtId="3" fontId="193" fillId="0" borderId="64" xfId="0" applyNumberFormat="1" applyFont="1" applyBorder="1" applyAlignment="1">
      <alignment horizontal="right" vertical="center" shrinkToFit="1"/>
    </xf>
    <xf numFmtId="3" fontId="193" fillId="0" borderId="28" xfId="0" applyNumberFormat="1" applyFont="1" applyBorder="1" applyAlignment="1">
      <alignment horizontal="right" vertical="center" shrinkToFit="1"/>
    </xf>
    <xf numFmtId="170" fontId="196" fillId="0" borderId="7" xfId="0" applyNumberFormat="1" applyFont="1" applyBorder="1" applyAlignment="1">
      <alignment horizontal="left" vertical="center"/>
    </xf>
    <xf numFmtId="170" fontId="196" fillId="0" borderId="3" xfId="0" applyNumberFormat="1" applyFont="1" applyBorder="1" applyAlignment="1">
      <alignment horizontal="left" vertical="center"/>
    </xf>
    <xf numFmtId="170" fontId="196" fillId="0" borderId="5" xfId="0" applyNumberFormat="1" applyFont="1" applyBorder="1" applyAlignment="1">
      <alignment horizontal="left" vertical="center"/>
    </xf>
    <xf numFmtId="0" fontId="191" fillId="0" borderId="0" xfId="0" applyFont="1" applyAlignment="1" applyProtection="1">
      <alignment wrapText="1"/>
      <protection locked="0"/>
    </xf>
    <xf numFmtId="0" fontId="193" fillId="0" borderId="0" xfId="0" applyFont="1" applyAlignment="1" applyProtection="1">
      <alignment wrapText="1"/>
      <protection locked="0"/>
    </xf>
    <xf numFmtId="3" fontId="194" fillId="0" borderId="64" xfId="0" applyNumberFormat="1" applyFont="1" applyBorder="1" applyAlignment="1">
      <alignment horizontal="right" vertical="center" shrinkToFit="1"/>
    </xf>
    <xf numFmtId="225" fontId="0" fillId="0" borderId="0" xfId="1" applyNumberFormat="1" applyFont="1"/>
    <xf numFmtId="0" fontId="225" fillId="0" borderId="0" xfId="0" applyFont="1"/>
    <xf numFmtId="3" fontId="195" fillId="0" borderId="26" xfId="0" applyNumberFormat="1" applyFont="1" applyBorder="1" applyAlignment="1">
      <alignment horizontal="right" vertical="center" shrinkToFit="1"/>
    </xf>
    <xf numFmtId="3" fontId="226" fillId="0" borderId="17" xfId="0" applyNumberFormat="1" applyFont="1" applyBorder="1" applyAlignment="1">
      <alignment horizontal="right" vertical="center" shrinkToFit="1"/>
    </xf>
    <xf numFmtId="3" fontId="226" fillId="0" borderId="0" xfId="0" applyNumberFormat="1" applyFont="1" applyAlignment="1">
      <alignment horizontal="right" vertical="center" shrinkToFit="1"/>
    </xf>
    <xf numFmtId="168" fontId="196" fillId="0" borderId="63" xfId="0" applyNumberFormat="1" applyFont="1" applyBorder="1" applyAlignment="1">
      <alignment horizontal="right" vertical="center" shrinkToFit="1"/>
    </xf>
    <xf numFmtId="168" fontId="227" fillId="0" borderId="63" xfId="0" applyNumberFormat="1" applyFont="1" applyBorder="1" applyAlignment="1">
      <alignment horizontal="right" vertical="center" shrinkToFit="1"/>
    </xf>
    <xf numFmtId="168" fontId="227" fillId="0" borderId="21" xfId="0" applyNumberFormat="1" applyFont="1" applyBorder="1" applyAlignment="1">
      <alignment horizontal="right" vertical="center" shrinkToFit="1"/>
    </xf>
    <xf numFmtId="168" fontId="226" fillId="0" borderId="17" xfId="0" applyNumberFormat="1" applyFont="1" applyBorder="1" applyAlignment="1">
      <alignment horizontal="right" vertical="center" shrinkToFit="1"/>
    </xf>
    <xf numFmtId="0" fontId="194" fillId="0" borderId="18" xfId="0" applyFont="1" applyBorder="1" applyAlignment="1">
      <alignment horizontal="left" vertical="center"/>
    </xf>
    <xf numFmtId="0" fontId="167" fillId="0" borderId="0" xfId="0" applyFont="1" applyAlignment="1">
      <alignment wrapText="1"/>
    </xf>
    <xf numFmtId="0" fontId="191" fillId="0" borderId="0" xfId="0" applyFont="1" applyAlignment="1">
      <alignment horizontal="left" vertical="center"/>
    </xf>
    <xf numFmtId="0" fontId="191" fillId="0" borderId="17" xfId="0" applyFont="1" applyBorder="1" applyAlignment="1">
      <alignment horizontal="left" vertical="center"/>
    </xf>
    <xf numFmtId="0" fontId="191" fillId="0" borderId="10" xfId="0" applyFont="1" applyBorder="1" applyAlignment="1">
      <alignment horizontal="left" vertical="center"/>
    </xf>
    <xf numFmtId="3" fontId="193" fillId="0" borderId="14" xfId="0" applyNumberFormat="1" applyFont="1" applyBorder="1" applyAlignment="1">
      <alignment horizontal="right" vertical="center" shrinkToFit="1"/>
    </xf>
    <xf numFmtId="3" fontId="193" fillId="0" borderId="1" xfId="0" applyNumberFormat="1" applyFont="1" applyBorder="1" applyAlignment="1">
      <alignment horizontal="right" vertical="center" shrinkToFit="1"/>
    </xf>
    <xf numFmtId="3" fontId="196" fillId="0" borderId="3" xfId="0" applyNumberFormat="1" applyFont="1" applyBorder="1" applyAlignment="1">
      <alignment horizontal="right" vertical="center" shrinkToFit="1"/>
    </xf>
    <xf numFmtId="3" fontId="196" fillId="0" borderId="22" xfId="0" applyNumberFormat="1" applyFont="1" applyBorder="1" applyAlignment="1">
      <alignment horizontal="right" vertical="center" shrinkToFit="1"/>
    </xf>
    <xf numFmtId="0" fontId="193" fillId="0" borderId="0" xfId="0" applyFont="1"/>
    <xf numFmtId="0" fontId="224" fillId="7" borderId="0" xfId="0" applyFont="1" applyFill="1"/>
    <xf numFmtId="0" fontId="4" fillId="7" borderId="0" xfId="9" applyFont="1" applyFill="1" applyAlignment="1">
      <alignment horizontal="left"/>
    </xf>
    <xf numFmtId="3" fontId="4" fillId="7" borderId="1" xfId="3" quotePrefix="1" applyNumberFormat="1" applyFont="1" applyFill="1" applyBorder="1"/>
    <xf numFmtId="3" fontId="189" fillId="7" borderId="14" xfId="1297" applyNumberFormat="1" applyFont="1" applyFill="1" applyBorder="1"/>
    <xf numFmtId="3" fontId="189" fillId="7" borderId="16" xfId="1297" applyNumberFormat="1" applyFont="1" applyFill="1" applyBorder="1"/>
    <xf numFmtId="0" fontId="191" fillId="7" borderId="0" xfId="0" applyFont="1" applyFill="1"/>
    <xf numFmtId="0" fontId="191" fillId="7" borderId="0" xfId="0" applyFont="1" applyFill="1" applyAlignment="1">
      <alignment wrapText="1"/>
    </xf>
    <xf numFmtId="168" fontId="173" fillId="87" borderId="7" xfId="2" applyNumberFormat="1" applyFont="1" applyFill="1" applyBorder="1"/>
    <xf numFmtId="4" fontId="173" fillId="87" borderId="7" xfId="2" applyNumberFormat="1" applyFont="1" applyFill="1" applyBorder="1"/>
    <xf numFmtId="4" fontId="173" fillId="87" borderId="17" xfId="2" applyNumberFormat="1" applyFont="1" applyFill="1" applyBorder="1"/>
    <xf numFmtId="168" fontId="173" fillId="87" borderId="6" xfId="2" applyNumberFormat="1" applyFont="1" applyFill="1" applyBorder="1"/>
    <xf numFmtId="168" fontId="173" fillId="7" borderId="6" xfId="2" applyNumberFormat="1" applyFont="1" applyFill="1" applyBorder="1"/>
    <xf numFmtId="3" fontId="4" fillId="87" borderId="14" xfId="1297" applyNumberFormat="1" applyFont="1" applyFill="1" applyBorder="1"/>
    <xf numFmtId="3" fontId="4" fillId="87" borderId="13" xfId="1297" applyNumberFormat="1" applyFont="1" applyFill="1" applyBorder="1"/>
    <xf numFmtId="3" fontId="4" fillId="87" borderId="7" xfId="3" applyNumberFormat="1" applyFont="1" applyFill="1" applyBorder="1"/>
    <xf numFmtId="3" fontId="4" fillId="87" borderId="13" xfId="3" applyNumberFormat="1" applyFont="1" applyFill="1" applyBorder="1"/>
    <xf numFmtId="224" fontId="167" fillId="0" borderId="0" xfId="1" applyNumberFormat="1" applyFont="1"/>
    <xf numFmtId="0" fontId="217" fillId="87" borderId="22" xfId="1297" applyFont="1" applyFill="1" applyBorder="1" applyAlignment="1">
      <alignment horizontal="left" indent="1"/>
    </xf>
    <xf numFmtId="3" fontId="3" fillId="0" borderId="0" xfId="1297" applyNumberFormat="1" applyFont="1" applyAlignment="1">
      <alignment horizontal="center"/>
    </xf>
    <xf numFmtId="3" fontId="3" fillId="87" borderId="22" xfId="1297" applyNumberFormat="1" applyFont="1" applyFill="1" applyBorder="1"/>
    <xf numFmtId="3" fontId="3" fillId="87" borderId="7" xfId="1297" applyNumberFormat="1" applyFont="1" applyFill="1" applyBorder="1"/>
    <xf numFmtId="3" fontId="3" fillId="87" borderId="61" xfId="1297" applyNumberFormat="1" applyFont="1" applyFill="1" applyBorder="1"/>
    <xf numFmtId="3" fontId="3" fillId="87" borderId="5" xfId="1297" applyNumberFormat="1" applyFont="1" applyFill="1" applyBorder="1"/>
    <xf numFmtId="3" fontId="185" fillId="87" borderId="6" xfId="1297" applyNumberFormat="1" applyFont="1" applyFill="1" applyBorder="1"/>
    <xf numFmtId="3" fontId="185" fillId="87" borderId="16" xfId="1297" applyNumberFormat="1" applyFont="1" applyFill="1" applyBorder="1"/>
    <xf numFmtId="3" fontId="185" fillId="87" borderId="11" xfId="1297" applyNumberFormat="1" applyFont="1" applyFill="1" applyBorder="1"/>
    <xf numFmtId="0" fontId="172" fillId="0" borderId="0" xfId="0" applyFont="1"/>
    <xf numFmtId="170" fontId="4" fillId="0" borderId="0" xfId="1" applyNumberFormat="1" applyFont="1" applyFill="1" applyBorder="1" applyAlignment="1"/>
    <xf numFmtId="3" fontId="3" fillId="0" borderId="19" xfId="3" applyNumberFormat="1" applyFont="1" applyBorder="1"/>
    <xf numFmtId="3" fontId="228" fillId="0" borderId="13" xfId="3" applyNumberFormat="1" applyFont="1" applyBorder="1"/>
    <xf numFmtId="3" fontId="228" fillId="0" borderId="14" xfId="3" applyNumberFormat="1" applyFont="1" applyBorder="1"/>
    <xf numFmtId="10" fontId="228" fillId="0" borderId="13" xfId="6" applyNumberFormat="1" applyFont="1" applyFill="1" applyBorder="1" applyAlignment="1">
      <alignment horizontal="right" vertical="center"/>
    </xf>
    <xf numFmtId="10" fontId="228" fillId="0" borderId="24" xfId="6" applyNumberFormat="1" applyFont="1" applyFill="1" applyBorder="1" applyAlignment="1">
      <alignment horizontal="right" vertical="center"/>
    </xf>
    <xf numFmtId="3" fontId="228" fillId="0" borderId="24" xfId="3" applyNumberFormat="1" applyFont="1" applyBorder="1"/>
    <xf numFmtId="167" fontId="4" fillId="0" borderId="10" xfId="6" applyNumberFormat="1" applyFont="1" applyBorder="1" applyAlignment="1"/>
    <xf numFmtId="167" fontId="4" fillId="0" borderId="31" xfId="6" applyNumberFormat="1" applyFont="1" applyBorder="1" applyAlignment="1"/>
    <xf numFmtId="167" fontId="4" fillId="0" borderId="13" xfId="6" applyNumberFormat="1" applyFont="1" applyFill="1" applyBorder="1" applyAlignment="1">
      <alignment horizontal="right" vertical="center"/>
    </xf>
    <xf numFmtId="167" fontId="4" fillId="0" borderId="11" xfId="6" applyNumberFormat="1" applyFont="1" applyFill="1" applyBorder="1" applyAlignment="1">
      <alignment horizontal="right" vertical="center"/>
    </xf>
    <xf numFmtId="10" fontId="4" fillId="0" borderId="18" xfId="6" applyNumberFormat="1" applyFont="1" applyFill="1" applyBorder="1" applyAlignment="1">
      <alignment horizontal="right" vertical="center"/>
    </xf>
    <xf numFmtId="10" fontId="4" fillId="0" borderId="30" xfId="6" applyNumberFormat="1" applyFont="1" applyFill="1" applyBorder="1" applyAlignment="1">
      <alignment horizontal="right" vertical="center"/>
    </xf>
    <xf numFmtId="168" fontId="4" fillId="0" borderId="7" xfId="7" applyNumberFormat="1" applyFont="1" applyBorder="1"/>
    <xf numFmtId="168" fontId="4" fillId="0" borderId="21" xfId="7" applyNumberFormat="1" applyFont="1" applyBorder="1"/>
    <xf numFmtId="3" fontId="4" fillId="7" borderId="13" xfId="3" applyNumberFormat="1" applyFont="1" applyFill="1" applyBorder="1"/>
    <xf numFmtId="3" fontId="4" fillId="7" borderId="11" xfId="3" applyNumberFormat="1" applyFont="1" applyFill="1" applyBorder="1"/>
    <xf numFmtId="226" fontId="167" fillId="0" borderId="0" xfId="0" applyNumberFormat="1" applyFont="1"/>
    <xf numFmtId="168" fontId="173" fillId="0" borderId="7" xfId="2" applyNumberFormat="1" applyFont="1" applyBorder="1"/>
    <xf numFmtId="10" fontId="4" fillId="0" borderId="17" xfId="6" applyNumberFormat="1" applyFont="1" applyFill="1" applyBorder="1" applyAlignment="1">
      <alignment horizontal="right" vertical="center"/>
    </xf>
    <xf numFmtId="168" fontId="229" fillId="0" borderId="14" xfId="2" applyNumberFormat="1" applyFont="1" applyBorder="1"/>
    <xf numFmtId="168" fontId="229" fillId="0" borderId="13" xfId="2" applyNumberFormat="1" applyFont="1" applyBorder="1"/>
    <xf numFmtId="3" fontId="230" fillId="7" borderId="16" xfId="1297" applyNumberFormat="1" applyFont="1" applyFill="1" applyBorder="1"/>
    <xf numFmtId="169" fontId="4" fillId="0" borderId="0" xfId="6" applyNumberFormat="1" applyFont="1" applyFill="1" applyBorder="1" applyAlignment="1"/>
    <xf numFmtId="0" fontId="4" fillId="7" borderId="0" xfId="2" applyFont="1" applyFill="1"/>
    <xf numFmtId="0" fontId="11" fillId="0" borderId="0" xfId="0" applyFont="1" applyAlignment="1">
      <alignment horizontal="justify" vertical="center"/>
    </xf>
    <xf numFmtId="0" fontId="234" fillId="0" borderId="79" xfId="0" applyFont="1" applyBorder="1" applyAlignment="1">
      <alignment vertical="center"/>
    </xf>
    <xf numFmtId="228" fontId="233" fillId="0" borderId="77" xfId="14" applyNumberFormat="1" applyFont="1" applyBorder="1" applyAlignment="1">
      <alignment vertical="center"/>
    </xf>
    <xf numFmtId="212" fontId="235" fillId="88" borderId="77" xfId="0" applyNumberFormat="1" applyFont="1" applyFill="1" applyBorder="1" applyAlignment="1">
      <alignment horizontal="right" vertical="center"/>
    </xf>
    <xf numFmtId="4" fontId="235" fillId="88" borderId="77" xfId="0" applyNumberFormat="1" applyFont="1" applyFill="1" applyBorder="1" applyAlignment="1">
      <alignment horizontal="right" vertical="center"/>
    </xf>
    <xf numFmtId="214" fontId="236" fillId="0" borderId="77" xfId="0" applyNumberFormat="1" applyFont="1" applyBorder="1" applyAlignment="1">
      <alignment horizontal="right" vertical="center"/>
    </xf>
    <xf numFmtId="0" fontId="167" fillId="89" borderId="0" xfId="0" applyFont="1" applyFill="1"/>
    <xf numFmtId="3" fontId="4" fillId="89" borderId="25" xfId="1297" applyNumberFormat="1" applyFont="1" applyFill="1" applyBorder="1"/>
    <xf numFmtId="3" fontId="4" fillId="89" borderId="16" xfId="1297" applyNumberFormat="1" applyFont="1" applyFill="1" applyBorder="1"/>
    <xf numFmtId="3" fontId="4" fillId="89" borderId="1" xfId="3" applyNumberFormat="1" applyFont="1" applyFill="1" applyBorder="1"/>
    <xf numFmtId="168" fontId="201" fillId="0" borderId="0" xfId="0" applyNumberFormat="1" applyFont="1" applyAlignment="1">
      <alignment horizontal="left" vertical="center" wrapText="1" shrinkToFit="1"/>
    </xf>
    <xf numFmtId="3" fontId="189" fillId="89" borderId="16" xfId="1297" applyNumberFormat="1" applyFont="1" applyFill="1" applyBorder="1"/>
    <xf numFmtId="0" fontId="237" fillId="0" borderId="0" xfId="2" applyFont="1"/>
    <xf numFmtId="168" fontId="238" fillId="0" borderId="63" xfId="0" applyNumberFormat="1" applyFont="1" applyBorder="1" applyAlignment="1">
      <alignment horizontal="right" vertical="center" shrinkToFit="1"/>
    </xf>
    <xf numFmtId="170" fontId="196" fillId="7" borderId="4" xfId="0" applyNumberFormat="1" applyFont="1" applyFill="1" applyBorder="1" applyAlignment="1">
      <alignment horizontal="left" vertical="center"/>
    </xf>
    <xf numFmtId="0" fontId="3" fillId="3" borderId="5" xfId="2" applyFont="1" applyFill="1" applyBorder="1" applyAlignment="1">
      <alignment horizontal="center" vertical="center" wrapText="1"/>
    </xf>
    <xf numFmtId="3" fontId="4" fillId="69" borderId="12" xfId="1297" applyNumberFormat="1" applyFont="1" applyFill="1" applyBorder="1"/>
    <xf numFmtId="3" fontId="4" fillId="69" borderId="5" xfId="1297" applyNumberFormat="1" applyFont="1" applyFill="1" applyBorder="1"/>
    <xf numFmtId="3" fontId="4" fillId="0" borderId="5" xfId="1297" applyNumberFormat="1" applyFont="1" applyBorder="1"/>
    <xf numFmtId="3" fontId="3" fillId="69" borderId="4" xfId="1297" applyNumberFormat="1" applyFont="1" applyFill="1" applyBorder="1"/>
    <xf numFmtId="3" fontId="4" fillId="69" borderId="0" xfId="1297" applyNumberFormat="1" applyFont="1" applyFill="1"/>
    <xf numFmtId="3" fontId="4" fillId="69" borderId="9" xfId="1297" applyNumberFormat="1" applyFont="1" applyFill="1" applyBorder="1"/>
    <xf numFmtId="3" fontId="4" fillId="69" borderId="20" xfId="1297" applyNumberFormat="1" applyFont="1" applyFill="1" applyBorder="1"/>
    <xf numFmtId="3" fontId="3" fillId="69" borderId="5" xfId="1297" applyNumberFormat="1" applyFont="1" applyFill="1" applyBorder="1"/>
    <xf numFmtId="0" fontId="3" fillId="3" borderId="63" xfId="2" applyFont="1" applyFill="1" applyBorder="1" applyAlignment="1">
      <alignment horizontal="center" vertical="center" wrapText="1"/>
    </xf>
    <xf numFmtId="168" fontId="4" fillId="69" borderId="64" xfId="1297" applyNumberFormat="1" applyFont="1" applyFill="1" applyBorder="1"/>
    <xf numFmtId="3" fontId="4" fillId="69" borderId="26" xfId="1297" applyNumberFormat="1" applyFont="1" applyFill="1" applyBorder="1"/>
    <xf numFmtId="3" fontId="4" fillId="69" borderId="63" xfId="1297" applyNumberFormat="1" applyFont="1" applyFill="1" applyBorder="1"/>
    <xf numFmtId="3" fontId="4" fillId="0" borderId="26" xfId="1297" applyNumberFormat="1" applyFont="1" applyBorder="1"/>
    <xf numFmtId="168" fontId="4" fillId="69" borderId="26" xfId="1297" applyNumberFormat="1" applyFont="1" applyFill="1" applyBorder="1"/>
    <xf numFmtId="168" fontId="4" fillId="5" borderId="29" xfId="1297" applyNumberFormat="1" applyFont="1" applyFill="1" applyBorder="1"/>
    <xf numFmtId="3" fontId="189" fillId="0" borderId="64" xfId="1297" applyNumberFormat="1" applyFont="1" applyBorder="1"/>
    <xf numFmtId="3" fontId="189" fillId="0" borderId="26" xfId="1297" applyNumberFormat="1" applyFont="1" applyBorder="1"/>
    <xf numFmtId="3" fontId="190" fillId="0" borderId="26" xfId="1297" applyNumberFormat="1" applyFont="1" applyBorder="1"/>
    <xf numFmtId="3" fontId="189" fillId="69" borderId="26" xfId="1297" applyNumberFormat="1" applyFont="1" applyFill="1" applyBorder="1"/>
    <xf numFmtId="3" fontId="4" fillId="7" borderId="26" xfId="1297" applyNumberFormat="1" applyFont="1" applyFill="1" applyBorder="1"/>
    <xf numFmtId="3" fontId="4" fillId="69" borderId="29" xfId="1297" applyNumberFormat="1" applyFont="1" applyFill="1" applyBorder="1"/>
    <xf numFmtId="3" fontId="3" fillId="83" borderId="63" xfId="1297" applyNumberFormat="1" applyFont="1" applyFill="1" applyBorder="1"/>
    <xf numFmtId="3" fontId="4" fillId="69" borderId="64" xfId="1297" applyNumberFormat="1" applyFont="1" applyFill="1" applyBorder="1"/>
    <xf numFmtId="3" fontId="3" fillId="0" borderId="3" xfId="1297" applyNumberFormat="1" applyFont="1" applyBorder="1"/>
    <xf numFmtId="3" fontId="4" fillId="83" borderId="12" xfId="1297" applyNumberFormat="1" applyFont="1" applyFill="1" applyBorder="1"/>
    <xf numFmtId="3" fontId="4" fillId="83" borderId="20" xfId="1297" applyNumberFormat="1" applyFont="1" applyFill="1" applyBorder="1"/>
    <xf numFmtId="3" fontId="3" fillId="0" borderId="5" xfId="1297" applyNumberFormat="1" applyFont="1" applyBorder="1"/>
    <xf numFmtId="3" fontId="4" fillId="0" borderId="20" xfId="1297" applyNumberFormat="1" applyFont="1" applyBorder="1"/>
    <xf numFmtId="3" fontId="4" fillId="87" borderId="9" xfId="1297" applyNumberFormat="1" applyFont="1" applyFill="1" applyBorder="1"/>
    <xf numFmtId="3" fontId="4" fillId="87" borderId="12" xfId="1297" applyNumberFormat="1" applyFont="1" applyFill="1" applyBorder="1"/>
    <xf numFmtId="3" fontId="4" fillId="87" borderId="5" xfId="1297" applyNumberFormat="1" applyFont="1" applyFill="1" applyBorder="1"/>
    <xf numFmtId="168" fontId="4" fillId="69" borderId="0" xfId="1297" applyNumberFormat="1" applyFont="1" applyFill="1"/>
    <xf numFmtId="168" fontId="4" fillId="5" borderId="0" xfId="1297" applyNumberFormat="1" applyFont="1" applyFill="1"/>
    <xf numFmtId="3" fontId="4" fillId="5" borderId="7" xfId="1297" applyNumberFormat="1" applyFont="1" applyFill="1" applyBorder="1"/>
    <xf numFmtId="3" fontId="4" fillId="5" borderId="6" xfId="1297" applyNumberFormat="1" applyFont="1" applyFill="1" applyBorder="1"/>
    <xf numFmtId="3" fontId="189" fillId="69" borderId="64" xfId="1297" applyNumberFormat="1" applyFont="1" applyFill="1" applyBorder="1"/>
    <xf numFmtId="168" fontId="4" fillId="0" borderId="0" xfId="1297" applyNumberFormat="1" applyFont="1"/>
    <xf numFmtId="3" fontId="190" fillId="69" borderId="26" xfId="1297" applyNumberFormat="1" applyFont="1" applyFill="1" applyBorder="1"/>
    <xf numFmtId="3" fontId="185" fillId="69" borderId="16" xfId="1297" applyNumberFormat="1" applyFont="1" applyFill="1" applyBorder="1"/>
    <xf numFmtId="3" fontId="185" fillId="69" borderId="64" xfId="1297" applyNumberFormat="1" applyFont="1" applyFill="1" applyBorder="1"/>
    <xf numFmtId="3" fontId="185" fillId="69" borderId="11" xfId="1297" applyNumberFormat="1" applyFont="1" applyFill="1" applyBorder="1"/>
    <xf numFmtId="3" fontId="185" fillId="69" borderId="26" xfId="1297" applyNumberFormat="1" applyFont="1" applyFill="1" applyBorder="1"/>
    <xf numFmtId="3" fontId="185" fillId="69" borderId="6" xfId="1297" applyNumberFormat="1" applyFont="1" applyFill="1" applyBorder="1"/>
    <xf numFmtId="3" fontId="190" fillId="69" borderId="11" xfId="1297" applyNumberFormat="1" applyFont="1" applyFill="1" applyBorder="1"/>
    <xf numFmtId="3" fontId="189" fillId="69" borderId="29" xfId="1297" applyNumberFormat="1" applyFont="1" applyFill="1" applyBorder="1"/>
    <xf numFmtId="0" fontId="3" fillId="3" borderId="63" xfId="0" applyFont="1" applyFill="1" applyBorder="1" applyAlignment="1">
      <alignment horizontal="center" wrapText="1"/>
    </xf>
    <xf numFmtId="3" fontId="4" fillId="0" borderId="64" xfId="0" applyNumberFormat="1" applyFont="1" applyBorder="1"/>
    <xf numFmtId="3" fontId="4" fillId="0" borderId="26" xfId="3" applyNumberFormat="1" applyFont="1" applyBorder="1"/>
    <xf numFmtId="3" fontId="4" fillId="0" borderId="26" xfId="0" applyNumberFormat="1" applyFont="1" applyBorder="1"/>
    <xf numFmtId="167" fontId="4" fillId="0" borderId="29" xfId="3" applyNumberFormat="1" applyFont="1" applyBorder="1"/>
    <xf numFmtId="3" fontId="4" fillId="0" borderId="64" xfId="3" applyNumberFormat="1" applyFont="1" applyBorder="1"/>
    <xf numFmtId="167" fontId="4" fillId="0" borderId="64" xfId="6" applyNumberFormat="1" applyFont="1" applyFill="1" applyBorder="1" applyAlignment="1">
      <alignment horizontal="right" vertical="center"/>
    </xf>
    <xf numFmtId="167" fontId="4" fillId="0" borderId="26" xfId="6" applyNumberFormat="1" applyFont="1" applyFill="1" applyBorder="1" applyAlignment="1">
      <alignment horizontal="right" vertical="center"/>
    </xf>
    <xf numFmtId="10" fontId="4" fillId="0" borderId="26" xfId="6" applyNumberFormat="1" applyFont="1" applyFill="1" applyBorder="1" applyAlignment="1">
      <alignment horizontal="right" vertical="center"/>
    </xf>
    <xf numFmtId="10" fontId="4" fillId="0" borderId="29" xfId="6" applyNumberFormat="1" applyFont="1" applyFill="1" applyBorder="1" applyAlignment="1">
      <alignment horizontal="right" vertical="center"/>
    </xf>
    <xf numFmtId="3" fontId="4" fillId="4" borderId="26" xfId="3" applyNumberFormat="1" applyFont="1" applyFill="1" applyBorder="1"/>
    <xf numFmtId="10" fontId="4" fillId="4" borderId="29" xfId="6" applyNumberFormat="1" applyFont="1" applyFill="1" applyBorder="1" applyAlignment="1">
      <alignment horizontal="right" vertical="center"/>
    </xf>
    <xf numFmtId="0" fontId="3" fillId="3" borderId="61" xfId="0" applyFont="1" applyFill="1" applyBorder="1" applyAlignment="1">
      <alignment horizontal="center" wrapText="1"/>
    </xf>
    <xf numFmtId="168" fontId="4" fillId="4" borderId="28" xfId="3" applyNumberFormat="1" applyFont="1" applyFill="1" applyBorder="1"/>
    <xf numFmtId="168" fontId="4" fillId="4" borderId="18" xfId="3" applyNumberFormat="1" applyFont="1" applyFill="1" applyBorder="1"/>
    <xf numFmtId="168" fontId="189" fillId="0" borderId="18" xfId="3" applyNumberFormat="1" applyFont="1" applyBorder="1"/>
    <xf numFmtId="167" fontId="4" fillId="0" borderId="28" xfId="6" applyNumberFormat="1" applyFont="1" applyFill="1" applyBorder="1" applyAlignment="1">
      <alignment vertical="center"/>
    </xf>
    <xf numFmtId="167" fontId="4" fillId="0" borderId="18" xfId="6" applyNumberFormat="1" applyFont="1" applyFill="1" applyBorder="1" applyAlignment="1">
      <alignment vertical="center"/>
    </xf>
    <xf numFmtId="10" fontId="4" fillId="0" borderId="30" xfId="6" applyNumberFormat="1" applyFont="1" applyBorder="1" applyAlignment="1">
      <alignment vertical="center"/>
    </xf>
    <xf numFmtId="168" fontId="4" fillId="4" borderId="28" xfId="7" applyNumberFormat="1" applyFont="1" applyFill="1" applyBorder="1"/>
    <xf numFmtId="167" fontId="4" fillId="4" borderId="30" xfId="6" applyNumberFormat="1" applyFont="1" applyFill="1" applyBorder="1" applyAlignment="1"/>
    <xf numFmtId="168" fontId="4" fillId="0" borderId="28" xfId="3" applyNumberFormat="1" applyFont="1" applyBorder="1"/>
    <xf numFmtId="168" fontId="3" fillId="0" borderId="30" xfId="3" applyNumberFormat="1" applyFont="1" applyBorder="1"/>
    <xf numFmtId="168" fontId="3" fillId="0" borderId="18" xfId="7" applyNumberFormat="1" applyFont="1" applyBorder="1"/>
    <xf numFmtId="3" fontId="3" fillId="0" borderId="25" xfId="3" applyNumberFormat="1" applyFont="1" applyBorder="1"/>
    <xf numFmtId="168" fontId="4" fillId="4" borderId="14" xfId="3" applyNumberFormat="1" applyFont="1" applyFill="1" applyBorder="1"/>
    <xf numFmtId="168" fontId="4" fillId="4" borderId="13" xfId="3" applyNumberFormat="1" applyFont="1" applyFill="1" applyBorder="1"/>
    <xf numFmtId="168" fontId="4" fillId="0" borderId="13" xfId="3" applyNumberFormat="1" applyFont="1" applyBorder="1"/>
    <xf numFmtId="168" fontId="4" fillId="0" borderId="14" xfId="3" applyNumberFormat="1" applyFont="1" applyBorder="1"/>
    <xf numFmtId="167" fontId="4" fillId="0" borderId="14" xfId="6" applyNumberFormat="1" applyFont="1" applyFill="1" applyBorder="1" applyAlignment="1">
      <alignment vertical="center"/>
    </xf>
    <xf numFmtId="167" fontId="4" fillId="0" borderId="13" xfId="6" applyNumberFormat="1" applyFont="1" applyFill="1" applyBorder="1" applyAlignment="1">
      <alignment vertical="center"/>
    </xf>
    <xf numFmtId="168" fontId="4" fillId="0" borderId="63" xfId="7" applyNumberFormat="1" applyFont="1" applyBorder="1"/>
    <xf numFmtId="0" fontId="16" fillId="0" borderId="0" xfId="2" applyFont="1"/>
    <xf numFmtId="10" fontId="4" fillId="0" borderId="0" xfId="5" applyNumberFormat="1" applyFont="1" applyFill="1" applyBorder="1" applyAlignment="1">
      <alignment horizontal="left" vertical="center" indent="2"/>
    </xf>
    <xf numFmtId="3" fontId="4" fillId="4" borderId="10" xfId="3" applyNumberFormat="1" applyFont="1" applyFill="1" applyBorder="1"/>
    <xf numFmtId="3" fontId="228" fillId="0" borderId="16" xfId="0" applyNumberFormat="1" applyFont="1" applyBorder="1"/>
    <xf numFmtId="3" fontId="228" fillId="0" borderId="11" xfId="0" applyNumberFormat="1" applyFont="1" applyBorder="1"/>
    <xf numFmtId="3" fontId="228" fillId="4" borderId="16" xfId="3" applyNumberFormat="1" applyFont="1" applyFill="1" applyBorder="1"/>
    <xf numFmtId="3" fontId="228" fillId="4" borderId="11" xfId="3" applyNumberFormat="1" applyFont="1" applyFill="1" applyBorder="1"/>
    <xf numFmtId="3" fontId="228" fillId="0" borderId="11" xfId="3" applyNumberFormat="1" applyFont="1" applyBorder="1"/>
    <xf numFmtId="3" fontId="228" fillId="0" borderId="16" xfId="3" applyNumberFormat="1" applyFont="1" applyBorder="1"/>
    <xf numFmtId="10" fontId="228" fillId="0" borderId="11" xfId="6" applyNumberFormat="1" applyFont="1" applyFill="1" applyBorder="1" applyAlignment="1">
      <alignment horizontal="right" vertical="center"/>
    </xf>
    <xf numFmtId="10" fontId="228" fillId="0" borderId="23" xfId="6" applyNumberFormat="1" applyFont="1" applyFill="1" applyBorder="1" applyAlignment="1">
      <alignment horizontal="right" vertical="center"/>
    </xf>
    <xf numFmtId="168" fontId="228" fillId="0" borderId="6" xfId="7" applyNumberFormat="1" applyFont="1" applyBorder="1"/>
    <xf numFmtId="3" fontId="4" fillId="85" borderId="11" xfId="0" applyNumberFormat="1" applyFont="1" applyFill="1" applyBorder="1"/>
    <xf numFmtId="3" fontId="4" fillId="85" borderId="10" xfId="3" applyNumberFormat="1" applyFont="1" applyFill="1" applyBorder="1"/>
    <xf numFmtId="168" fontId="10" fillId="0" borderId="16" xfId="7" applyNumberFormat="1" applyFont="1" applyBorder="1"/>
    <xf numFmtId="212" fontId="10" fillId="0" borderId="11" xfId="3" applyNumberFormat="1" applyFont="1" applyBorder="1"/>
    <xf numFmtId="3" fontId="4" fillId="0" borderId="17" xfId="3" applyNumberFormat="1" applyFont="1" applyBorder="1"/>
    <xf numFmtId="3" fontId="4" fillId="0" borderId="17" xfId="0" applyNumberFormat="1" applyFont="1" applyBorder="1"/>
    <xf numFmtId="3" fontId="10" fillId="0" borderId="8" xfId="3" applyNumberFormat="1" applyFont="1" applyBorder="1"/>
    <xf numFmtId="3" fontId="10" fillId="0" borderId="17" xfId="3" applyNumberFormat="1" applyFont="1" applyBorder="1"/>
    <xf numFmtId="10" fontId="4" fillId="0" borderId="19" xfId="6" applyNumberFormat="1" applyFont="1" applyFill="1" applyBorder="1" applyAlignment="1">
      <alignment horizontal="right" vertical="center"/>
    </xf>
    <xf numFmtId="168" fontId="4" fillId="0" borderId="22" xfId="7" applyNumberFormat="1" applyFont="1" applyBorder="1"/>
    <xf numFmtId="168" fontId="4" fillId="0" borderId="19" xfId="3" applyNumberFormat="1" applyFont="1" applyBorder="1"/>
    <xf numFmtId="3" fontId="10" fillId="0" borderId="64" xfId="0" applyNumberFormat="1" applyFont="1" applyBorder="1"/>
    <xf numFmtId="3" fontId="10" fillId="0" borderId="26" xfId="3" applyNumberFormat="1" applyFont="1" applyBorder="1"/>
    <xf numFmtId="3" fontId="10" fillId="0" borderId="26" xfId="0" applyNumberFormat="1" applyFont="1" applyBorder="1"/>
    <xf numFmtId="3" fontId="165" fillId="0" borderId="26" xfId="3" applyNumberFormat="1" applyFont="1" applyBorder="1"/>
    <xf numFmtId="3" fontId="214" fillId="0" borderId="64" xfId="0" applyNumberFormat="1" applyFont="1" applyBorder="1"/>
    <xf numFmtId="3" fontId="214" fillId="4" borderId="26" xfId="3" applyNumberFormat="1" applyFont="1" applyFill="1" applyBorder="1"/>
    <xf numFmtId="3" fontId="214" fillId="0" borderId="26" xfId="0" applyNumberFormat="1" applyFont="1" applyBorder="1"/>
    <xf numFmtId="3" fontId="215" fillId="0" borderId="26" xfId="0" applyNumberFormat="1" applyFont="1" applyBorder="1"/>
    <xf numFmtId="3" fontId="3" fillId="0" borderId="12" xfId="3" applyNumberFormat="1" applyFont="1" applyBorder="1"/>
    <xf numFmtId="167" fontId="4" fillId="0" borderId="20" xfId="3" applyNumberFormat="1" applyFont="1" applyBorder="1"/>
    <xf numFmtId="3" fontId="189" fillId="0" borderId="14" xfId="0" applyNumberFormat="1" applyFont="1" applyBorder="1"/>
    <xf numFmtId="3" fontId="189" fillId="0" borderId="13" xfId="3" applyNumberFormat="1" applyFont="1" applyBorder="1"/>
    <xf numFmtId="3" fontId="189" fillId="0" borderId="13" xfId="0" applyNumberFormat="1" applyFont="1" applyBorder="1"/>
    <xf numFmtId="3" fontId="192" fillId="0" borderId="7" xfId="7" applyNumberFormat="1" applyFont="1" applyBorder="1"/>
    <xf numFmtId="3" fontId="192" fillId="4" borderId="14" xfId="7" applyNumberFormat="1" applyFont="1" applyFill="1" applyBorder="1"/>
    <xf numFmtId="167" fontId="4" fillId="4" borderId="24" xfId="6" applyNumberFormat="1" applyFont="1" applyFill="1" applyBorder="1" applyAlignment="1"/>
    <xf numFmtId="167" fontId="228" fillId="0" borderId="13" xfId="6" applyNumberFormat="1" applyFont="1" applyFill="1" applyBorder="1" applyAlignment="1">
      <alignment horizontal="right" vertical="center"/>
    </xf>
    <xf numFmtId="168" fontId="228" fillId="0" borderId="7" xfId="7" applyNumberFormat="1" applyFont="1" applyBorder="1"/>
    <xf numFmtId="3" fontId="4" fillId="4" borderId="64" xfId="3" applyNumberFormat="1" applyFont="1" applyFill="1" applyBorder="1"/>
    <xf numFmtId="3" fontId="4" fillId="4" borderId="28" xfId="3" applyNumberFormat="1" applyFont="1" applyFill="1" applyBorder="1"/>
    <xf numFmtId="3" fontId="4" fillId="79" borderId="13" xfId="3" applyNumberFormat="1" applyFont="1" applyFill="1" applyBorder="1"/>
    <xf numFmtId="3" fontId="4" fillId="79" borderId="11" xfId="3" applyNumberFormat="1" applyFont="1" applyFill="1" applyBorder="1"/>
    <xf numFmtId="0" fontId="3" fillId="0" borderId="22" xfId="2" applyFont="1" applyBorder="1" applyAlignment="1">
      <alignment horizontal="center" wrapText="1"/>
    </xf>
    <xf numFmtId="168" fontId="4" fillId="0" borderId="10" xfId="3" applyNumberFormat="1" applyFont="1" applyBorder="1"/>
    <xf numFmtId="168" fontId="4" fillId="0" borderId="15" xfId="3" applyNumberFormat="1" applyFont="1" applyBorder="1"/>
    <xf numFmtId="168" fontId="3" fillId="0" borderId="10" xfId="3" applyNumberFormat="1" applyFont="1" applyBorder="1"/>
    <xf numFmtId="168" fontId="4" fillId="0" borderId="31" xfId="3" applyNumberFormat="1" applyFont="1" applyBorder="1"/>
    <xf numFmtId="167" fontId="4" fillId="4" borderId="15" xfId="6" applyNumberFormat="1" applyFont="1" applyFill="1" applyBorder="1" applyAlignment="1">
      <alignment vertical="center"/>
    </xf>
    <xf numFmtId="167" fontId="4" fillId="4" borderId="10" xfId="6" applyNumberFormat="1" applyFont="1" applyFill="1" applyBorder="1" applyAlignment="1">
      <alignment vertical="center"/>
    </xf>
    <xf numFmtId="167" fontId="4" fillId="4" borderId="31" xfId="6" applyNumberFormat="1" applyFont="1" applyFill="1" applyBorder="1" applyAlignment="1"/>
    <xf numFmtId="3" fontId="192" fillId="0" borderId="15" xfId="7" applyNumberFormat="1" applyFont="1" applyBorder="1"/>
    <xf numFmtId="167" fontId="4" fillId="0" borderId="31" xfId="6" applyNumberFormat="1" applyFont="1" applyFill="1" applyBorder="1" applyAlignment="1"/>
    <xf numFmtId="10" fontId="189" fillId="0" borderId="15" xfId="6" applyNumberFormat="1" applyFont="1" applyFill="1" applyBorder="1" applyAlignment="1"/>
    <xf numFmtId="169" fontId="4" fillId="0" borderId="10" xfId="6" applyNumberFormat="1" applyFont="1" applyFill="1" applyBorder="1" applyAlignment="1"/>
    <xf numFmtId="167" fontId="4" fillId="0" borderId="10" xfId="6" applyNumberFormat="1" applyFont="1" applyFill="1" applyBorder="1" applyAlignment="1"/>
    <xf numFmtId="168" fontId="211" fillId="0" borderId="10" xfId="3" applyNumberFormat="1" applyFont="1" applyBorder="1"/>
    <xf numFmtId="4" fontId="3" fillId="0" borderId="10" xfId="3" applyNumberFormat="1" applyFont="1" applyBorder="1"/>
    <xf numFmtId="10" fontId="4" fillId="4" borderId="64" xfId="6" applyNumberFormat="1" applyFont="1" applyFill="1" applyBorder="1" applyAlignment="1">
      <alignment horizontal="right" vertical="center"/>
    </xf>
    <xf numFmtId="10" fontId="4" fillId="4" borderId="26" xfId="6" applyNumberFormat="1" applyFont="1" applyFill="1" applyBorder="1" applyAlignment="1">
      <alignment horizontal="right" vertical="center"/>
    </xf>
    <xf numFmtId="3" fontId="4" fillId="0" borderId="63" xfId="7" applyNumberFormat="1" applyFont="1" applyBorder="1"/>
    <xf numFmtId="3" fontId="4" fillId="0" borderId="7" xfId="7" applyNumberFormat="1" applyFont="1" applyBorder="1"/>
    <xf numFmtId="3" fontId="192" fillId="0" borderId="61" xfId="7" applyNumberFormat="1" applyFont="1" applyBorder="1"/>
    <xf numFmtId="3" fontId="192" fillId="0" borderId="14" xfId="7" applyNumberFormat="1" applyFont="1" applyBorder="1"/>
    <xf numFmtId="10" fontId="4" fillId="0" borderId="23" xfId="6" applyNumberFormat="1" applyFont="1" applyFill="1" applyBorder="1" applyAlignment="1">
      <alignment vertical="center"/>
    </xf>
    <xf numFmtId="3" fontId="3" fillId="0" borderId="31" xfId="3" applyNumberFormat="1" applyFont="1" applyBorder="1"/>
    <xf numFmtId="10" fontId="4" fillId="0" borderId="15" xfId="6" applyNumberFormat="1" applyFont="1" applyFill="1" applyBorder="1" applyAlignment="1"/>
    <xf numFmtId="214" fontId="173" fillId="0" borderId="13" xfId="2" applyNumberFormat="1" applyFont="1" applyBorder="1"/>
    <xf numFmtId="3" fontId="4" fillId="89" borderId="11" xfId="1297" applyNumberFormat="1" applyFont="1" applyFill="1" applyBorder="1"/>
    <xf numFmtId="9" fontId="241" fillId="0" borderId="11" xfId="4" applyFont="1" applyBorder="1" applyAlignment="1"/>
    <xf numFmtId="9" fontId="241" fillId="0" borderId="12" xfId="4" applyFont="1" applyBorder="1" applyAlignment="1"/>
    <xf numFmtId="168" fontId="241" fillId="0" borderId="13" xfId="2" applyNumberFormat="1" applyFont="1" applyBorder="1"/>
    <xf numFmtId="0" fontId="15" fillId="3" borderId="63" xfId="0" applyFont="1" applyFill="1" applyBorder="1" applyAlignment="1">
      <alignment horizontal="center" wrapText="1"/>
    </xf>
    <xf numFmtId="0" fontId="15" fillId="3" borderId="7" xfId="0" applyFont="1" applyFill="1" applyBorder="1" applyAlignment="1">
      <alignment horizontal="center" wrapText="1"/>
    </xf>
    <xf numFmtId="0" fontId="15" fillId="3" borderId="21" xfId="0" applyFont="1" applyFill="1" applyBorder="1" applyAlignment="1">
      <alignment horizontal="center" wrapText="1"/>
    </xf>
    <xf numFmtId="218" fontId="173" fillId="80" borderId="63" xfId="1" applyNumberFormat="1" applyFont="1" applyFill="1" applyBorder="1"/>
    <xf numFmtId="168" fontId="15" fillId="0" borderId="63" xfId="2" applyNumberFormat="1" applyFont="1" applyBorder="1"/>
    <xf numFmtId="168" fontId="173" fillId="0" borderId="26" xfId="1" applyNumberFormat="1" applyFont="1" applyFill="1" applyBorder="1"/>
    <xf numFmtId="171" fontId="173" fillId="0" borderId="26" xfId="1" applyNumberFormat="1" applyFont="1" applyFill="1" applyBorder="1"/>
    <xf numFmtId="9" fontId="173" fillId="4" borderId="26" xfId="4" applyFont="1" applyFill="1" applyBorder="1" applyAlignment="1"/>
    <xf numFmtId="168" fontId="15" fillId="0" borderId="3" xfId="2" applyNumberFormat="1" applyFont="1" applyBorder="1"/>
    <xf numFmtId="218" fontId="173" fillId="80" borderId="64" xfId="1" applyNumberFormat="1" applyFont="1" applyFill="1" applyBorder="1"/>
    <xf numFmtId="168" fontId="15" fillId="0" borderId="4" xfId="2" applyNumberFormat="1" applyFont="1" applyBorder="1"/>
    <xf numFmtId="168" fontId="173" fillId="80" borderId="63" xfId="1" applyNumberFormat="1" applyFont="1" applyFill="1" applyBorder="1"/>
    <xf numFmtId="168" fontId="173" fillId="0" borderId="63" xfId="2" applyNumberFormat="1" applyFont="1" applyBorder="1"/>
    <xf numFmtId="168" fontId="173" fillId="69" borderId="63" xfId="2" applyNumberFormat="1" applyFont="1" applyFill="1" applyBorder="1"/>
    <xf numFmtId="168" fontId="173" fillId="80" borderId="64" xfId="1" applyNumberFormat="1" applyFont="1" applyFill="1" applyBorder="1"/>
    <xf numFmtId="168" fontId="15" fillId="8" borderId="63" xfId="2" applyNumberFormat="1" applyFont="1" applyFill="1" applyBorder="1"/>
    <xf numFmtId="220" fontId="173" fillId="0" borderId="64" xfId="1" applyNumberFormat="1" applyFont="1" applyFill="1" applyBorder="1"/>
    <xf numFmtId="220" fontId="173" fillId="0" borderId="26" xfId="1" applyNumberFormat="1" applyFont="1" applyFill="1" applyBorder="1"/>
    <xf numFmtId="220" fontId="173" fillId="0" borderId="29" xfId="1" applyNumberFormat="1" applyFont="1" applyFill="1" applyBorder="1"/>
    <xf numFmtId="168" fontId="15" fillId="0" borderId="32" xfId="2" applyNumberFormat="1" applyFont="1" applyBorder="1"/>
    <xf numFmtId="4" fontId="15" fillId="0" borderId="4" xfId="1" applyNumberFormat="1" applyFont="1" applyBorder="1"/>
    <xf numFmtId="4" fontId="15" fillId="8" borderId="3" xfId="2" applyNumberFormat="1" applyFont="1" applyFill="1" applyBorder="1"/>
    <xf numFmtId="218" fontId="15" fillId="0" borderId="17" xfId="1" applyNumberFormat="1" applyFont="1" applyFill="1" applyBorder="1"/>
    <xf numFmtId="218" fontId="15" fillId="0" borderId="12" xfId="1" applyNumberFormat="1" applyFont="1" applyFill="1" applyBorder="1"/>
    <xf numFmtId="218" fontId="173" fillId="80" borderId="21" xfId="1" applyNumberFormat="1" applyFont="1" applyFill="1" applyBorder="1"/>
    <xf numFmtId="168" fontId="173" fillId="0" borderId="13" xfId="1" applyNumberFormat="1" applyFont="1" applyFill="1" applyBorder="1"/>
    <xf numFmtId="168" fontId="173" fillId="0" borderId="18" xfId="1" applyNumberFormat="1" applyFont="1" applyFill="1" applyBorder="1"/>
    <xf numFmtId="171" fontId="173" fillId="0" borderId="18" xfId="1" applyNumberFormat="1" applyFont="1" applyFill="1" applyBorder="1"/>
    <xf numFmtId="171" fontId="173" fillId="0" borderId="13" xfId="2" applyNumberFormat="1" applyFont="1" applyBorder="1"/>
    <xf numFmtId="171" fontId="173" fillId="0" borderId="18" xfId="2" applyNumberFormat="1" applyFont="1" applyBorder="1"/>
    <xf numFmtId="167" fontId="173" fillId="0" borderId="18" xfId="14" applyNumberFormat="1" applyFont="1" applyFill="1" applyBorder="1"/>
    <xf numFmtId="168" fontId="173" fillId="0" borderId="28" xfId="2" applyNumberFormat="1" applyFont="1" applyBorder="1"/>
    <xf numFmtId="168" fontId="173" fillId="0" borderId="18" xfId="2" applyNumberFormat="1" applyFont="1" applyBorder="1"/>
    <xf numFmtId="9" fontId="173" fillId="4" borderId="13" xfId="4" applyFont="1" applyFill="1" applyBorder="1" applyAlignment="1"/>
    <xf numFmtId="9" fontId="173" fillId="4" borderId="18" xfId="4" applyFont="1" applyFill="1" applyBorder="1" applyAlignment="1"/>
    <xf numFmtId="168" fontId="173" fillId="0" borderId="25" xfId="2" applyNumberFormat="1" applyFont="1" applyBorder="1"/>
    <xf numFmtId="167" fontId="173" fillId="0" borderId="24" xfId="4" applyNumberFormat="1" applyFont="1" applyBorder="1" applyAlignment="1"/>
    <xf numFmtId="167" fontId="173" fillId="0" borderId="30" xfId="4" applyNumberFormat="1" applyFont="1" applyBorder="1" applyAlignment="1"/>
    <xf numFmtId="168" fontId="15" fillId="0" borderId="22" xfId="2" applyNumberFormat="1" applyFont="1" applyBorder="1"/>
    <xf numFmtId="218" fontId="173" fillId="80" borderId="28" xfId="1" applyNumberFormat="1" applyFont="1" applyFill="1" applyBorder="1"/>
    <xf numFmtId="168" fontId="173" fillId="0" borderId="13" xfId="2" quotePrefix="1" applyNumberFormat="1" applyFont="1" applyBorder="1"/>
    <xf numFmtId="168" fontId="173" fillId="0" borderId="18" xfId="2" quotePrefix="1" applyNumberFormat="1" applyFont="1" applyBorder="1"/>
    <xf numFmtId="219" fontId="15" fillId="0" borderId="17" xfId="1" applyNumberFormat="1" applyFont="1" applyFill="1" applyBorder="1"/>
    <xf numFmtId="219" fontId="15" fillId="0" borderId="12" xfId="1" applyNumberFormat="1" applyFont="1" applyFill="1" applyBorder="1"/>
    <xf numFmtId="168" fontId="173" fillId="0" borderId="17" xfId="2" applyNumberFormat="1" applyFont="1" applyBorder="1"/>
    <xf numFmtId="168" fontId="173" fillId="80" borderId="21" xfId="1" applyNumberFormat="1" applyFont="1" applyFill="1" applyBorder="1"/>
    <xf numFmtId="168" fontId="173" fillId="69" borderId="21" xfId="2" applyNumberFormat="1" applyFont="1" applyFill="1" applyBorder="1"/>
    <xf numFmtId="168" fontId="173" fillId="80" borderId="28" xfId="1" applyNumberFormat="1" applyFont="1" applyFill="1" applyBorder="1"/>
    <xf numFmtId="168" fontId="15" fillId="0" borderId="17" xfId="2" applyNumberFormat="1" applyFont="1" applyBorder="1"/>
    <xf numFmtId="168" fontId="15" fillId="0" borderId="12" xfId="2" applyNumberFormat="1" applyFont="1" applyBorder="1"/>
    <xf numFmtId="168" fontId="15" fillId="8" borderId="21" xfId="2" applyNumberFormat="1" applyFont="1" applyFill="1" applyBorder="1"/>
    <xf numFmtId="3" fontId="173" fillId="0" borderId="17" xfId="2" applyNumberFormat="1" applyFont="1" applyBorder="1"/>
    <xf numFmtId="168" fontId="15" fillId="0" borderId="1" xfId="2" applyNumberFormat="1" applyFont="1" applyBorder="1"/>
    <xf numFmtId="4" fontId="15" fillId="0" borderId="22" xfId="1" applyNumberFormat="1" applyFont="1" applyBorder="1"/>
    <xf numFmtId="4" fontId="178" fillId="0" borderId="22" xfId="1" applyNumberFormat="1" applyFont="1" applyBorder="1"/>
    <xf numFmtId="3" fontId="15" fillId="0" borderId="17" xfId="2" applyNumberFormat="1" applyFont="1" applyBorder="1"/>
    <xf numFmtId="3" fontId="15" fillId="0" borderId="12" xfId="2" applyNumberFormat="1" applyFont="1" applyBorder="1"/>
    <xf numFmtId="0" fontId="173" fillId="80" borderId="4" xfId="2" applyFont="1" applyFill="1" applyBorder="1"/>
    <xf numFmtId="0" fontId="15" fillId="0" borderId="27" xfId="2" applyFont="1" applyBorder="1"/>
    <xf numFmtId="0" fontId="173" fillId="80" borderId="32" xfId="2" applyFont="1" applyFill="1" applyBorder="1"/>
    <xf numFmtId="0" fontId="173" fillId="0" borderId="32" xfId="2" applyFont="1" applyBorder="1" applyAlignment="1">
      <alignment vertical="center"/>
    </xf>
    <xf numFmtId="0" fontId="173" fillId="0" borderId="0" xfId="2" applyFont="1" applyAlignment="1">
      <alignment vertical="center"/>
    </xf>
    <xf numFmtId="0" fontId="15" fillId="0" borderId="4" xfId="2" applyFont="1" applyBorder="1"/>
    <xf numFmtId="0" fontId="173" fillId="0" borderId="64" xfId="2" applyFont="1" applyBorder="1" applyAlignment="1">
      <alignment horizontal="left"/>
    </xf>
    <xf numFmtId="0" fontId="173" fillId="0" borderId="26" xfId="2" applyFont="1" applyBorder="1" applyAlignment="1">
      <alignment horizontal="left"/>
    </xf>
    <xf numFmtId="0" fontId="173" fillId="0" borderId="4" xfId="2" applyFont="1" applyBorder="1"/>
    <xf numFmtId="0" fontId="15" fillId="0" borderId="4" xfId="2" applyFont="1" applyBorder="1" applyAlignment="1">
      <alignment horizontal="left"/>
    </xf>
    <xf numFmtId="0" fontId="15" fillId="0" borderId="32" xfId="2" applyFont="1" applyBorder="1" applyAlignment="1">
      <alignment vertical="center"/>
    </xf>
    <xf numFmtId="0" fontId="15" fillId="3" borderId="61" xfId="0" applyFont="1" applyFill="1" applyBorder="1" applyAlignment="1">
      <alignment horizontal="center" wrapText="1"/>
    </xf>
    <xf numFmtId="218" fontId="173" fillId="80" borderId="61" xfId="1" applyNumberFormat="1" applyFont="1" applyFill="1" applyBorder="1"/>
    <xf numFmtId="168" fontId="173" fillId="80" borderId="15" xfId="1" applyNumberFormat="1" applyFont="1" applyFill="1" applyBorder="1"/>
    <xf numFmtId="3" fontId="173" fillId="4" borderId="10" xfId="2" applyNumberFormat="1" applyFont="1" applyFill="1" applyBorder="1"/>
    <xf numFmtId="3" fontId="173" fillId="0" borderId="10" xfId="2" applyNumberFormat="1" applyFont="1" applyBorder="1"/>
    <xf numFmtId="168" fontId="173" fillId="0" borderId="61" xfId="2" applyNumberFormat="1" applyFont="1" applyBorder="1"/>
    <xf numFmtId="220" fontId="173" fillId="0" borderId="10" xfId="1" applyNumberFormat="1" applyFont="1" applyFill="1" applyBorder="1"/>
    <xf numFmtId="3" fontId="173" fillId="69" borderId="61" xfId="2" applyNumberFormat="1" applyFont="1" applyFill="1" applyBorder="1"/>
    <xf numFmtId="218" fontId="173" fillId="80" borderId="15" xfId="1" applyNumberFormat="1" applyFont="1" applyFill="1" applyBorder="1"/>
    <xf numFmtId="220" fontId="173" fillId="0" borderId="31" xfId="1" applyNumberFormat="1" applyFont="1" applyFill="1" applyBorder="1"/>
    <xf numFmtId="167" fontId="173" fillId="0" borderId="19" xfId="14" applyNumberFormat="1" applyFont="1" applyFill="1" applyBorder="1"/>
    <xf numFmtId="167" fontId="173" fillId="0" borderId="20" xfId="14" applyNumberFormat="1" applyFont="1" applyFill="1" applyBorder="1"/>
    <xf numFmtId="168" fontId="15" fillId="0" borderId="30" xfId="2" applyNumberFormat="1" applyFont="1" applyBorder="1"/>
    <xf numFmtId="168" fontId="181" fillId="4" borderId="18" xfId="2" applyNumberFormat="1" applyFont="1" applyFill="1" applyBorder="1"/>
    <xf numFmtId="168" fontId="173" fillId="4" borderId="18" xfId="2" applyNumberFormat="1" applyFont="1" applyFill="1" applyBorder="1"/>
    <xf numFmtId="168" fontId="173" fillId="4" borderId="18" xfId="1" applyNumberFormat="1" applyFont="1" applyFill="1" applyBorder="1"/>
    <xf numFmtId="168" fontId="176" fillId="4" borderId="13" xfId="4" applyNumberFormat="1" applyFont="1" applyFill="1" applyBorder="1" applyAlignment="1"/>
    <xf numFmtId="168" fontId="176" fillId="4" borderId="18" xfId="4" applyNumberFormat="1" applyFont="1" applyFill="1" applyBorder="1" applyAlignment="1"/>
    <xf numFmtId="168" fontId="173" fillId="4" borderId="13" xfId="4" applyNumberFormat="1" applyFont="1" applyFill="1" applyBorder="1" applyAlignment="1"/>
    <xf numFmtId="168" fontId="173" fillId="4" borderId="18" xfId="4" applyNumberFormat="1" applyFont="1" applyFill="1" applyBorder="1" applyAlignment="1"/>
    <xf numFmtId="3" fontId="181" fillId="4" borderId="18" xfId="2" applyNumberFormat="1" applyFont="1" applyFill="1" applyBorder="1"/>
    <xf numFmtId="43" fontId="173" fillId="0" borderId="28" xfId="1" applyFont="1" applyFill="1" applyBorder="1"/>
    <xf numFmtId="3" fontId="173" fillId="0" borderId="21" xfId="2" applyNumberFormat="1" applyFont="1" applyBorder="1"/>
    <xf numFmtId="3" fontId="173" fillId="69" borderId="21" xfId="2" applyNumberFormat="1" applyFont="1" applyFill="1" applyBorder="1"/>
    <xf numFmtId="3" fontId="181" fillId="0" borderId="28" xfId="2" applyNumberFormat="1" applyFont="1" applyBorder="1"/>
    <xf numFmtId="3" fontId="181" fillId="0" borderId="18" xfId="2" applyNumberFormat="1" applyFont="1" applyBorder="1"/>
    <xf numFmtId="3" fontId="181" fillId="69" borderId="18" xfId="2" applyNumberFormat="1" applyFont="1" applyFill="1" applyBorder="1"/>
    <xf numFmtId="3" fontId="183" fillId="0" borderId="17" xfId="2" applyNumberFormat="1" applyFont="1" applyBorder="1"/>
    <xf numFmtId="218" fontId="173" fillId="4" borderId="18" xfId="1" applyNumberFormat="1" applyFont="1" applyFill="1" applyBorder="1"/>
    <xf numFmtId="4" fontId="173" fillId="4" borderId="18" xfId="2" applyNumberFormat="1" applyFont="1" applyFill="1" applyBorder="1"/>
    <xf numFmtId="167" fontId="173" fillId="4" borderId="18" xfId="14" applyNumberFormat="1" applyFont="1" applyFill="1" applyBorder="1"/>
    <xf numFmtId="3" fontId="173" fillId="4" borderId="13" xfId="2" applyNumberFormat="1" applyFont="1" applyFill="1" applyBorder="1"/>
    <xf numFmtId="3" fontId="173" fillId="4" borderId="13" xfId="1" applyNumberFormat="1" applyFont="1" applyFill="1" applyBorder="1"/>
    <xf numFmtId="9" fontId="176" fillId="4" borderId="13" xfId="4" applyFont="1" applyFill="1" applyBorder="1" applyAlignment="1"/>
    <xf numFmtId="9" fontId="176" fillId="0" borderId="24" xfId="4" applyFont="1" applyBorder="1" applyAlignment="1"/>
    <xf numFmtId="43" fontId="173" fillId="0" borderId="14" xfId="1" applyFont="1" applyFill="1" applyBorder="1"/>
    <xf numFmtId="3" fontId="173" fillId="0" borderId="7" xfId="2" applyNumberFormat="1" applyFont="1" applyBorder="1"/>
    <xf numFmtId="3" fontId="173" fillId="69" borderId="7" xfId="2" applyNumberFormat="1" applyFont="1" applyFill="1" applyBorder="1"/>
    <xf numFmtId="3" fontId="173" fillId="0" borderId="14" xfId="2" applyNumberFormat="1" applyFont="1" applyBorder="1"/>
    <xf numFmtId="3" fontId="173" fillId="0" borderId="13" xfId="2" applyNumberFormat="1" applyFont="1" applyBorder="1"/>
    <xf numFmtId="3" fontId="173" fillId="69" borderId="13" xfId="2" applyNumberFormat="1" applyFont="1" applyFill="1" applyBorder="1"/>
    <xf numFmtId="4" fontId="173" fillId="4" borderId="13" xfId="2" applyNumberFormat="1" applyFont="1" applyFill="1" applyBorder="1"/>
    <xf numFmtId="3" fontId="185" fillId="69" borderId="13" xfId="2" applyNumberFormat="1" applyFont="1" applyFill="1" applyBorder="1"/>
    <xf numFmtId="168" fontId="182" fillId="0" borderId="28" xfId="2" applyNumberFormat="1" applyFont="1" applyBorder="1"/>
    <xf numFmtId="168" fontId="182" fillId="0" borderId="18" xfId="2" applyNumberFormat="1" applyFont="1" applyBorder="1"/>
    <xf numFmtId="168" fontId="173" fillId="0" borderId="10" xfId="1" applyNumberFormat="1" applyFont="1" applyFill="1" applyBorder="1"/>
    <xf numFmtId="9" fontId="241" fillId="0" borderId="10" xfId="4" applyFont="1" applyBorder="1" applyAlignment="1"/>
    <xf numFmtId="9" fontId="173" fillId="0" borderId="10" xfId="4" applyFont="1" applyBorder="1" applyAlignment="1"/>
    <xf numFmtId="9" fontId="241" fillId="0" borderId="13" xfId="4" applyFont="1" applyBorder="1" applyAlignment="1"/>
    <xf numFmtId="9" fontId="241" fillId="0" borderId="18" xfId="4" applyFont="1" applyBorder="1" applyAlignment="1"/>
    <xf numFmtId="9" fontId="173" fillId="0" borderId="13" xfId="4" applyFont="1" applyBorder="1" applyAlignment="1"/>
    <xf numFmtId="9" fontId="173" fillId="0" borderId="18" xfId="4" applyFont="1" applyBorder="1" applyAlignment="1"/>
    <xf numFmtId="218" fontId="173" fillId="0" borderId="7" xfId="1" applyNumberFormat="1" applyFont="1" applyFill="1" applyBorder="1"/>
    <xf numFmtId="218" fontId="173" fillId="0" borderId="6" xfId="1" applyNumberFormat="1" applyFont="1" applyFill="1" applyBorder="1"/>
    <xf numFmtId="168" fontId="182" fillId="0" borderId="21" xfId="2" applyNumberFormat="1" applyFont="1" applyBorder="1"/>
    <xf numFmtId="168" fontId="173" fillId="87" borderId="61" xfId="2" applyNumberFormat="1" applyFont="1" applyFill="1" applyBorder="1"/>
    <xf numFmtId="168" fontId="173" fillId="87" borderId="21" xfId="2" applyNumberFormat="1" applyFont="1" applyFill="1" applyBorder="1"/>
    <xf numFmtId="168" fontId="182" fillId="69" borderId="21" xfId="2" applyNumberFormat="1" applyFont="1" applyFill="1" applyBorder="1"/>
    <xf numFmtId="168" fontId="181" fillId="0" borderId="8" xfId="2" applyNumberFormat="1" applyFont="1" applyBorder="1"/>
    <xf numFmtId="168" fontId="181" fillId="0" borderId="17" xfId="2" applyNumberFormat="1" applyFont="1" applyBorder="1"/>
    <xf numFmtId="168" fontId="182" fillId="0" borderId="12" xfId="2" applyNumberFormat="1" applyFont="1" applyBorder="1"/>
    <xf numFmtId="168" fontId="181" fillId="69" borderId="20" xfId="2" applyNumberFormat="1" applyFont="1" applyFill="1" applyBorder="1"/>
    <xf numFmtId="168" fontId="15" fillId="0" borderId="2" xfId="2" applyNumberFormat="1" applyFont="1" applyBorder="1"/>
    <xf numFmtId="168" fontId="189" fillId="69" borderId="14" xfId="1297" applyNumberFormat="1" applyFont="1" applyFill="1" applyBorder="1"/>
    <xf numFmtId="3" fontId="185" fillId="0" borderId="16" xfId="1297" applyNumberFormat="1" applyFont="1" applyBorder="1"/>
    <xf numFmtId="3" fontId="185" fillId="0" borderId="11" xfId="1297" applyNumberFormat="1" applyFont="1" applyBorder="1"/>
    <xf numFmtId="3" fontId="3" fillId="0" borderId="4" xfId="1297" applyNumberFormat="1" applyFont="1" applyBorder="1"/>
    <xf numFmtId="3" fontId="4" fillId="0" borderId="64" xfId="1297" applyNumberFormat="1" applyFont="1" applyBorder="1"/>
    <xf numFmtId="168" fontId="4" fillId="69" borderId="29" xfId="1297" applyNumberFormat="1" applyFont="1" applyFill="1" applyBorder="1"/>
    <xf numFmtId="0" fontId="187" fillId="69" borderId="0" xfId="1297" applyFont="1" applyFill="1"/>
    <xf numFmtId="3" fontId="4" fillId="0" borderId="24" xfId="1297" applyNumberFormat="1" applyFont="1" applyBorder="1"/>
    <xf numFmtId="3" fontId="230" fillId="0" borderId="16" xfId="1297" applyNumberFormat="1" applyFont="1" applyBorder="1"/>
    <xf numFmtId="3" fontId="189" fillId="0" borderId="24" xfId="1297" applyNumberFormat="1" applyFont="1" applyBorder="1"/>
    <xf numFmtId="3" fontId="189" fillId="0" borderId="29" xfId="1297" applyNumberFormat="1" applyFont="1" applyBorder="1"/>
    <xf numFmtId="3" fontId="4" fillId="0" borderId="29" xfId="1297" applyNumberFormat="1" applyFont="1" applyBorder="1"/>
    <xf numFmtId="3" fontId="187" fillId="0" borderId="27" xfId="1297" applyNumberFormat="1" applyFont="1" applyBorder="1"/>
    <xf numFmtId="3" fontId="11" fillId="0" borderId="32" xfId="9" applyNumberFormat="1" applyFont="1" applyBorder="1"/>
    <xf numFmtId="3" fontId="5" fillId="0" borderId="32" xfId="9" applyNumberFormat="1" applyBorder="1"/>
    <xf numFmtId="43" fontId="173" fillId="0" borderId="0" xfId="1" applyFont="1" applyFill="1"/>
    <xf numFmtId="168" fontId="4" fillId="0" borderId="0" xfId="6" applyNumberFormat="1" applyFont="1" applyFill="1" applyBorder="1" applyAlignment="1">
      <alignment horizontal="right" vertical="center"/>
    </xf>
    <xf numFmtId="168" fontId="228" fillId="0" borderId="16" xfId="3" applyNumberFormat="1" applyFont="1" applyBorder="1"/>
    <xf numFmtId="168" fontId="228" fillId="0" borderId="11" xfId="3" applyNumberFormat="1" applyFont="1" applyBorder="1"/>
    <xf numFmtId="168" fontId="228" fillId="0" borderId="23" xfId="1" applyNumberFormat="1" applyFont="1" applyFill="1" applyBorder="1" applyAlignment="1">
      <alignment horizontal="right" vertical="center"/>
    </xf>
    <xf numFmtId="3" fontId="185" fillId="85" borderId="6" xfId="1297" applyNumberFormat="1" applyFont="1" applyFill="1" applyBorder="1"/>
    <xf numFmtId="0" fontId="167" fillId="85" borderId="0" xfId="0" applyFont="1" applyFill="1"/>
    <xf numFmtId="220" fontId="173" fillId="85" borderId="11" xfId="1" applyNumberFormat="1" applyFont="1" applyFill="1" applyBorder="1"/>
    <xf numFmtId="3" fontId="3" fillId="85" borderId="6" xfId="1297" applyNumberFormat="1" applyFont="1" applyFill="1" applyBorder="1"/>
    <xf numFmtId="3" fontId="4" fillId="0" borderId="12" xfId="0" applyNumberFormat="1" applyFont="1" applyBorder="1"/>
    <xf numFmtId="0" fontId="242" fillId="0" borderId="0" xfId="0" applyFont="1"/>
    <xf numFmtId="3" fontId="173" fillId="0" borderId="24" xfId="2" applyNumberFormat="1" applyFont="1" applyBorder="1"/>
    <xf numFmtId="3" fontId="173" fillId="0" borderId="23" xfId="2" applyNumberFormat="1" applyFont="1" applyBorder="1"/>
    <xf numFmtId="3" fontId="173" fillId="0" borderId="20" xfId="2" applyNumberFormat="1" applyFont="1" applyBorder="1"/>
    <xf numFmtId="10" fontId="4" fillId="0" borderId="7" xfId="6" applyNumberFormat="1" applyFont="1" applyFill="1" applyBorder="1" applyAlignment="1">
      <alignment horizontal="right" vertical="center"/>
    </xf>
    <xf numFmtId="10" fontId="4" fillId="0" borderId="6" xfId="6" applyNumberFormat="1" applyFont="1" applyFill="1" applyBorder="1" applyAlignment="1">
      <alignment horizontal="right" vertical="center"/>
    </xf>
    <xf numFmtId="10" fontId="4" fillId="0" borderId="21" xfId="6" applyNumberFormat="1" applyFont="1" applyFill="1" applyBorder="1" applyAlignment="1">
      <alignment horizontal="right" vertical="center"/>
    </xf>
    <xf numFmtId="168" fontId="213" fillId="0" borderId="63" xfId="7" applyNumberFormat="1" applyFont="1" applyBorder="1"/>
    <xf numFmtId="218" fontId="173" fillId="0" borderId="21" xfId="1" applyNumberFormat="1" applyFont="1" applyFill="1" applyBorder="1"/>
    <xf numFmtId="0" fontId="15" fillId="3" borderId="14" xfId="0" applyFont="1" applyFill="1" applyBorder="1" applyAlignment="1">
      <alignment horizontal="center" wrapText="1"/>
    </xf>
    <xf numFmtId="167" fontId="173" fillId="0" borderId="10" xfId="14" applyNumberFormat="1" applyFont="1" applyFill="1" applyBorder="1"/>
    <xf numFmtId="3" fontId="173" fillId="0" borderId="26" xfId="2" applyNumberFormat="1" applyFont="1" applyBorder="1"/>
    <xf numFmtId="167" fontId="173" fillId="0" borderId="10" xfId="14" applyNumberFormat="1" applyFont="1" applyBorder="1"/>
    <xf numFmtId="167" fontId="173" fillId="0" borderId="0" xfId="14" applyNumberFormat="1" applyFont="1" applyBorder="1"/>
    <xf numFmtId="167" fontId="173" fillId="0" borderId="11" xfId="14" applyNumberFormat="1" applyFont="1" applyBorder="1"/>
    <xf numFmtId="167" fontId="173" fillId="0" borderId="12" xfId="14" applyNumberFormat="1" applyFont="1" applyBorder="1"/>
    <xf numFmtId="168" fontId="173" fillId="0" borderId="24" xfId="2" applyNumberFormat="1" applyFont="1" applyBorder="1"/>
    <xf numFmtId="168" fontId="173" fillId="0" borderId="23" xfId="2" applyNumberFormat="1" applyFont="1" applyBorder="1"/>
    <xf numFmtId="168" fontId="173" fillId="0" borderId="30" xfId="2" applyNumberFormat="1" applyFont="1" applyBorder="1"/>
    <xf numFmtId="43" fontId="4" fillId="0" borderId="0" xfId="1" applyFont="1"/>
    <xf numFmtId="0" fontId="173" fillId="0" borderId="0" xfId="2" quotePrefix="1" applyFont="1"/>
    <xf numFmtId="168" fontId="15" fillId="0" borderId="25" xfId="2" applyNumberFormat="1" applyFont="1" applyBorder="1"/>
    <xf numFmtId="168" fontId="3" fillId="0" borderId="31" xfId="3" applyNumberFormat="1" applyFont="1" applyBorder="1"/>
    <xf numFmtId="0" fontId="4" fillId="9" borderId="0" xfId="2" applyFont="1" applyFill="1"/>
    <xf numFmtId="0" fontId="4" fillId="0" borderId="27" xfId="2" applyFont="1" applyBorder="1"/>
    <xf numFmtId="0" fontId="191" fillId="0" borderId="0" xfId="0" applyFont="1" applyAlignment="1">
      <alignment wrapText="1"/>
    </xf>
    <xf numFmtId="0" fontId="4" fillId="0" borderId="0" xfId="9" applyFont="1"/>
    <xf numFmtId="0" fontId="4" fillId="89" borderId="0" xfId="9" applyFont="1" applyFill="1"/>
    <xf numFmtId="0" fontId="3" fillId="0" borderId="0" xfId="2" applyFont="1" applyAlignment="1">
      <alignment horizontal="left"/>
    </xf>
    <xf numFmtId="0" fontId="4" fillId="0" borderId="0" xfId="9" applyFont="1" applyAlignment="1">
      <alignment wrapText="1"/>
    </xf>
    <xf numFmtId="0" fontId="188" fillId="89" borderId="0" xfId="9" applyFont="1" applyFill="1"/>
    <xf numFmtId="0" fontId="4" fillId="7" borderId="0" xfId="9" applyFont="1" applyFill="1"/>
    <xf numFmtId="0" fontId="293" fillId="0" borderId="0" xfId="9" applyFont="1"/>
    <xf numFmtId="0" fontId="245" fillId="89" borderId="0" xfId="9" applyFont="1" applyFill="1"/>
    <xf numFmtId="43" fontId="4" fillId="0" borderId="0" xfId="1" applyFont="1" applyFill="1"/>
    <xf numFmtId="0" fontId="193" fillId="0" borderId="0" xfId="0" applyFont="1" applyAlignment="1">
      <alignment horizontal="left" vertical="center"/>
    </xf>
    <xf numFmtId="1" fontId="196" fillId="0" borderId="0" xfId="0" applyNumberFormat="1" applyFont="1" applyAlignment="1">
      <alignment horizontal="center" vertical="center"/>
    </xf>
    <xf numFmtId="3" fontId="196" fillId="0" borderId="0" xfId="0" applyNumberFormat="1" applyFont="1" applyAlignment="1">
      <alignment horizontal="right" vertical="center" shrinkToFit="1"/>
    </xf>
    <xf numFmtId="225" fontId="245" fillId="0" borderId="0" xfId="1" applyNumberFormat="1" applyFont="1" applyBorder="1" applyAlignment="1">
      <alignment horizontal="right" vertical="center"/>
    </xf>
    <xf numFmtId="222" fontId="245" fillId="0" borderId="0" xfId="1" applyNumberFormat="1" applyFont="1" applyBorder="1" applyAlignment="1">
      <alignment horizontal="right" vertical="center"/>
    </xf>
    <xf numFmtId="170" fontId="245" fillId="0" borderId="0" xfId="1" applyNumberFormat="1" applyFont="1" applyBorder="1" applyAlignment="1">
      <alignment horizontal="right" vertical="center"/>
    </xf>
    <xf numFmtId="168" fontId="15" fillId="8" borderId="61" xfId="2" applyNumberFormat="1" applyFont="1" applyFill="1" applyBorder="1"/>
    <xf numFmtId="167" fontId="173" fillId="0" borderId="18" xfId="4" applyNumberFormat="1" applyFont="1" applyBorder="1" applyAlignment="1"/>
    <xf numFmtId="43" fontId="245" fillId="0" borderId="0" xfId="1" applyFont="1" applyBorder="1" applyAlignment="1">
      <alignment horizontal="right" vertical="center"/>
    </xf>
    <xf numFmtId="43" fontId="191" fillId="0" borderId="0" xfId="0" applyNumberFormat="1" applyFont="1"/>
    <xf numFmtId="0" fontId="294" fillId="0" borderId="0" xfId="2" applyFont="1"/>
    <xf numFmtId="0" fontId="295" fillId="90" borderId="0" xfId="0" applyFont="1" applyFill="1" applyAlignment="1">
      <alignment horizontal="right" vertical="center" wrapText="1"/>
    </xf>
    <xf numFmtId="222" fontId="296" fillId="0" borderId="0" xfId="1" applyNumberFormat="1" applyFont="1" applyBorder="1" applyAlignment="1">
      <alignment horizontal="right" vertical="center"/>
    </xf>
    <xf numFmtId="3" fontId="189" fillId="85" borderId="11" xfId="1297" applyNumberFormat="1" applyFont="1" applyFill="1" applyBorder="1"/>
    <xf numFmtId="4" fontId="4" fillId="7" borderId="1" xfId="1297" applyNumberFormat="1" applyFont="1" applyFill="1" applyBorder="1"/>
    <xf numFmtId="4" fontId="4" fillId="0" borderId="25" xfId="1297" applyNumberFormat="1" applyFont="1" applyBorder="1"/>
    <xf numFmtId="214" fontId="3" fillId="0" borderId="61" xfId="1297" applyNumberFormat="1" applyFont="1" applyBorder="1"/>
    <xf numFmtId="252" fontId="173" fillId="0" borderId="10" xfId="1" applyNumberFormat="1" applyFont="1" applyFill="1" applyBorder="1"/>
    <xf numFmtId="4" fontId="153" fillId="71" borderId="0" xfId="851" applyNumberFormat="1" applyFont="1" applyFill="1"/>
    <xf numFmtId="4" fontId="4" fillId="0" borderId="17" xfId="1297" applyNumberFormat="1" applyFont="1" applyBorder="1"/>
    <xf numFmtId="4" fontId="4" fillId="85" borderId="6" xfId="1297" applyNumberFormat="1" applyFont="1" applyFill="1" applyBorder="1"/>
    <xf numFmtId="4" fontId="3" fillId="85" borderId="61" xfId="1297" applyNumberFormat="1" applyFont="1" applyFill="1" applyBorder="1"/>
    <xf numFmtId="0" fontId="4" fillId="85" borderId="0" xfId="1297" applyFont="1" applyFill="1"/>
    <xf numFmtId="0" fontId="5" fillId="85" borderId="0" xfId="9" applyFill="1"/>
    <xf numFmtId="0" fontId="3" fillId="85" borderId="0" xfId="1297" applyFont="1" applyFill="1" applyAlignment="1">
      <alignment horizontal="center"/>
    </xf>
    <xf numFmtId="3" fontId="3" fillId="85" borderId="0" xfId="1297" applyNumberFormat="1" applyFont="1" applyFill="1" applyAlignment="1">
      <alignment horizontal="center"/>
    </xf>
    <xf numFmtId="3" fontId="4" fillId="85" borderId="0" xfId="1297" applyNumberFormat="1" applyFont="1" applyFill="1"/>
    <xf numFmtId="168" fontId="4" fillId="0" borderId="28" xfId="7" applyNumberFormat="1" applyFont="1" applyBorder="1"/>
    <xf numFmtId="168" fontId="192" fillId="0" borderId="15" xfId="7" applyNumberFormat="1" applyFont="1" applyBorder="1"/>
    <xf numFmtId="227" fontId="4" fillId="0" borderId="10" xfId="3" applyNumberFormat="1" applyFont="1" applyBorder="1"/>
    <xf numFmtId="227" fontId="188" fillId="0" borderId="10" xfId="3" applyNumberFormat="1" applyFont="1" applyBorder="1"/>
    <xf numFmtId="10" fontId="294" fillId="0" borderId="15" xfId="6" applyNumberFormat="1" applyFont="1" applyFill="1" applyBorder="1"/>
    <xf numFmtId="168" fontId="197" fillId="0" borderId="10" xfId="3" applyNumberFormat="1" applyFont="1" applyBorder="1"/>
    <xf numFmtId="3" fontId="10" fillId="0" borderId="16" xfId="0" applyNumberFormat="1" applyFont="1" applyBorder="1"/>
    <xf numFmtId="3" fontId="10" fillId="0" borderId="11" xfId="0" applyNumberFormat="1" applyFont="1" applyBorder="1"/>
    <xf numFmtId="3" fontId="10" fillId="0" borderId="32" xfId="3" applyNumberFormat="1" applyFont="1" applyBorder="1"/>
    <xf numFmtId="3" fontId="10" fillId="0" borderId="9" xfId="3" applyNumberFormat="1" applyFont="1" applyBorder="1"/>
    <xf numFmtId="3" fontId="10" fillId="0" borderId="12" xfId="3" applyNumberFormat="1" applyFont="1" applyBorder="1"/>
    <xf numFmtId="3" fontId="3" fillId="0" borderId="27" xfId="3" applyNumberFormat="1" applyFont="1" applyBorder="1"/>
    <xf numFmtId="3" fontId="3" fillId="0" borderId="20" xfId="3" applyNumberFormat="1" applyFont="1" applyBorder="1"/>
    <xf numFmtId="10" fontId="4" fillId="0" borderId="8" xfId="6" applyNumberFormat="1" applyFont="1" applyFill="1" applyBorder="1" applyAlignment="1">
      <alignment horizontal="right" vertical="center"/>
    </xf>
    <xf numFmtId="10" fontId="4" fillId="0" borderId="32" xfId="6" applyNumberFormat="1" applyFont="1" applyFill="1" applyBorder="1" applyAlignment="1">
      <alignment horizontal="right" vertical="center"/>
    </xf>
    <xf numFmtId="10" fontId="4" fillId="0" borderId="14" xfId="14" applyNumberFormat="1" applyFont="1" applyFill="1" applyBorder="1"/>
    <xf numFmtId="10" fontId="4" fillId="0" borderId="16" xfId="14" applyNumberFormat="1" applyFont="1" applyFill="1" applyBorder="1"/>
    <xf numFmtId="10" fontId="4" fillId="0" borderId="28" xfId="14" applyNumberFormat="1" applyFont="1" applyFill="1" applyBorder="1"/>
    <xf numFmtId="10" fontId="4" fillId="0" borderId="27" xfId="6" applyNumberFormat="1" applyFont="1" applyFill="1" applyBorder="1" applyAlignment="1">
      <alignment horizontal="right" vertical="center"/>
    </xf>
    <xf numFmtId="168" fontId="4" fillId="0" borderId="8" xfId="3" applyNumberFormat="1" applyFont="1" applyBorder="1"/>
    <xf numFmtId="168" fontId="4" fillId="0" borderId="32" xfId="3" applyNumberFormat="1" applyFont="1" applyBorder="1"/>
    <xf numFmtId="168" fontId="4" fillId="0" borderId="17" xfId="3" applyNumberFormat="1" applyFont="1" applyBorder="1"/>
    <xf numFmtId="168" fontId="4" fillId="0" borderId="27" xfId="3" applyNumberFormat="1" applyFont="1" applyBorder="1"/>
    <xf numFmtId="167" fontId="4" fillId="0" borderId="28" xfId="6" applyNumberFormat="1" applyFont="1" applyFill="1" applyBorder="1" applyAlignment="1">
      <alignment horizontal="right" vertical="center"/>
    </xf>
    <xf numFmtId="3" fontId="4" fillId="0" borderId="8" xfId="7" applyNumberFormat="1" applyFont="1" applyBorder="1"/>
    <xf numFmtId="212" fontId="4" fillId="0" borderId="13" xfId="3" applyNumberFormat="1" applyFont="1" applyBorder="1"/>
    <xf numFmtId="212" fontId="4" fillId="0" borderId="26" xfId="3" applyNumberFormat="1" applyFont="1" applyBorder="1"/>
    <xf numFmtId="227" fontId="4" fillId="0" borderId="17" xfId="3" applyNumberFormat="1" applyFont="1" applyBorder="1"/>
    <xf numFmtId="3" fontId="4" fillId="0" borderId="29" xfId="3" applyNumberFormat="1" applyFont="1" applyBorder="1"/>
    <xf numFmtId="3" fontId="4" fillId="0" borderId="19" xfId="7" applyNumberFormat="1" applyFont="1" applyBorder="1"/>
    <xf numFmtId="10" fontId="4" fillId="0" borderId="1" xfId="6" applyNumberFormat="1" applyFont="1" applyFill="1" applyBorder="1" applyAlignment="1"/>
    <xf numFmtId="169" fontId="4" fillId="0" borderId="25" xfId="6" applyNumberFormat="1" applyFont="1" applyFill="1" applyBorder="1" applyAlignment="1"/>
    <xf numFmtId="168" fontId="173" fillId="0" borderId="32" xfId="2" applyNumberFormat="1" applyFont="1" applyBorder="1"/>
    <xf numFmtId="168" fontId="173" fillId="0" borderId="9" xfId="2" applyNumberFormat="1" applyFont="1" applyBorder="1"/>
    <xf numFmtId="3" fontId="173" fillId="69" borderId="19" xfId="2" applyNumberFormat="1" applyFont="1" applyFill="1" applyBorder="1"/>
    <xf numFmtId="168" fontId="15" fillId="8" borderId="22" xfId="2" applyNumberFormat="1" applyFont="1" applyFill="1" applyBorder="1"/>
    <xf numFmtId="168" fontId="181" fillId="0" borderId="32" xfId="2" applyNumberFormat="1" applyFont="1" applyBorder="1"/>
    <xf numFmtId="1" fontId="4" fillId="0" borderId="0" xfId="9" applyNumberFormat="1" applyFont="1" applyAlignment="1">
      <alignment horizontal="right"/>
    </xf>
    <xf numFmtId="4" fontId="178" fillId="0" borderId="22" xfId="1" applyNumberFormat="1" applyFont="1" applyFill="1" applyBorder="1"/>
    <xf numFmtId="2" fontId="4" fillId="0" borderId="0" xfId="3" applyNumberFormat="1" applyFont="1" applyAlignment="1">
      <alignment vertical="center"/>
    </xf>
    <xf numFmtId="10" fontId="4" fillId="0" borderId="0" xfId="14" applyNumberFormat="1" applyFont="1" applyFill="1" applyBorder="1" applyAlignment="1">
      <alignment vertical="center"/>
    </xf>
    <xf numFmtId="1" fontId="11" fillId="0" borderId="0" xfId="9" applyNumberFormat="1" applyFont="1"/>
    <xf numFmtId="168" fontId="4" fillId="85" borderId="25" xfId="1297" applyNumberFormat="1" applyFont="1" applyFill="1" applyBorder="1"/>
    <xf numFmtId="3" fontId="10" fillId="0" borderId="15" xfId="0" applyNumberFormat="1" applyFont="1" applyBorder="1"/>
    <xf numFmtId="3" fontId="10" fillId="0" borderId="10" xfId="0" applyNumberFormat="1" applyFont="1" applyBorder="1"/>
    <xf numFmtId="10" fontId="4" fillId="0" borderId="12" xfId="6" applyNumberFormat="1" applyFont="1" applyFill="1" applyBorder="1" applyAlignment="1">
      <alignment horizontal="right" vertical="center"/>
    </xf>
    <xf numFmtId="10" fontId="4" fillId="0" borderId="20" xfId="6" applyNumberFormat="1" applyFont="1" applyFill="1" applyBorder="1" applyAlignment="1">
      <alignment horizontal="right" vertical="center"/>
    </xf>
    <xf numFmtId="168" fontId="4" fillId="0" borderId="23" xfId="1" applyNumberFormat="1" applyFont="1" applyFill="1" applyBorder="1" applyAlignment="1">
      <alignment horizontal="right" vertical="center"/>
    </xf>
    <xf numFmtId="3" fontId="4" fillId="0" borderId="9" xfId="0" applyNumberFormat="1" applyFont="1" applyBorder="1"/>
    <xf numFmtId="3" fontId="4" fillId="79" borderId="12" xfId="3" applyNumberFormat="1" applyFont="1" applyFill="1" applyBorder="1"/>
    <xf numFmtId="3" fontId="4" fillId="79" borderId="11" xfId="0" applyNumberFormat="1" applyFont="1" applyFill="1" applyBorder="1"/>
    <xf numFmtId="3" fontId="4" fillId="7" borderId="11" xfId="0" applyNumberFormat="1" applyFont="1" applyFill="1" applyBorder="1"/>
    <xf numFmtId="167" fontId="4" fillId="0" borderId="18" xfId="6" applyNumberFormat="1" applyFont="1" applyFill="1" applyBorder="1" applyAlignment="1">
      <alignment horizontal="right" vertical="center"/>
    </xf>
    <xf numFmtId="167" fontId="16" fillId="0" borderId="0" xfId="5" applyNumberFormat="1" applyFont="1" applyFill="1" applyBorder="1" applyAlignment="1"/>
    <xf numFmtId="4" fontId="4" fillId="0" borderId="0" xfId="5" applyNumberFormat="1" applyFont="1" applyFill="1" applyBorder="1" applyAlignment="1">
      <alignment horizontal="left" vertical="center"/>
    </xf>
    <xf numFmtId="43" fontId="10" fillId="0" borderId="0" xfId="1" applyFont="1" applyFill="1" applyBorder="1" applyAlignment="1">
      <alignment vertical="center"/>
    </xf>
    <xf numFmtId="3" fontId="4" fillId="0" borderId="15" xfId="0" applyNumberFormat="1" applyFont="1" applyBorder="1"/>
    <xf numFmtId="3" fontId="4" fillId="0" borderId="10" xfId="0" applyNumberFormat="1" applyFont="1" applyBorder="1"/>
    <xf numFmtId="3" fontId="4" fillId="118" borderId="8" xfId="3" applyNumberFormat="1" applyFont="1" applyFill="1" applyBorder="1"/>
    <xf numFmtId="3" fontId="4" fillId="118" borderId="16" xfId="3" applyNumberFormat="1" applyFont="1" applyFill="1" applyBorder="1"/>
    <xf numFmtId="3" fontId="4" fillId="118" borderId="28" xfId="3" applyNumberFormat="1" applyFont="1" applyFill="1" applyBorder="1"/>
    <xf numFmtId="227" fontId="4" fillId="118" borderId="17" xfId="3" applyNumberFormat="1" applyFont="1" applyFill="1" applyBorder="1"/>
    <xf numFmtId="227" fontId="4" fillId="118" borderId="11" xfId="3" applyNumberFormat="1" applyFont="1" applyFill="1" applyBorder="1"/>
    <xf numFmtId="227" fontId="4" fillId="118" borderId="18" xfId="3" applyNumberFormat="1" applyFont="1" applyFill="1" applyBorder="1"/>
    <xf numFmtId="10" fontId="228" fillId="0" borderId="16" xfId="6" applyNumberFormat="1" applyFont="1" applyFill="1" applyBorder="1" applyAlignment="1"/>
    <xf numFmtId="168" fontId="240" fillId="0" borderId="11" xfId="3" applyNumberFormat="1" applyFont="1" applyBorder="1"/>
    <xf numFmtId="227" fontId="228" fillId="0" borderId="17" xfId="3" applyNumberFormat="1" applyFont="1" applyBorder="1"/>
    <xf numFmtId="3" fontId="3" fillId="85" borderId="61" xfId="1297" applyNumberFormat="1" applyFont="1" applyFill="1" applyBorder="1"/>
    <xf numFmtId="43" fontId="182" fillId="0" borderId="0" xfId="1" applyFont="1" applyFill="1"/>
    <xf numFmtId="220" fontId="173" fillId="0" borderId="17" xfId="1" applyNumberFormat="1" applyFont="1" applyFill="1" applyBorder="1"/>
    <xf numFmtId="220" fontId="173" fillId="0" borderId="98" xfId="1" applyNumberFormat="1" applyFont="1" applyFill="1" applyBorder="1"/>
    <xf numFmtId="168" fontId="173" fillId="0" borderId="97" xfId="2" applyNumberFormat="1" applyFont="1" applyBorder="1"/>
    <xf numFmtId="168" fontId="173" fillId="0" borderId="98" xfId="2" applyNumberFormat="1" applyFont="1" applyBorder="1"/>
    <xf numFmtId="168" fontId="173" fillId="0" borderId="101" xfId="1" applyNumberFormat="1" applyFont="1" applyFill="1" applyBorder="1"/>
    <xf numFmtId="168" fontId="173" fillId="0" borderId="101" xfId="2" applyNumberFormat="1" applyFont="1" applyBorder="1"/>
    <xf numFmtId="167" fontId="173" fillId="0" borderId="102" xfId="14" applyNumberFormat="1" applyFont="1" applyFill="1" applyBorder="1"/>
    <xf numFmtId="10" fontId="173" fillId="0" borderId="20" xfId="4" applyNumberFormat="1" applyFont="1" applyBorder="1" applyAlignment="1"/>
    <xf numFmtId="167" fontId="173" fillId="0" borderId="103" xfId="4" applyNumberFormat="1" applyFont="1" applyBorder="1" applyAlignment="1"/>
    <xf numFmtId="168" fontId="173" fillId="0" borderId="104" xfId="2" applyNumberFormat="1" applyFont="1" applyBorder="1"/>
    <xf numFmtId="214" fontId="173" fillId="0" borderId="99" xfId="2" applyNumberFormat="1" applyFont="1" applyBorder="1"/>
    <xf numFmtId="3" fontId="0" fillId="0" borderId="0" xfId="0" applyNumberFormat="1"/>
    <xf numFmtId="3" fontId="4" fillId="0" borderId="0" xfId="9" applyNumberFormat="1" applyFont="1"/>
    <xf numFmtId="220" fontId="173" fillId="85" borderId="18" xfId="1" applyNumberFormat="1" applyFont="1" applyFill="1" applyBorder="1"/>
    <xf numFmtId="10" fontId="228" fillId="118" borderId="16" xfId="6" applyNumberFormat="1" applyFont="1" applyFill="1" applyBorder="1" applyAlignment="1"/>
    <xf numFmtId="3" fontId="188" fillId="89" borderId="11" xfId="1297" applyNumberFormat="1" applyFont="1" applyFill="1" applyBorder="1"/>
    <xf numFmtId="3" fontId="188" fillId="89" borderId="25" xfId="1297" applyNumberFormat="1" applyFont="1" applyFill="1" applyBorder="1"/>
    <xf numFmtId="3" fontId="228" fillId="0" borderId="11" xfId="0" applyNumberFormat="1" applyFont="1" applyFill="1" applyBorder="1"/>
    <xf numFmtId="3" fontId="228" fillId="0" borderId="16" xfId="0" applyNumberFormat="1" applyFont="1" applyFill="1" applyBorder="1"/>
    <xf numFmtId="3" fontId="4" fillId="0" borderId="11" xfId="0" applyNumberFormat="1" applyFont="1" applyFill="1" applyBorder="1"/>
    <xf numFmtId="3" fontId="228" fillId="79" borderId="12" xfId="3" applyNumberFormat="1" applyFont="1" applyFill="1" applyBorder="1"/>
    <xf numFmtId="3" fontId="228" fillId="0" borderId="11" xfId="0" applyNumberFormat="1" applyFont="1" applyBorder="1"/>
    <xf numFmtId="3" fontId="228" fillId="7" borderId="11" xfId="3" applyNumberFormat="1" applyFont="1" applyFill="1" applyBorder="1"/>
    <xf numFmtId="3" fontId="228" fillId="0" borderId="16" xfId="3" applyNumberFormat="1" applyFont="1" applyFill="1" applyBorder="1"/>
    <xf numFmtId="0" fontId="233" fillId="0" borderId="46" xfId="0" applyFont="1" applyBorder="1" applyAlignment="1">
      <alignment vertical="center"/>
    </xf>
    <xf numFmtId="0" fontId="233" fillId="0" borderId="80" xfId="0" applyFont="1" applyBorder="1" applyAlignment="1">
      <alignment vertical="center"/>
    </xf>
    <xf numFmtId="0" fontId="233" fillId="0" borderId="77" xfId="0" applyFont="1" applyBorder="1" applyAlignment="1">
      <alignment vertical="center"/>
    </xf>
    <xf numFmtId="227" fontId="233" fillId="0" borderId="77" xfId="0" applyNumberFormat="1" applyFont="1" applyBorder="1" applyAlignment="1">
      <alignment horizontal="right" vertical="center"/>
    </xf>
    <xf numFmtId="228" fontId="233" fillId="0" borderId="77" xfId="14" applyNumberFormat="1" applyFont="1" applyFill="1" applyBorder="1" applyAlignment="1">
      <alignment vertical="center"/>
    </xf>
    <xf numFmtId="0" fontId="4" fillId="0" borderId="0" xfId="3" applyFont="1" applyAlignment="1">
      <alignment horizontal="right"/>
    </xf>
    <xf numFmtId="253" fontId="4" fillId="0" borderId="0" xfId="3" applyNumberFormat="1" applyFont="1"/>
    <xf numFmtId="168" fontId="4" fillId="85" borderId="6" xfId="7" applyNumberFormat="1" applyFont="1" applyFill="1" applyBorder="1"/>
    <xf numFmtId="168" fontId="4" fillId="85" borderId="21" xfId="7" applyNumberFormat="1" applyFont="1" applyFill="1" applyBorder="1"/>
    <xf numFmtId="4" fontId="173" fillId="0" borderId="61" xfId="2" applyNumberFormat="1" applyFont="1" applyBorder="1"/>
    <xf numFmtId="214" fontId="173" fillId="0" borderId="99" xfId="1" applyNumberFormat="1" applyFont="1" applyFill="1" applyBorder="1"/>
    <xf numFmtId="215" fontId="173" fillId="0" borderId="100" xfId="14" applyNumberFormat="1" applyFont="1" applyFill="1" applyBorder="1"/>
    <xf numFmtId="0" fontId="10" fillId="0" borderId="0" xfId="3" quotePrefix="1" applyFont="1" applyAlignment="1">
      <alignment vertical="top"/>
    </xf>
    <xf numFmtId="254" fontId="190" fillId="0" borderId="26" xfId="1297" applyNumberFormat="1" applyFont="1" applyBorder="1"/>
    <xf numFmtId="167" fontId="4" fillId="0" borderId="0" xfId="2" applyNumberFormat="1" applyFont="1"/>
    <xf numFmtId="3" fontId="3" fillId="76" borderId="13" xfId="3" applyNumberFormat="1" applyFont="1" applyFill="1" applyBorder="1"/>
    <xf numFmtId="3" fontId="228" fillId="119" borderId="16" xfId="0" applyNumberFormat="1" applyFont="1" applyFill="1" applyBorder="1"/>
    <xf numFmtId="3" fontId="4" fillId="119" borderId="13" xfId="3" applyNumberFormat="1" applyFont="1" applyFill="1" applyBorder="1"/>
    <xf numFmtId="3" fontId="228" fillId="119" borderId="11" xfId="0" applyNumberFormat="1" applyFont="1" applyFill="1" applyBorder="1"/>
    <xf numFmtId="3" fontId="228" fillId="119" borderId="11" xfId="3" applyNumberFormat="1" applyFont="1" applyFill="1" applyBorder="1"/>
    <xf numFmtId="0" fontId="233" fillId="0" borderId="46" xfId="0" applyFont="1" applyFill="1" applyBorder="1" applyAlignment="1">
      <alignment vertical="center"/>
    </xf>
    <xf numFmtId="0" fontId="234" fillId="0" borderId="79" xfId="0" applyFont="1" applyFill="1" applyBorder="1" applyAlignment="1">
      <alignment vertical="center"/>
    </xf>
    <xf numFmtId="0" fontId="233" fillId="0" borderId="77" xfId="0" applyFont="1" applyFill="1" applyBorder="1" applyAlignment="1">
      <alignment vertical="center"/>
    </xf>
    <xf numFmtId="0" fontId="233" fillId="0" borderId="80" xfId="0" applyFont="1" applyFill="1" applyBorder="1" applyAlignment="1">
      <alignment vertical="center"/>
    </xf>
    <xf numFmtId="212" fontId="235" fillId="0" borderId="77" xfId="0" applyNumberFormat="1" applyFont="1" applyFill="1" applyBorder="1" applyAlignment="1">
      <alignment horizontal="right" vertical="center"/>
    </xf>
    <xf numFmtId="227" fontId="233" fillId="0" borderId="77" xfId="0" applyNumberFormat="1" applyFont="1" applyFill="1" applyBorder="1" applyAlignment="1">
      <alignment horizontal="right" vertical="center"/>
    </xf>
    <xf numFmtId="4" fontId="235" fillId="0" borderId="77" xfId="0" applyNumberFormat="1" applyFont="1" applyFill="1" applyBorder="1" applyAlignment="1">
      <alignment horizontal="right" vertical="center"/>
    </xf>
    <xf numFmtId="4" fontId="233" fillId="0" borderId="77" xfId="0" applyNumberFormat="1" applyFont="1" applyFill="1" applyBorder="1" applyAlignment="1">
      <alignment vertical="center"/>
    </xf>
    <xf numFmtId="214" fontId="236" fillId="0" borderId="77" xfId="0" applyNumberFormat="1" applyFont="1" applyFill="1" applyBorder="1" applyAlignment="1">
      <alignment horizontal="right" vertical="center"/>
    </xf>
    <xf numFmtId="0" fontId="233" fillId="0" borderId="80" xfId="0" applyFont="1" applyFill="1" applyBorder="1" applyAlignment="1">
      <alignment vertical="center" wrapText="1"/>
    </xf>
    <xf numFmtId="0" fontId="233" fillId="119" borderId="77" xfId="0" applyFont="1" applyFill="1" applyBorder="1" applyAlignment="1">
      <alignment vertical="center"/>
    </xf>
    <xf numFmtId="227" fontId="233" fillId="119" borderId="77" xfId="0" applyNumberFormat="1" applyFont="1" applyFill="1" applyBorder="1" applyAlignment="1">
      <alignment horizontal="right" vertical="center"/>
    </xf>
    <xf numFmtId="4" fontId="233" fillId="119" borderId="77" xfId="0" applyNumberFormat="1" applyFont="1" applyFill="1" applyBorder="1" applyAlignment="1">
      <alignment vertical="center"/>
    </xf>
    <xf numFmtId="1" fontId="228" fillId="119" borderId="8" xfId="7" applyNumberFormat="1" applyFont="1" applyFill="1" applyBorder="1"/>
    <xf numFmtId="3" fontId="228" fillId="119" borderId="16" xfId="3" applyNumberFormat="1" applyFont="1" applyFill="1" applyBorder="1"/>
    <xf numFmtId="255" fontId="4" fillId="0" borderId="0" xfId="2" applyNumberFormat="1" applyFont="1"/>
    <xf numFmtId="256" fontId="4" fillId="0" borderId="0" xfId="2" applyNumberFormat="1" applyFont="1"/>
    <xf numFmtId="9" fontId="4" fillId="0" borderId="0" xfId="14" applyFont="1"/>
    <xf numFmtId="167" fontId="297" fillId="0" borderId="0" xfId="14" applyNumberFormat="1" applyFont="1"/>
    <xf numFmtId="0" fontId="297" fillId="0" borderId="0" xfId="2" applyFont="1"/>
    <xf numFmtId="43" fontId="0" fillId="0" borderId="0" xfId="1" applyFont="1"/>
    <xf numFmtId="3" fontId="4" fillId="0" borderId="13" xfId="0" applyNumberFormat="1" applyFont="1" applyFill="1" applyBorder="1"/>
    <xf numFmtId="3" fontId="4" fillId="0" borderId="18" xfId="0" applyNumberFormat="1" applyFont="1" applyFill="1" applyBorder="1"/>
    <xf numFmtId="169" fontId="297" fillId="0" borderId="10" xfId="6" applyNumberFormat="1" applyFont="1" applyFill="1" applyBorder="1"/>
    <xf numFmtId="0" fontId="157" fillId="6" borderId="3" xfId="1282" applyFont="1" applyFill="1" applyBorder="1" applyAlignment="1">
      <alignment horizontal="center" vertical="center"/>
    </xf>
    <xf numFmtId="0" fontId="157" fillId="6" borderId="4" xfId="1282" applyFont="1" applyFill="1" applyBorder="1" applyAlignment="1">
      <alignment horizontal="center" vertical="center"/>
    </xf>
    <xf numFmtId="0" fontId="157" fillId="6" borderId="5" xfId="1282" applyFont="1" applyFill="1" applyBorder="1" applyAlignment="1">
      <alignment horizontal="center" vertical="center"/>
    </xf>
    <xf numFmtId="0" fontId="158" fillId="76" borderId="0" xfId="11" applyFont="1" applyFill="1" applyAlignment="1">
      <alignment horizontal="center" vertical="center"/>
    </xf>
    <xf numFmtId="0" fontId="157" fillId="2" borderId="3" xfId="1282" applyFont="1" applyFill="1" applyBorder="1" applyAlignment="1">
      <alignment horizontal="center"/>
    </xf>
    <xf numFmtId="0" fontId="157" fillId="2" borderId="4" xfId="1282" applyFont="1" applyFill="1" applyBorder="1" applyAlignment="1">
      <alignment horizontal="center"/>
    </xf>
    <xf numFmtId="0" fontId="157" fillId="2" borderId="5" xfId="1282" applyFont="1" applyFill="1" applyBorder="1" applyAlignment="1">
      <alignment horizontal="center"/>
    </xf>
    <xf numFmtId="0" fontId="156" fillId="9" borderId="0" xfId="851" applyFont="1" applyFill="1" applyAlignment="1">
      <alignment horizontal="center" vertical="center"/>
    </xf>
    <xf numFmtId="0" fontId="151" fillId="70" borderId="0" xfId="851" applyFont="1" applyFill="1" applyAlignment="1">
      <alignment horizontal="center" vertical="center"/>
    </xf>
    <xf numFmtId="0" fontId="154" fillId="72" borderId="0" xfId="851" applyFont="1" applyFill="1" applyAlignment="1">
      <alignment horizontal="center" vertical="center"/>
    </xf>
    <xf numFmtId="0" fontId="155" fillId="74" borderId="0" xfId="851" applyFont="1" applyFill="1" applyAlignment="1">
      <alignment horizontal="center" vertical="center"/>
    </xf>
    <xf numFmtId="0" fontId="156" fillId="75" borderId="0" xfId="851" applyFont="1" applyFill="1" applyAlignment="1">
      <alignment horizontal="center" vertical="center"/>
    </xf>
    <xf numFmtId="0" fontId="155" fillId="7" borderId="0" xfId="851" applyFont="1" applyFill="1" applyAlignment="1">
      <alignment horizontal="center" vertical="center"/>
    </xf>
    <xf numFmtId="0" fontId="158" fillId="76" borderId="22" xfId="851" applyFont="1" applyFill="1" applyBorder="1" applyAlignment="1">
      <alignment horizontal="center"/>
    </xf>
    <xf numFmtId="0" fontId="157" fillId="6" borderId="22" xfId="1282" applyFont="1" applyFill="1" applyBorder="1" applyAlignment="1">
      <alignment horizontal="center" vertical="center"/>
    </xf>
    <xf numFmtId="0" fontId="6" fillId="6" borderId="3" xfId="2" applyFont="1" applyFill="1" applyBorder="1" applyAlignment="1">
      <alignment horizontal="center" vertical="center"/>
    </xf>
    <xf numFmtId="0" fontId="6" fillId="6" borderId="4" xfId="2" applyFont="1" applyFill="1" applyBorder="1" applyAlignment="1">
      <alignment horizontal="center" vertical="center"/>
    </xf>
    <xf numFmtId="0" fontId="6" fillId="6" borderId="5" xfId="2" applyFont="1" applyFill="1" applyBorder="1" applyAlignment="1">
      <alignment horizontal="center" vertical="center"/>
    </xf>
    <xf numFmtId="0" fontId="6" fillId="2" borderId="3" xfId="2" applyFont="1" applyFill="1" applyBorder="1" applyAlignment="1">
      <alignment horizontal="center" vertical="center"/>
    </xf>
    <xf numFmtId="0" fontId="6" fillId="2" borderId="4" xfId="2" applyFont="1" applyFill="1" applyBorder="1" applyAlignment="1">
      <alignment horizontal="center" vertical="center"/>
    </xf>
    <xf numFmtId="0" fontId="6" fillId="2" borderId="5" xfId="2" applyFont="1" applyFill="1" applyBorder="1" applyAlignment="1">
      <alignment horizontal="center" vertical="center"/>
    </xf>
    <xf numFmtId="0" fontId="3" fillId="0" borderId="0" xfId="3" applyFont="1" applyAlignment="1">
      <alignment horizontal="center"/>
    </xf>
    <xf numFmtId="0" fontId="233" fillId="0" borderId="81" xfId="0" applyFont="1" applyBorder="1" applyAlignment="1">
      <alignment horizontal="center" vertical="center"/>
    </xf>
    <xf numFmtId="0" fontId="233" fillId="0" borderId="79" xfId="0" applyFont="1" applyBorder="1" applyAlignment="1">
      <alignment horizontal="center" vertical="center"/>
    </xf>
    <xf numFmtId="0" fontId="233" fillId="0" borderId="81" xfId="0" applyFont="1" applyFill="1" applyBorder="1" applyAlignment="1">
      <alignment horizontal="center" vertical="center"/>
    </xf>
    <xf numFmtId="0" fontId="233" fillId="0" borderId="79" xfId="0" applyFont="1" applyFill="1" applyBorder="1" applyAlignment="1">
      <alignment horizontal="center" vertical="center"/>
    </xf>
    <xf numFmtId="0" fontId="15" fillId="3" borderId="3" xfId="2" applyFont="1" applyFill="1" applyBorder="1" applyAlignment="1">
      <alignment horizontal="center" vertical="center" wrapText="1"/>
    </xf>
    <xf numFmtId="0" fontId="15" fillId="3" borderId="5" xfId="2" applyFont="1" applyFill="1" applyBorder="1" applyAlignment="1">
      <alignment horizontal="center" vertical="center" wrapText="1"/>
    </xf>
    <xf numFmtId="0" fontId="15" fillId="2" borderId="3" xfId="2" applyFont="1" applyFill="1" applyBorder="1" applyAlignment="1">
      <alignment horizontal="center"/>
    </xf>
    <xf numFmtId="0" fontId="15" fillId="2" borderId="4" xfId="2" applyFont="1" applyFill="1" applyBorder="1" applyAlignment="1">
      <alignment horizontal="center"/>
    </xf>
    <xf numFmtId="0" fontId="15" fillId="2" borderId="5" xfId="2" applyFont="1" applyFill="1" applyBorder="1" applyAlignment="1">
      <alignment horizontal="center"/>
    </xf>
    <xf numFmtId="0" fontId="15" fillId="0" borderId="0" xfId="2" applyFont="1" applyAlignment="1">
      <alignment horizontal="center"/>
    </xf>
    <xf numFmtId="0" fontId="15" fillId="3" borderId="4" xfId="2" applyFont="1" applyFill="1" applyBorder="1" applyAlignment="1">
      <alignment horizontal="center" vertical="center" wrapText="1"/>
    </xf>
    <xf numFmtId="0" fontId="3" fillId="0" borderId="0" xfId="1297" applyFont="1" applyAlignment="1">
      <alignment horizontal="center"/>
    </xf>
    <xf numFmtId="0" fontId="193" fillId="4" borderId="14" xfId="0" applyFont="1" applyFill="1" applyBorder="1" applyAlignment="1">
      <alignment horizontal="center" vertical="center" wrapText="1"/>
    </xf>
    <xf numFmtId="0" fontId="193" fillId="4" borderId="13" xfId="0" applyFont="1" applyFill="1" applyBorder="1" applyAlignment="1">
      <alignment horizontal="center" vertical="center" wrapText="1"/>
    </xf>
    <xf numFmtId="0" fontId="193" fillId="4" borderId="64" xfId="0" applyFont="1" applyFill="1" applyBorder="1" applyAlignment="1">
      <alignment horizontal="center" vertical="center" wrapText="1"/>
    </xf>
    <xf numFmtId="0" fontId="193" fillId="4" borderId="26" xfId="0" applyFont="1" applyFill="1" applyBorder="1" applyAlignment="1">
      <alignment horizontal="center" vertical="center" wrapText="1"/>
    </xf>
    <xf numFmtId="0" fontId="193" fillId="4" borderId="3" xfId="0" applyFont="1" applyFill="1" applyBorder="1" applyAlignment="1">
      <alignment horizontal="center" vertical="center" wrapText="1"/>
    </xf>
    <xf numFmtId="0" fontId="193" fillId="4" borderId="5" xfId="0" applyFont="1" applyFill="1" applyBorder="1" applyAlignment="1">
      <alignment horizontal="center" vertical="center" wrapText="1"/>
    </xf>
    <xf numFmtId="0" fontId="193" fillId="4" borderId="4" xfId="0" applyFont="1" applyFill="1" applyBorder="1" applyAlignment="1">
      <alignment horizontal="center" vertical="center" wrapText="1"/>
    </xf>
    <xf numFmtId="0" fontId="193" fillId="4" borderId="22" xfId="0" applyFont="1" applyFill="1" applyBorder="1" applyAlignment="1">
      <alignment horizontal="center" vertical="center" wrapText="1"/>
    </xf>
    <xf numFmtId="0" fontId="193" fillId="4" borderId="3" xfId="0" applyFont="1" applyFill="1" applyBorder="1" applyAlignment="1">
      <alignment horizontal="center" vertical="center"/>
    </xf>
    <xf numFmtId="0" fontId="193" fillId="4" borderId="4" xfId="0" applyFont="1" applyFill="1" applyBorder="1" applyAlignment="1">
      <alignment horizontal="center" vertical="center"/>
    </xf>
    <xf numFmtId="0" fontId="193" fillId="4" borderId="5" xfId="0" applyFont="1" applyFill="1" applyBorder="1" applyAlignment="1">
      <alignment horizontal="center" vertical="center"/>
    </xf>
    <xf numFmtId="3" fontId="195" fillId="0" borderId="26" xfId="0" applyNumberFormat="1" applyFont="1" applyBorder="1" applyAlignment="1">
      <alignment horizontal="center" vertical="center"/>
    </xf>
    <xf numFmtId="3" fontId="195" fillId="0" borderId="12" xfId="0" applyNumberFormat="1" applyFont="1" applyBorder="1" applyAlignment="1">
      <alignment horizontal="center" vertical="center"/>
    </xf>
    <xf numFmtId="0" fontId="193" fillId="0" borderId="7" xfId="0" applyFont="1" applyBorder="1" applyAlignment="1">
      <alignment horizontal="left" vertical="center"/>
    </xf>
    <xf numFmtId="0" fontId="193" fillId="0" borderId="63" xfId="0" applyFont="1" applyBorder="1" applyAlignment="1">
      <alignment horizontal="left" vertical="center"/>
    </xf>
    <xf numFmtId="0" fontId="193" fillId="4" borderId="24" xfId="0" applyFont="1" applyFill="1" applyBorder="1" applyAlignment="1">
      <alignment horizontal="center" vertical="center" wrapText="1"/>
    </xf>
    <xf numFmtId="0" fontId="193" fillId="4" borderId="29" xfId="0" applyFont="1" applyFill="1" applyBorder="1" applyAlignment="1">
      <alignment horizontal="center" vertical="center" wrapText="1"/>
    </xf>
    <xf numFmtId="0" fontId="193" fillId="4" borderId="16" xfId="0" applyFont="1" applyFill="1" applyBorder="1" applyAlignment="1">
      <alignment horizontal="center" vertical="center" wrapText="1"/>
    </xf>
    <xf numFmtId="0" fontId="193" fillId="4" borderId="23" xfId="0" applyFont="1" applyFill="1" applyBorder="1" applyAlignment="1">
      <alignment horizontal="center" vertical="center" wrapText="1"/>
    </xf>
    <xf numFmtId="0" fontId="193" fillId="4" borderId="28" xfId="0" applyFont="1" applyFill="1" applyBorder="1" applyAlignment="1">
      <alignment horizontal="center" vertical="center" wrapText="1"/>
    </xf>
    <xf numFmtId="0" fontId="193" fillId="4" borderId="22" xfId="0" applyFont="1" applyFill="1" applyBorder="1" applyAlignment="1">
      <alignment horizontal="center" vertical="center"/>
    </xf>
    <xf numFmtId="0" fontId="191" fillId="4" borderId="22" xfId="0" applyFont="1" applyFill="1" applyBorder="1" applyAlignment="1">
      <alignment horizontal="center" vertical="center"/>
    </xf>
    <xf numFmtId="3" fontId="195" fillId="0" borderId="64" xfId="0" applyNumberFormat="1" applyFont="1" applyBorder="1" applyAlignment="1">
      <alignment horizontal="center" vertical="center"/>
    </xf>
    <xf numFmtId="3" fontId="195" fillId="0" borderId="9" xfId="0" applyNumberFormat="1" applyFont="1" applyBorder="1" applyAlignment="1">
      <alignment horizontal="center" vertical="center"/>
    </xf>
    <xf numFmtId="0" fontId="193" fillId="0" borderId="3" xfId="0" applyFont="1" applyBorder="1" applyAlignment="1">
      <alignment horizontal="center" vertical="center"/>
    </xf>
    <xf numFmtId="0" fontId="193" fillId="0" borderId="5" xfId="0" applyFont="1" applyBorder="1" applyAlignment="1">
      <alignment horizontal="center" vertical="center"/>
    </xf>
    <xf numFmtId="3" fontId="197" fillId="0" borderId="3" xfId="0" applyNumberFormat="1" applyFont="1" applyBorder="1" applyAlignment="1">
      <alignment horizontal="center" vertical="center"/>
    </xf>
    <xf numFmtId="0" fontId="197" fillId="0" borderId="5" xfId="0" applyFont="1" applyBorder="1" applyAlignment="1">
      <alignment horizontal="center" vertical="center"/>
    </xf>
    <xf numFmtId="1" fontId="196" fillId="0" borderId="3" xfId="0" applyNumberFormat="1" applyFont="1" applyBorder="1" applyAlignment="1">
      <alignment horizontal="center" vertical="center"/>
    </xf>
    <xf numFmtId="1" fontId="196" fillId="0" borderId="61" xfId="0" applyNumberFormat="1" applyFont="1" applyBorder="1" applyAlignment="1">
      <alignment horizontal="center" vertical="center"/>
    </xf>
    <xf numFmtId="1" fontId="196" fillId="0" borderId="4" xfId="0" applyNumberFormat="1" applyFont="1" applyBorder="1" applyAlignment="1">
      <alignment horizontal="center" vertical="center"/>
    </xf>
    <xf numFmtId="0" fontId="11" fillId="0" borderId="0" xfId="9" applyFont="1" applyAlignment="1">
      <alignment horizontal="center" wrapText="1"/>
    </xf>
  </cellXfs>
  <cellStyles count="25021">
    <cellStyle name="%_2DP_in" xfId="20" xr:uid="{00000000-0005-0000-0000-000000000000}"/>
    <cellStyle name="%_2DP_out" xfId="21" xr:uid="{00000000-0005-0000-0000-000001000000}"/>
    <cellStyle name="_example template 14" xfId="22" xr:uid="{00000000-0005-0000-0000-000002000000}"/>
    <cellStyle name="£'000" xfId="23" xr:uid="{00000000-0005-0000-0000-000003000000}"/>
    <cellStyle name="£k" xfId="24" xr:uid="{00000000-0005-0000-0000-000004000000}"/>
    <cellStyle name="0_DP_in" xfId="25" xr:uid="{00000000-0005-0000-0000-000005000000}"/>
    <cellStyle name="0_DP_out" xfId="26" xr:uid="{00000000-0005-0000-0000-000006000000}"/>
    <cellStyle name="1 antraštė" xfId="27" xr:uid="{00000000-0005-0000-0000-000007000000}"/>
    <cellStyle name="2 antraštė" xfId="28" xr:uid="{00000000-0005-0000-0000-000008000000}"/>
    <cellStyle name="2_DP_in" xfId="29" xr:uid="{00000000-0005-0000-0000-000009000000}"/>
    <cellStyle name="2_DP_out" xfId="30" xr:uid="{00000000-0005-0000-0000-00000A000000}"/>
    <cellStyle name="20 % - Aksentti1" xfId="31" xr:uid="{00000000-0005-0000-0000-00000B000000}"/>
    <cellStyle name="20 % - Aksentti1 2" xfId="32" xr:uid="{00000000-0005-0000-0000-00000C000000}"/>
    <cellStyle name="20 % - Aksentti1 2 2" xfId="855" xr:uid="{00000000-0005-0000-0000-00000D000000}"/>
    <cellStyle name="20 % - Aksentti1 3" xfId="854" xr:uid="{00000000-0005-0000-0000-00000E000000}"/>
    <cellStyle name="20 % - Aksentti2" xfId="33" xr:uid="{00000000-0005-0000-0000-00000F000000}"/>
    <cellStyle name="20 % - Aksentti2 2" xfId="34" xr:uid="{00000000-0005-0000-0000-000010000000}"/>
    <cellStyle name="20 % - Aksentti2 2 2" xfId="857" xr:uid="{00000000-0005-0000-0000-000011000000}"/>
    <cellStyle name="20 % - Aksentti2 3" xfId="856" xr:uid="{00000000-0005-0000-0000-000012000000}"/>
    <cellStyle name="20 % - Aksentti3" xfId="35" xr:uid="{00000000-0005-0000-0000-000013000000}"/>
    <cellStyle name="20 % - Aksentti3 2" xfId="36" xr:uid="{00000000-0005-0000-0000-000014000000}"/>
    <cellStyle name="20 % - Aksentti3 2 2" xfId="859" xr:uid="{00000000-0005-0000-0000-000015000000}"/>
    <cellStyle name="20 % - Aksentti3 3" xfId="858" xr:uid="{00000000-0005-0000-0000-000016000000}"/>
    <cellStyle name="20 % - Aksentti4" xfId="37" xr:uid="{00000000-0005-0000-0000-000017000000}"/>
    <cellStyle name="20 % - Aksentti4 2" xfId="38" xr:uid="{00000000-0005-0000-0000-000018000000}"/>
    <cellStyle name="20 % - Aksentti4 2 2" xfId="861" xr:uid="{00000000-0005-0000-0000-000019000000}"/>
    <cellStyle name="20 % - Aksentti4 3" xfId="860" xr:uid="{00000000-0005-0000-0000-00001A000000}"/>
    <cellStyle name="20 % - Aksentti5" xfId="39" xr:uid="{00000000-0005-0000-0000-00001B000000}"/>
    <cellStyle name="20 % - Aksentti5 2" xfId="40" xr:uid="{00000000-0005-0000-0000-00001C000000}"/>
    <cellStyle name="20 % - Aksentti5 2 2" xfId="863" xr:uid="{00000000-0005-0000-0000-00001D000000}"/>
    <cellStyle name="20 % - Aksentti5 3" xfId="862" xr:uid="{00000000-0005-0000-0000-00001E000000}"/>
    <cellStyle name="20 % - Aksentti6" xfId="41" xr:uid="{00000000-0005-0000-0000-00001F000000}"/>
    <cellStyle name="20 % - Aksentti6 2" xfId="42" xr:uid="{00000000-0005-0000-0000-000020000000}"/>
    <cellStyle name="20 % - Aksentti6 2 2" xfId="865" xr:uid="{00000000-0005-0000-0000-000021000000}"/>
    <cellStyle name="20 % - Aksentti6 3" xfId="864" xr:uid="{00000000-0005-0000-0000-000022000000}"/>
    <cellStyle name="20 % - Akzent1" xfId="43" xr:uid="{00000000-0005-0000-0000-000023000000}"/>
    <cellStyle name="20 % - Akzent2" xfId="44" xr:uid="{00000000-0005-0000-0000-000024000000}"/>
    <cellStyle name="20 % - Akzent3" xfId="45" xr:uid="{00000000-0005-0000-0000-000025000000}"/>
    <cellStyle name="20 % - Akzent4" xfId="46" xr:uid="{00000000-0005-0000-0000-000026000000}"/>
    <cellStyle name="20 % - Akzent5" xfId="47" xr:uid="{00000000-0005-0000-0000-000027000000}"/>
    <cellStyle name="20 % - Akzent6" xfId="48" xr:uid="{00000000-0005-0000-0000-000028000000}"/>
    <cellStyle name="20 % - Markeringsfarve1" xfId="49" xr:uid="{00000000-0005-0000-0000-000029000000}"/>
    <cellStyle name="20 % - Markeringsfarve1 2" xfId="866" xr:uid="{00000000-0005-0000-0000-00002A000000}"/>
    <cellStyle name="20 % - Markeringsfarve2" xfId="50" xr:uid="{00000000-0005-0000-0000-00002B000000}"/>
    <cellStyle name="20 % - Markeringsfarve2 2" xfId="867" xr:uid="{00000000-0005-0000-0000-00002C000000}"/>
    <cellStyle name="20 % - Markeringsfarve3" xfId="51" xr:uid="{00000000-0005-0000-0000-00002D000000}"/>
    <cellStyle name="20 % - Markeringsfarve3 2" xfId="868" xr:uid="{00000000-0005-0000-0000-00002E000000}"/>
    <cellStyle name="20 % - Markeringsfarve4" xfId="52" xr:uid="{00000000-0005-0000-0000-00002F000000}"/>
    <cellStyle name="20 % - Markeringsfarve4 2" xfId="869" xr:uid="{00000000-0005-0000-0000-000030000000}"/>
    <cellStyle name="20 % - Markeringsfarve5" xfId="53" xr:uid="{00000000-0005-0000-0000-000031000000}"/>
    <cellStyle name="20 % - Markeringsfarve5 2" xfId="870" xr:uid="{00000000-0005-0000-0000-000032000000}"/>
    <cellStyle name="20 % - Markeringsfarve6" xfId="54" xr:uid="{00000000-0005-0000-0000-000033000000}"/>
    <cellStyle name="20 % - Markeringsfarve6 2" xfId="871" xr:uid="{00000000-0005-0000-0000-000034000000}"/>
    <cellStyle name="20 % - Accent1" xfId="55" xr:uid="{00000000-0005-0000-0000-000035000000}"/>
    <cellStyle name="20 % - Accent1 2" xfId="56" xr:uid="{00000000-0005-0000-0000-000036000000}"/>
    <cellStyle name="20 % - Accent1 2 2" xfId="873" xr:uid="{00000000-0005-0000-0000-000037000000}"/>
    <cellStyle name="20 % - Accent1 3" xfId="872" xr:uid="{00000000-0005-0000-0000-000038000000}"/>
    <cellStyle name="20 % - Accent2" xfId="57" xr:uid="{00000000-0005-0000-0000-000039000000}"/>
    <cellStyle name="20 % - Accent2 2" xfId="58" xr:uid="{00000000-0005-0000-0000-00003A000000}"/>
    <cellStyle name="20 % - Accent2 2 2" xfId="875" xr:uid="{00000000-0005-0000-0000-00003B000000}"/>
    <cellStyle name="20 % - Accent2 3" xfId="874" xr:uid="{00000000-0005-0000-0000-00003C000000}"/>
    <cellStyle name="20 % - Accent3" xfId="59" xr:uid="{00000000-0005-0000-0000-00003D000000}"/>
    <cellStyle name="20 % - Accent3 2" xfId="60" xr:uid="{00000000-0005-0000-0000-00003E000000}"/>
    <cellStyle name="20 % - Accent3 2 2" xfId="877" xr:uid="{00000000-0005-0000-0000-00003F000000}"/>
    <cellStyle name="20 % - Accent3 3" xfId="876" xr:uid="{00000000-0005-0000-0000-000040000000}"/>
    <cellStyle name="20 % - Accent4" xfId="61" xr:uid="{00000000-0005-0000-0000-000041000000}"/>
    <cellStyle name="20 % - Accent4 2" xfId="62" xr:uid="{00000000-0005-0000-0000-000042000000}"/>
    <cellStyle name="20 % - Accent4 2 2" xfId="879" xr:uid="{00000000-0005-0000-0000-000043000000}"/>
    <cellStyle name="20 % - Accent4 3" xfId="878" xr:uid="{00000000-0005-0000-0000-000044000000}"/>
    <cellStyle name="20 % - Accent5" xfId="63" xr:uid="{00000000-0005-0000-0000-000045000000}"/>
    <cellStyle name="20 % - Accent5 2" xfId="64" xr:uid="{00000000-0005-0000-0000-000046000000}"/>
    <cellStyle name="20 % - Accent5 2 2" xfId="881" xr:uid="{00000000-0005-0000-0000-000047000000}"/>
    <cellStyle name="20 % - Accent5 3" xfId="880" xr:uid="{00000000-0005-0000-0000-000048000000}"/>
    <cellStyle name="20 % - Accent6" xfId="65" xr:uid="{00000000-0005-0000-0000-000049000000}"/>
    <cellStyle name="20 % - Accent6 2" xfId="66" xr:uid="{00000000-0005-0000-0000-00004A000000}"/>
    <cellStyle name="20 % - Accent6 2 2" xfId="883" xr:uid="{00000000-0005-0000-0000-00004B000000}"/>
    <cellStyle name="20 % - Accent6 3" xfId="882" xr:uid="{00000000-0005-0000-0000-00004C000000}"/>
    <cellStyle name="20% - 1. jelölőszín 2" xfId="1094" xr:uid="{00000000-0005-0000-0000-00004D000000}"/>
    <cellStyle name="20% - 2. jelölőszín 2" xfId="1095" xr:uid="{00000000-0005-0000-0000-00004E000000}"/>
    <cellStyle name="20% - 3. jelölőszín 2" xfId="1096" xr:uid="{00000000-0005-0000-0000-00004F000000}"/>
    <cellStyle name="20% - 4. jelölőszín 2" xfId="1097" xr:uid="{00000000-0005-0000-0000-000050000000}"/>
    <cellStyle name="20% - 5. jelölőszín 2" xfId="1098" xr:uid="{00000000-0005-0000-0000-000051000000}"/>
    <cellStyle name="20% - 6. jelölőszín 2" xfId="1099" xr:uid="{00000000-0005-0000-0000-000052000000}"/>
    <cellStyle name="20% - Accent1 2" xfId="67" xr:uid="{00000000-0005-0000-0000-000053000000}"/>
    <cellStyle name="20% - Accent1 2 2" xfId="884" xr:uid="{00000000-0005-0000-0000-000054000000}"/>
    <cellStyle name="20% - Accent1 2 3" xfId="1605" xr:uid="{1A839487-45EB-4298-AA1B-3AB8959F7129}"/>
    <cellStyle name="20% - Accent1 3" xfId="1606" xr:uid="{B57B5601-C65B-4F52-B95A-0B94664FAC19}"/>
    <cellStyle name="20% - Accent1 4" xfId="1607" xr:uid="{49CC6693-1098-48FA-8789-D3FF231829E8}"/>
    <cellStyle name="20% - Accent2 2" xfId="68" xr:uid="{00000000-0005-0000-0000-000055000000}"/>
    <cellStyle name="20% - Accent2 2 2" xfId="885" xr:uid="{00000000-0005-0000-0000-000056000000}"/>
    <cellStyle name="20% - Accent2 2 3" xfId="1609" xr:uid="{19A74972-8C9F-44D2-B033-547E2EFCB48E}"/>
    <cellStyle name="20% - Accent2 2_T1 ANSP" xfId="1608" xr:uid="{49EDC1F0-F177-4FAF-9049-7E5A3F79C4A5}"/>
    <cellStyle name="20% - Accent2 3" xfId="1610" xr:uid="{F781D0F9-2904-4B3B-B077-F769D5B8FB77}"/>
    <cellStyle name="20% - Accent2 4" xfId="1611" xr:uid="{0CEA7909-4735-4701-A28E-6436B9AA7280}"/>
    <cellStyle name="20% - Accent3 2" xfId="69" xr:uid="{00000000-0005-0000-0000-000057000000}"/>
    <cellStyle name="20% - Accent3 2 2" xfId="886" xr:uid="{00000000-0005-0000-0000-000058000000}"/>
    <cellStyle name="20% - Accent4 2" xfId="70" xr:uid="{00000000-0005-0000-0000-000059000000}"/>
    <cellStyle name="20% - Accent4 2 2" xfId="887" xr:uid="{00000000-0005-0000-0000-00005A000000}"/>
    <cellStyle name="20% - Accent5 2" xfId="71" xr:uid="{00000000-0005-0000-0000-00005B000000}"/>
    <cellStyle name="20% - Accent5 2 2" xfId="888" xr:uid="{00000000-0005-0000-0000-00005C000000}"/>
    <cellStyle name="20% - Accent5 2 3" xfId="1612" xr:uid="{C8655625-7281-4E14-9561-8529923DF55A}"/>
    <cellStyle name="20% - Accent5 3" xfId="1613" xr:uid="{D62A1CE2-23F6-44F7-812B-761CAB47BA73}"/>
    <cellStyle name="20% - Accent5 4" xfId="1614" xr:uid="{D727441B-FF66-443D-A9EC-B566603DBDEF}"/>
    <cellStyle name="20% - Accent6 2" xfId="72" xr:uid="{00000000-0005-0000-0000-00005D000000}"/>
    <cellStyle name="20% - Accent6 2 2" xfId="889" xr:uid="{00000000-0005-0000-0000-00005E000000}"/>
    <cellStyle name="20% - Akzent1" xfId="73" xr:uid="{00000000-0005-0000-0000-00005F000000}"/>
    <cellStyle name="20% - Akzent2" xfId="74" xr:uid="{00000000-0005-0000-0000-000060000000}"/>
    <cellStyle name="20% - Akzent3" xfId="75" xr:uid="{00000000-0005-0000-0000-000061000000}"/>
    <cellStyle name="20% - Akzent4" xfId="76" xr:uid="{00000000-0005-0000-0000-000062000000}"/>
    <cellStyle name="20% - Akzent5" xfId="77" xr:uid="{00000000-0005-0000-0000-000063000000}"/>
    <cellStyle name="20% - Akzent6" xfId="78" xr:uid="{00000000-0005-0000-0000-000064000000}"/>
    <cellStyle name="20% - Dekorfärg1" xfId="79" xr:uid="{00000000-0005-0000-0000-000065000000}"/>
    <cellStyle name="20% - Dekorfärg1 2" xfId="890" xr:uid="{00000000-0005-0000-0000-000066000000}"/>
    <cellStyle name="20% - Dekorfärg2" xfId="80" xr:uid="{00000000-0005-0000-0000-000067000000}"/>
    <cellStyle name="20% - Dekorfärg2 2" xfId="891" xr:uid="{00000000-0005-0000-0000-000068000000}"/>
    <cellStyle name="20% - Dekorfärg3" xfId="81" xr:uid="{00000000-0005-0000-0000-000069000000}"/>
    <cellStyle name="20% - Dekorfärg3 2" xfId="892" xr:uid="{00000000-0005-0000-0000-00006A000000}"/>
    <cellStyle name="20% - Dekorfärg4" xfId="82" xr:uid="{00000000-0005-0000-0000-00006B000000}"/>
    <cellStyle name="20% - Dekorfärg4 2" xfId="893" xr:uid="{00000000-0005-0000-0000-00006C000000}"/>
    <cellStyle name="20% - Dekorfärg5" xfId="83" xr:uid="{00000000-0005-0000-0000-00006D000000}"/>
    <cellStyle name="20% - Dekorfärg5 2" xfId="894" xr:uid="{00000000-0005-0000-0000-00006E000000}"/>
    <cellStyle name="20% - Dekorfärg6" xfId="84" xr:uid="{00000000-0005-0000-0000-00006F000000}"/>
    <cellStyle name="20% - Dekorfärg6 2" xfId="895" xr:uid="{00000000-0005-0000-0000-000070000000}"/>
    <cellStyle name="20% - Énfasis1" xfId="85" xr:uid="{00000000-0005-0000-0000-000071000000}"/>
    <cellStyle name="20% - Énfasis1 2" xfId="896" xr:uid="{00000000-0005-0000-0000-000072000000}"/>
    <cellStyle name="20% - Énfasis2" xfId="86" xr:uid="{00000000-0005-0000-0000-000073000000}"/>
    <cellStyle name="20% - Énfasis2 2" xfId="897" xr:uid="{00000000-0005-0000-0000-000074000000}"/>
    <cellStyle name="20% - Énfasis3" xfId="87" xr:uid="{00000000-0005-0000-0000-000075000000}"/>
    <cellStyle name="20% - Énfasis3 2" xfId="898" xr:uid="{00000000-0005-0000-0000-000076000000}"/>
    <cellStyle name="20% - Énfasis4" xfId="88" xr:uid="{00000000-0005-0000-0000-000077000000}"/>
    <cellStyle name="20% - Énfasis4 2" xfId="899" xr:uid="{00000000-0005-0000-0000-000078000000}"/>
    <cellStyle name="20% - Énfasis5" xfId="89" xr:uid="{00000000-0005-0000-0000-000079000000}"/>
    <cellStyle name="20% - Énfasis5 2" xfId="900" xr:uid="{00000000-0005-0000-0000-00007A000000}"/>
    <cellStyle name="20% - Énfasis6" xfId="90" xr:uid="{00000000-0005-0000-0000-00007B000000}"/>
    <cellStyle name="20% - Énfasis6 2" xfId="901" xr:uid="{00000000-0005-0000-0000-00007C000000}"/>
    <cellStyle name="20% – paryškinimas 1" xfId="91" xr:uid="{00000000-0005-0000-0000-00007D000000}"/>
    <cellStyle name="20% – paryškinimas 1 2" xfId="902" xr:uid="{00000000-0005-0000-0000-00007E000000}"/>
    <cellStyle name="20% – paryškinimas 2" xfId="92" xr:uid="{00000000-0005-0000-0000-00007F000000}"/>
    <cellStyle name="20% – paryškinimas 2 2" xfId="903" xr:uid="{00000000-0005-0000-0000-000080000000}"/>
    <cellStyle name="20% – paryškinimas 3" xfId="93" xr:uid="{00000000-0005-0000-0000-000081000000}"/>
    <cellStyle name="20% – paryškinimas 3 2" xfId="904" xr:uid="{00000000-0005-0000-0000-000082000000}"/>
    <cellStyle name="20% – paryškinimas 4" xfId="94" xr:uid="{00000000-0005-0000-0000-000083000000}"/>
    <cellStyle name="20% – paryškinimas 4 2" xfId="905" xr:uid="{00000000-0005-0000-0000-000084000000}"/>
    <cellStyle name="20% – paryškinimas 5" xfId="95" xr:uid="{00000000-0005-0000-0000-000085000000}"/>
    <cellStyle name="20% – paryškinimas 5 2" xfId="906" xr:uid="{00000000-0005-0000-0000-000086000000}"/>
    <cellStyle name="20% – paryškinimas 6" xfId="96" xr:uid="{00000000-0005-0000-0000-000087000000}"/>
    <cellStyle name="20% – paryškinimas 6 2" xfId="907" xr:uid="{00000000-0005-0000-0000-000088000000}"/>
    <cellStyle name="20% – rõhk1" xfId="97" xr:uid="{00000000-0005-0000-0000-000089000000}"/>
    <cellStyle name="20% – rõhk1 2" xfId="908" xr:uid="{00000000-0005-0000-0000-00008A000000}"/>
    <cellStyle name="20% – rõhk1 3" xfId="1100" xr:uid="{00000000-0005-0000-0000-00008B000000}"/>
    <cellStyle name="20% – rõhk2" xfId="98" xr:uid="{00000000-0005-0000-0000-00008C000000}"/>
    <cellStyle name="20% – rõhk2 2" xfId="909" xr:uid="{00000000-0005-0000-0000-00008D000000}"/>
    <cellStyle name="20% – rõhk2 3" xfId="1101" xr:uid="{00000000-0005-0000-0000-00008E000000}"/>
    <cellStyle name="20% – rõhk3" xfId="99" xr:uid="{00000000-0005-0000-0000-00008F000000}"/>
    <cellStyle name="20% – rõhk3 2" xfId="910" xr:uid="{00000000-0005-0000-0000-000090000000}"/>
    <cellStyle name="20% – rõhk3 3" xfId="1102" xr:uid="{00000000-0005-0000-0000-000091000000}"/>
    <cellStyle name="20% – rõhk4" xfId="100" xr:uid="{00000000-0005-0000-0000-000092000000}"/>
    <cellStyle name="20% – rõhk4 2" xfId="911" xr:uid="{00000000-0005-0000-0000-000093000000}"/>
    <cellStyle name="20% – rõhk4 3" xfId="1103" xr:uid="{00000000-0005-0000-0000-000094000000}"/>
    <cellStyle name="20% – rõhk5" xfId="101" xr:uid="{00000000-0005-0000-0000-000095000000}"/>
    <cellStyle name="20% – rõhk5 2" xfId="912" xr:uid="{00000000-0005-0000-0000-000096000000}"/>
    <cellStyle name="20% – rõhk5 3" xfId="1104" xr:uid="{00000000-0005-0000-0000-000097000000}"/>
    <cellStyle name="20% – rõhk6" xfId="102" xr:uid="{00000000-0005-0000-0000-000098000000}"/>
    <cellStyle name="20% – rõhk6 2" xfId="913" xr:uid="{00000000-0005-0000-0000-000099000000}"/>
    <cellStyle name="20% – rõhk6 3" xfId="1105" xr:uid="{00000000-0005-0000-0000-00009A000000}"/>
    <cellStyle name="3 antraštė" xfId="103" xr:uid="{00000000-0005-0000-0000-00009B000000}"/>
    <cellStyle name="4 antraštė" xfId="104" xr:uid="{00000000-0005-0000-0000-00009C000000}"/>
    <cellStyle name="40 % - Aksentti1" xfId="105" xr:uid="{00000000-0005-0000-0000-00009D000000}"/>
    <cellStyle name="40 % - Aksentti1 2" xfId="106" xr:uid="{00000000-0005-0000-0000-00009E000000}"/>
    <cellStyle name="40 % - Aksentti1 2 2" xfId="915" xr:uid="{00000000-0005-0000-0000-00009F000000}"/>
    <cellStyle name="40 % - Aksentti1 3" xfId="914" xr:uid="{00000000-0005-0000-0000-0000A0000000}"/>
    <cellStyle name="40 % - Aksentti2" xfId="107" xr:uid="{00000000-0005-0000-0000-0000A1000000}"/>
    <cellStyle name="40 % - Aksentti2 2" xfId="108" xr:uid="{00000000-0005-0000-0000-0000A2000000}"/>
    <cellStyle name="40 % - Aksentti2 2 2" xfId="917" xr:uid="{00000000-0005-0000-0000-0000A3000000}"/>
    <cellStyle name="40 % - Aksentti2 3" xfId="916" xr:uid="{00000000-0005-0000-0000-0000A4000000}"/>
    <cellStyle name="40 % - Aksentti3" xfId="109" xr:uid="{00000000-0005-0000-0000-0000A5000000}"/>
    <cellStyle name="40 % - Aksentti3 2" xfId="110" xr:uid="{00000000-0005-0000-0000-0000A6000000}"/>
    <cellStyle name="40 % - Aksentti3 2 2" xfId="919" xr:uid="{00000000-0005-0000-0000-0000A7000000}"/>
    <cellStyle name="40 % - Aksentti3 3" xfId="918" xr:uid="{00000000-0005-0000-0000-0000A8000000}"/>
    <cellStyle name="40 % - Aksentti4" xfId="111" xr:uid="{00000000-0005-0000-0000-0000A9000000}"/>
    <cellStyle name="40 % - Aksentti4 2" xfId="112" xr:uid="{00000000-0005-0000-0000-0000AA000000}"/>
    <cellStyle name="40 % - Aksentti4 2 2" xfId="921" xr:uid="{00000000-0005-0000-0000-0000AB000000}"/>
    <cellStyle name="40 % - Aksentti4 3" xfId="920" xr:uid="{00000000-0005-0000-0000-0000AC000000}"/>
    <cellStyle name="40 % - Aksentti5" xfId="113" xr:uid="{00000000-0005-0000-0000-0000AD000000}"/>
    <cellStyle name="40 % - Aksentti5 2" xfId="114" xr:uid="{00000000-0005-0000-0000-0000AE000000}"/>
    <cellStyle name="40 % - Aksentti5 2 2" xfId="923" xr:uid="{00000000-0005-0000-0000-0000AF000000}"/>
    <cellStyle name="40 % - Aksentti5 3" xfId="922" xr:uid="{00000000-0005-0000-0000-0000B0000000}"/>
    <cellStyle name="40 % - Aksentti6" xfId="115" xr:uid="{00000000-0005-0000-0000-0000B1000000}"/>
    <cellStyle name="40 % - Aksentti6 2" xfId="116" xr:uid="{00000000-0005-0000-0000-0000B2000000}"/>
    <cellStyle name="40 % - Aksentti6 2 2" xfId="925" xr:uid="{00000000-0005-0000-0000-0000B3000000}"/>
    <cellStyle name="40 % - Aksentti6 3" xfId="924" xr:uid="{00000000-0005-0000-0000-0000B4000000}"/>
    <cellStyle name="40 % - Akzent1" xfId="117" xr:uid="{00000000-0005-0000-0000-0000B5000000}"/>
    <cellStyle name="40 % - Akzent2" xfId="118" xr:uid="{00000000-0005-0000-0000-0000B6000000}"/>
    <cellStyle name="40 % - Akzent3" xfId="119" xr:uid="{00000000-0005-0000-0000-0000B7000000}"/>
    <cellStyle name="40 % - Akzent4" xfId="120" xr:uid="{00000000-0005-0000-0000-0000B8000000}"/>
    <cellStyle name="40 % - Akzent5" xfId="121" xr:uid="{00000000-0005-0000-0000-0000B9000000}"/>
    <cellStyle name="40 % - Akzent6" xfId="122" xr:uid="{00000000-0005-0000-0000-0000BA000000}"/>
    <cellStyle name="40 % - Markeringsfarve1" xfId="123" xr:uid="{00000000-0005-0000-0000-0000BB000000}"/>
    <cellStyle name="40 % - Markeringsfarve1 2" xfId="926" xr:uid="{00000000-0005-0000-0000-0000BC000000}"/>
    <cellStyle name="40 % - Markeringsfarve2" xfId="124" xr:uid="{00000000-0005-0000-0000-0000BD000000}"/>
    <cellStyle name="40 % - Markeringsfarve2 2" xfId="927" xr:uid="{00000000-0005-0000-0000-0000BE000000}"/>
    <cellStyle name="40 % - Markeringsfarve3" xfId="125" xr:uid="{00000000-0005-0000-0000-0000BF000000}"/>
    <cellStyle name="40 % - Markeringsfarve3 2" xfId="928" xr:uid="{00000000-0005-0000-0000-0000C0000000}"/>
    <cellStyle name="40 % - Markeringsfarve4" xfId="126" xr:uid="{00000000-0005-0000-0000-0000C1000000}"/>
    <cellStyle name="40 % - Markeringsfarve4 2" xfId="929" xr:uid="{00000000-0005-0000-0000-0000C2000000}"/>
    <cellStyle name="40 % - Markeringsfarve5" xfId="127" xr:uid="{00000000-0005-0000-0000-0000C3000000}"/>
    <cellStyle name="40 % - Markeringsfarve5 2" xfId="930" xr:uid="{00000000-0005-0000-0000-0000C4000000}"/>
    <cellStyle name="40 % - Markeringsfarve6" xfId="128" xr:uid="{00000000-0005-0000-0000-0000C5000000}"/>
    <cellStyle name="40 % - Markeringsfarve6 2" xfId="931" xr:uid="{00000000-0005-0000-0000-0000C6000000}"/>
    <cellStyle name="40 % - Accent1" xfId="129" xr:uid="{00000000-0005-0000-0000-0000C7000000}"/>
    <cellStyle name="40 % - Accent1 2" xfId="130" xr:uid="{00000000-0005-0000-0000-0000C8000000}"/>
    <cellStyle name="40 % - Accent1 2 2" xfId="933" xr:uid="{00000000-0005-0000-0000-0000C9000000}"/>
    <cellStyle name="40 % - Accent1 3" xfId="932" xr:uid="{00000000-0005-0000-0000-0000CA000000}"/>
    <cellStyle name="40 % - Accent2" xfId="131" xr:uid="{00000000-0005-0000-0000-0000CB000000}"/>
    <cellStyle name="40 % - Accent2 2" xfId="132" xr:uid="{00000000-0005-0000-0000-0000CC000000}"/>
    <cellStyle name="40 % - Accent2 2 2" xfId="935" xr:uid="{00000000-0005-0000-0000-0000CD000000}"/>
    <cellStyle name="40 % - Accent2 3" xfId="934" xr:uid="{00000000-0005-0000-0000-0000CE000000}"/>
    <cellStyle name="40 % - Accent3" xfId="133" xr:uid="{00000000-0005-0000-0000-0000CF000000}"/>
    <cellStyle name="40 % - Accent3 2" xfId="134" xr:uid="{00000000-0005-0000-0000-0000D0000000}"/>
    <cellStyle name="40 % - Accent3 2 2" xfId="937" xr:uid="{00000000-0005-0000-0000-0000D1000000}"/>
    <cellStyle name="40 % - Accent3 3" xfId="936" xr:uid="{00000000-0005-0000-0000-0000D2000000}"/>
    <cellStyle name="40 % - Accent4" xfId="135" xr:uid="{00000000-0005-0000-0000-0000D3000000}"/>
    <cellStyle name="40 % - Accent4 2" xfId="136" xr:uid="{00000000-0005-0000-0000-0000D4000000}"/>
    <cellStyle name="40 % - Accent4 2 2" xfId="939" xr:uid="{00000000-0005-0000-0000-0000D5000000}"/>
    <cellStyle name="40 % - Accent4 3" xfId="938" xr:uid="{00000000-0005-0000-0000-0000D6000000}"/>
    <cellStyle name="40 % - Accent5" xfId="137" xr:uid="{00000000-0005-0000-0000-0000D7000000}"/>
    <cellStyle name="40 % - Accent5 2" xfId="138" xr:uid="{00000000-0005-0000-0000-0000D8000000}"/>
    <cellStyle name="40 % - Accent5 2 2" xfId="941" xr:uid="{00000000-0005-0000-0000-0000D9000000}"/>
    <cellStyle name="40 % - Accent5 3" xfId="940" xr:uid="{00000000-0005-0000-0000-0000DA000000}"/>
    <cellStyle name="40 % - Accent6" xfId="139" xr:uid="{00000000-0005-0000-0000-0000DB000000}"/>
    <cellStyle name="40 % - Accent6 2" xfId="140" xr:uid="{00000000-0005-0000-0000-0000DC000000}"/>
    <cellStyle name="40 % - Accent6 2 2" xfId="943" xr:uid="{00000000-0005-0000-0000-0000DD000000}"/>
    <cellStyle name="40 % - Accent6 3" xfId="942" xr:uid="{00000000-0005-0000-0000-0000DE000000}"/>
    <cellStyle name="40% - 1. jelölőszín 2" xfId="1106" xr:uid="{00000000-0005-0000-0000-0000DF000000}"/>
    <cellStyle name="40% - 2. jelölőszín 2" xfId="1107" xr:uid="{00000000-0005-0000-0000-0000E0000000}"/>
    <cellStyle name="40% - 3. jelölőszín 2" xfId="1108" xr:uid="{00000000-0005-0000-0000-0000E1000000}"/>
    <cellStyle name="40% - 4. jelölőszín 2" xfId="1109" xr:uid="{00000000-0005-0000-0000-0000E2000000}"/>
    <cellStyle name="40% - 5. jelölőszín 2" xfId="1110" xr:uid="{00000000-0005-0000-0000-0000E3000000}"/>
    <cellStyle name="40% - 6. jelölőszín 2" xfId="1111" xr:uid="{00000000-0005-0000-0000-0000E4000000}"/>
    <cellStyle name="40% - Accent1 2" xfId="141" xr:uid="{00000000-0005-0000-0000-0000E5000000}"/>
    <cellStyle name="40% - Accent1 2 2" xfId="944" xr:uid="{00000000-0005-0000-0000-0000E6000000}"/>
    <cellStyle name="40% - Accent1 2 3" xfId="1615" xr:uid="{D1214192-4A11-416E-8E92-4896C3603CDB}"/>
    <cellStyle name="40% - Accent1 3" xfId="1616" xr:uid="{BBF87FC1-1C1C-4C6E-BA46-E10871AAFE13}"/>
    <cellStyle name="40% - Accent1 4" xfId="1617" xr:uid="{B5337388-898C-4623-9CF8-001972D59DD7}"/>
    <cellStyle name="40% - Accent2 2" xfId="142" xr:uid="{00000000-0005-0000-0000-0000E7000000}"/>
    <cellStyle name="40% - Accent2 2 2" xfId="945" xr:uid="{00000000-0005-0000-0000-0000E8000000}"/>
    <cellStyle name="40% - Accent2 2 3" xfId="1619" xr:uid="{1D6AB183-C438-490B-A80D-5E3B7DA83178}"/>
    <cellStyle name="40% - Accent2 2_T1 ANSP" xfId="1618" xr:uid="{E451B490-AA00-4809-B480-8225FF0E3F35}"/>
    <cellStyle name="40% - Accent2 3" xfId="1620" xr:uid="{D7D4BCDD-035C-44B4-B2A2-CAA5D3718180}"/>
    <cellStyle name="40% - Accent2 4" xfId="1621" xr:uid="{E2C005CB-FAAF-42CC-8B02-C591690F8652}"/>
    <cellStyle name="40% - Accent3 2" xfId="143" xr:uid="{00000000-0005-0000-0000-0000E9000000}"/>
    <cellStyle name="40% - Accent3 2 2" xfId="946" xr:uid="{00000000-0005-0000-0000-0000EA000000}"/>
    <cellStyle name="40% - Accent3 2 3" xfId="1623" xr:uid="{C08B31BD-B7AF-4884-9ED9-BE5C787615F6}"/>
    <cellStyle name="40% - Accent3 2_T1 ANSP" xfId="1622" xr:uid="{87261B1B-AF9C-41A3-BB1B-25E5C25F6272}"/>
    <cellStyle name="40% - Accent3 3" xfId="1624" xr:uid="{7B68E434-956A-48B3-BFEB-E0606BD01B63}"/>
    <cellStyle name="40% - Accent3 4" xfId="1625" xr:uid="{5B06EB8C-F785-40E1-8843-017930139A3A}"/>
    <cellStyle name="40% - Accent4 2" xfId="144" xr:uid="{00000000-0005-0000-0000-0000EB000000}"/>
    <cellStyle name="40% - Accent4 2 2" xfId="947" xr:uid="{00000000-0005-0000-0000-0000EC000000}"/>
    <cellStyle name="40% - Accent5 2" xfId="145" xr:uid="{00000000-0005-0000-0000-0000ED000000}"/>
    <cellStyle name="40% - Accent5 2 2" xfId="948" xr:uid="{00000000-0005-0000-0000-0000EE000000}"/>
    <cellStyle name="40% - Accent5 2 3" xfId="1626" xr:uid="{4A492F1E-D2FB-40A0-8344-39A65C37A918}"/>
    <cellStyle name="40% - Accent5 3" xfId="1627" xr:uid="{EA143717-898E-45DC-B38C-7ABEDE4B6438}"/>
    <cellStyle name="40% - Accent5 4" xfId="1628" xr:uid="{A01B858C-F1AC-4ED2-BE83-48E1B698ECAF}"/>
    <cellStyle name="40% - Accent6 2" xfId="146" xr:uid="{00000000-0005-0000-0000-0000EF000000}"/>
    <cellStyle name="40% - Accent6 2 2" xfId="949" xr:uid="{00000000-0005-0000-0000-0000F0000000}"/>
    <cellStyle name="40% - Akzent1" xfId="147" xr:uid="{00000000-0005-0000-0000-0000F1000000}"/>
    <cellStyle name="40% - Akzent2" xfId="148" xr:uid="{00000000-0005-0000-0000-0000F2000000}"/>
    <cellStyle name="40% - Akzent3" xfId="149" xr:uid="{00000000-0005-0000-0000-0000F3000000}"/>
    <cellStyle name="40% - Akzent4" xfId="150" xr:uid="{00000000-0005-0000-0000-0000F4000000}"/>
    <cellStyle name="40% - Akzent5" xfId="151" xr:uid="{00000000-0005-0000-0000-0000F5000000}"/>
    <cellStyle name="40% - Akzent6" xfId="152" xr:uid="{00000000-0005-0000-0000-0000F6000000}"/>
    <cellStyle name="40% - Dekorfärg1" xfId="153" xr:uid="{00000000-0005-0000-0000-0000F7000000}"/>
    <cellStyle name="40% - Dekorfärg1 2" xfId="950" xr:uid="{00000000-0005-0000-0000-0000F8000000}"/>
    <cellStyle name="40% - Dekorfärg2" xfId="154" xr:uid="{00000000-0005-0000-0000-0000F9000000}"/>
    <cellStyle name="40% - Dekorfärg2 2" xfId="951" xr:uid="{00000000-0005-0000-0000-0000FA000000}"/>
    <cellStyle name="40% - Dekorfärg3" xfId="155" xr:uid="{00000000-0005-0000-0000-0000FB000000}"/>
    <cellStyle name="40% - Dekorfärg3 2" xfId="952" xr:uid="{00000000-0005-0000-0000-0000FC000000}"/>
    <cellStyle name="40% - Dekorfärg4" xfId="156" xr:uid="{00000000-0005-0000-0000-0000FD000000}"/>
    <cellStyle name="40% - Dekorfärg4 2" xfId="953" xr:uid="{00000000-0005-0000-0000-0000FE000000}"/>
    <cellStyle name="40% - Dekorfärg5" xfId="157" xr:uid="{00000000-0005-0000-0000-0000FF000000}"/>
    <cellStyle name="40% - Dekorfärg5 2" xfId="954" xr:uid="{00000000-0005-0000-0000-000000010000}"/>
    <cellStyle name="40% - Dekorfärg6" xfId="158" xr:uid="{00000000-0005-0000-0000-000001010000}"/>
    <cellStyle name="40% - Dekorfärg6 2" xfId="955" xr:uid="{00000000-0005-0000-0000-000002010000}"/>
    <cellStyle name="40% - Énfasis1" xfId="159" xr:uid="{00000000-0005-0000-0000-000003010000}"/>
    <cellStyle name="40% - Énfasis1 2" xfId="956" xr:uid="{00000000-0005-0000-0000-000004010000}"/>
    <cellStyle name="40% - Énfasis2" xfId="160" xr:uid="{00000000-0005-0000-0000-000005010000}"/>
    <cellStyle name="40% - Énfasis2 2" xfId="957" xr:uid="{00000000-0005-0000-0000-000006010000}"/>
    <cellStyle name="40% - Énfasis3" xfId="161" xr:uid="{00000000-0005-0000-0000-000007010000}"/>
    <cellStyle name="40% - Énfasis3 2" xfId="958" xr:uid="{00000000-0005-0000-0000-000008010000}"/>
    <cellStyle name="40% - Énfasis4" xfId="162" xr:uid="{00000000-0005-0000-0000-000009010000}"/>
    <cellStyle name="40% - Énfasis4 2" xfId="959" xr:uid="{00000000-0005-0000-0000-00000A010000}"/>
    <cellStyle name="40% - Énfasis5" xfId="163" xr:uid="{00000000-0005-0000-0000-00000B010000}"/>
    <cellStyle name="40% - Énfasis5 2" xfId="960" xr:uid="{00000000-0005-0000-0000-00000C010000}"/>
    <cellStyle name="40% - Énfasis6" xfId="164" xr:uid="{00000000-0005-0000-0000-00000D010000}"/>
    <cellStyle name="40% - Énfasis6 2" xfId="961" xr:uid="{00000000-0005-0000-0000-00000E010000}"/>
    <cellStyle name="40% – paryškinimas 1" xfId="165" xr:uid="{00000000-0005-0000-0000-00000F010000}"/>
    <cellStyle name="40% – paryškinimas 1 2" xfId="962" xr:uid="{00000000-0005-0000-0000-000010010000}"/>
    <cellStyle name="40% – paryškinimas 2" xfId="166" xr:uid="{00000000-0005-0000-0000-000011010000}"/>
    <cellStyle name="40% – paryškinimas 2 2" xfId="963" xr:uid="{00000000-0005-0000-0000-000012010000}"/>
    <cellStyle name="40% – paryškinimas 3" xfId="167" xr:uid="{00000000-0005-0000-0000-000013010000}"/>
    <cellStyle name="40% – paryškinimas 3 2" xfId="964" xr:uid="{00000000-0005-0000-0000-000014010000}"/>
    <cellStyle name="40% – paryškinimas 4" xfId="168" xr:uid="{00000000-0005-0000-0000-000015010000}"/>
    <cellStyle name="40% – paryškinimas 4 2" xfId="965" xr:uid="{00000000-0005-0000-0000-000016010000}"/>
    <cellStyle name="40% – paryškinimas 5" xfId="169" xr:uid="{00000000-0005-0000-0000-000017010000}"/>
    <cellStyle name="40% – paryškinimas 5 2" xfId="966" xr:uid="{00000000-0005-0000-0000-000018010000}"/>
    <cellStyle name="40% – paryškinimas 6" xfId="170" xr:uid="{00000000-0005-0000-0000-000019010000}"/>
    <cellStyle name="40% – paryškinimas 6 2" xfId="967" xr:uid="{00000000-0005-0000-0000-00001A010000}"/>
    <cellStyle name="40% – rõhk1" xfId="171" xr:uid="{00000000-0005-0000-0000-00001B010000}"/>
    <cellStyle name="40% – rõhk1 2" xfId="968" xr:uid="{00000000-0005-0000-0000-00001C010000}"/>
    <cellStyle name="40% – rõhk1 3" xfId="1112" xr:uid="{00000000-0005-0000-0000-00001D010000}"/>
    <cellStyle name="40% – rõhk2" xfId="172" xr:uid="{00000000-0005-0000-0000-00001E010000}"/>
    <cellStyle name="40% – rõhk2 2" xfId="969" xr:uid="{00000000-0005-0000-0000-00001F010000}"/>
    <cellStyle name="40% – rõhk2 3" xfId="1113" xr:uid="{00000000-0005-0000-0000-000020010000}"/>
    <cellStyle name="40% – rõhk3" xfId="173" xr:uid="{00000000-0005-0000-0000-000021010000}"/>
    <cellStyle name="40% – rõhk3 2" xfId="970" xr:uid="{00000000-0005-0000-0000-000022010000}"/>
    <cellStyle name="40% – rõhk3 3" xfId="1114" xr:uid="{00000000-0005-0000-0000-000023010000}"/>
    <cellStyle name="40% – rõhk4" xfId="174" xr:uid="{00000000-0005-0000-0000-000024010000}"/>
    <cellStyle name="40% – rõhk4 2" xfId="971" xr:uid="{00000000-0005-0000-0000-000025010000}"/>
    <cellStyle name="40% – rõhk4 3" xfId="1115" xr:uid="{00000000-0005-0000-0000-000026010000}"/>
    <cellStyle name="40% – rõhk5" xfId="175" xr:uid="{00000000-0005-0000-0000-000027010000}"/>
    <cellStyle name="40% – rõhk5 2" xfId="972" xr:uid="{00000000-0005-0000-0000-000028010000}"/>
    <cellStyle name="40% – rõhk5 3" xfId="1116" xr:uid="{00000000-0005-0000-0000-000029010000}"/>
    <cellStyle name="40% – rõhk6" xfId="176" xr:uid="{00000000-0005-0000-0000-00002A010000}"/>
    <cellStyle name="40% – rõhk6 2" xfId="973" xr:uid="{00000000-0005-0000-0000-00002B010000}"/>
    <cellStyle name="40% – rõhk6 3" xfId="1117" xr:uid="{00000000-0005-0000-0000-00002C010000}"/>
    <cellStyle name="60 % - Aksentti1" xfId="177" xr:uid="{00000000-0005-0000-0000-00002D010000}"/>
    <cellStyle name="60 % - Aksentti2" xfId="178" xr:uid="{00000000-0005-0000-0000-00002E010000}"/>
    <cellStyle name="60 % - Aksentti3" xfId="179" xr:uid="{00000000-0005-0000-0000-00002F010000}"/>
    <cellStyle name="60 % - Aksentti4" xfId="180" xr:uid="{00000000-0005-0000-0000-000030010000}"/>
    <cellStyle name="60 % - Aksentti5" xfId="181" xr:uid="{00000000-0005-0000-0000-000031010000}"/>
    <cellStyle name="60 % - Aksentti6" xfId="182" xr:uid="{00000000-0005-0000-0000-000032010000}"/>
    <cellStyle name="60 % - Akzent1" xfId="183" xr:uid="{00000000-0005-0000-0000-000033010000}"/>
    <cellStyle name="60 % - Akzent2" xfId="184" xr:uid="{00000000-0005-0000-0000-000034010000}"/>
    <cellStyle name="60 % - Akzent3" xfId="185" xr:uid="{00000000-0005-0000-0000-000035010000}"/>
    <cellStyle name="60 % - Akzent4" xfId="186" xr:uid="{00000000-0005-0000-0000-000036010000}"/>
    <cellStyle name="60 % - Akzent5" xfId="187" xr:uid="{00000000-0005-0000-0000-000037010000}"/>
    <cellStyle name="60 % - Akzent6" xfId="188" xr:uid="{00000000-0005-0000-0000-000038010000}"/>
    <cellStyle name="60 % - Markeringsfarve1" xfId="189" xr:uid="{00000000-0005-0000-0000-000039010000}"/>
    <cellStyle name="60 % - Markeringsfarve2" xfId="190" xr:uid="{00000000-0005-0000-0000-00003A010000}"/>
    <cellStyle name="60 % - Markeringsfarve3" xfId="191" xr:uid="{00000000-0005-0000-0000-00003B010000}"/>
    <cellStyle name="60 % - Markeringsfarve4" xfId="192" xr:uid="{00000000-0005-0000-0000-00003C010000}"/>
    <cellStyle name="60 % - Markeringsfarve5" xfId="193" xr:uid="{00000000-0005-0000-0000-00003D010000}"/>
    <cellStyle name="60 % - Markeringsfarve6" xfId="194" xr:uid="{00000000-0005-0000-0000-00003E010000}"/>
    <cellStyle name="60 % - Accent1" xfId="195" xr:uid="{00000000-0005-0000-0000-00003F010000}"/>
    <cellStyle name="60 % - Accent1 2" xfId="1118" xr:uid="{00000000-0005-0000-0000-000040010000}"/>
    <cellStyle name="60 % - Accent2" xfId="196" xr:uid="{00000000-0005-0000-0000-000041010000}"/>
    <cellStyle name="60 % - Accent2 2" xfId="1119" xr:uid="{00000000-0005-0000-0000-000042010000}"/>
    <cellStyle name="60 % - Accent3" xfId="197" xr:uid="{00000000-0005-0000-0000-000043010000}"/>
    <cellStyle name="60 % - Accent3 2" xfId="1120" xr:uid="{00000000-0005-0000-0000-000044010000}"/>
    <cellStyle name="60 % - Accent4" xfId="198" xr:uid="{00000000-0005-0000-0000-000045010000}"/>
    <cellStyle name="60 % - Accent4 2" xfId="1121" xr:uid="{00000000-0005-0000-0000-000046010000}"/>
    <cellStyle name="60 % - Accent5" xfId="199" xr:uid="{00000000-0005-0000-0000-000047010000}"/>
    <cellStyle name="60 % - Accent5 2" xfId="1122" xr:uid="{00000000-0005-0000-0000-000048010000}"/>
    <cellStyle name="60 % - Accent6" xfId="200" xr:uid="{00000000-0005-0000-0000-000049010000}"/>
    <cellStyle name="60 % - Accent6 2" xfId="1123" xr:uid="{00000000-0005-0000-0000-00004A010000}"/>
    <cellStyle name="60% - 1. jelölőszín 2" xfId="1124" xr:uid="{00000000-0005-0000-0000-00004B010000}"/>
    <cellStyle name="60% - 2. jelölőszín 2" xfId="1125" xr:uid="{00000000-0005-0000-0000-00004C010000}"/>
    <cellStyle name="60% - 3. jelölőszín 2" xfId="1126" xr:uid="{00000000-0005-0000-0000-00004D010000}"/>
    <cellStyle name="60% - 4. jelölőszín 2" xfId="1127" xr:uid="{00000000-0005-0000-0000-00004E010000}"/>
    <cellStyle name="60% - 5. jelölőszín 2" xfId="1128" xr:uid="{00000000-0005-0000-0000-00004F010000}"/>
    <cellStyle name="60% - 6. jelölőszín 2" xfId="1129" xr:uid="{00000000-0005-0000-0000-000050010000}"/>
    <cellStyle name="60% - Accent1 2" xfId="201" xr:uid="{00000000-0005-0000-0000-000051010000}"/>
    <cellStyle name="60% - Accent1 3" xfId="202" xr:uid="{00000000-0005-0000-0000-000052010000}"/>
    <cellStyle name="60% - Accent2 2" xfId="203" xr:uid="{00000000-0005-0000-0000-000053010000}"/>
    <cellStyle name="60% - Accent3 2" xfId="204" xr:uid="{00000000-0005-0000-0000-000054010000}"/>
    <cellStyle name="60% - Accent4 2" xfId="205" xr:uid="{00000000-0005-0000-0000-000055010000}"/>
    <cellStyle name="60% - Accent5 2" xfId="206" xr:uid="{00000000-0005-0000-0000-000056010000}"/>
    <cellStyle name="60% - Accent6 2" xfId="207" xr:uid="{00000000-0005-0000-0000-000057010000}"/>
    <cellStyle name="60% - Akzent1" xfId="208" xr:uid="{00000000-0005-0000-0000-000058010000}"/>
    <cellStyle name="60% - Akzent2" xfId="209" xr:uid="{00000000-0005-0000-0000-000059010000}"/>
    <cellStyle name="60% - Akzent3" xfId="210" xr:uid="{00000000-0005-0000-0000-00005A010000}"/>
    <cellStyle name="60% - Akzent4" xfId="211" xr:uid="{00000000-0005-0000-0000-00005B010000}"/>
    <cellStyle name="60% - Akzent5" xfId="212" xr:uid="{00000000-0005-0000-0000-00005C010000}"/>
    <cellStyle name="60% - Akzent6" xfId="213" xr:uid="{00000000-0005-0000-0000-00005D010000}"/>
    <cellStyle name="60% - Dekorfärg1" xfId="214" xr:uid="{00000000-0005-0000-0000-00005E010000}"/>
    <cellStyle name="60% - Dekorfärg2" xfId="215" xr:uid="{00000000-0005-0000-0000-00005F010000}"/>
    <cellStyle name="60% - Dekorfärg3" xfId="216" xr:uid="{00000000-0005-0000-0000-000060010000}"/>
    <cellStyle name="60% - Dekorfärg4" xfId="217" xr:uid="{00000000-0005-0000-0000-000061010000}"/>
    <cellStyle name="60% - Dekorfärg5" xfId="218" xr:uid="{00000000-0005-0000-0000-000062010000}"/>
    <cellStyle name="60% - Dekorfärg6" xfId="219" xr:uid="{00000000-0005-0000-0000-000063010000}"/>
    <cellStyle name="60% - Énfasis1" xfId="220" xr:uid="{00000000-0005-0000-0000-000064010000}"/>
    <cellStyle name="60% - Énfasis2" xfId="221" xr:uid="{00000000-0005-0000-0000-000065010000}"/>
    <cellStyle name="60% - Énfasis3" xfId="222" xr:uid="{00000000-0005-0000-0000-000066010000}"/>
    <cellStyle name="60% - Énfasis4" xfId="223" xr:uid="{00000000-0005-0000-0000-000067010000}"/>
    <cellStyle name="60% - Énfasis5" xfId="224" xr:uid="{00000000-0005-0000-0000-000068010000}"/>
    <cellStyle name="60% - Énfasis6" xfId="225" xr:uid="{00000000-0005-0000-0000-000069010000}"/>
    <cellStyle name="60% – paryškinimas 1" xfId="226" xr:uid="{00000000-0005-0000-0000-00006A010000}"/>
    <cellStyle name="60% – paryškinimas 2" xfId="227" xr:uid="{00000000-0005-0000-0000-00006B010000}"/>
    <cellStyle name="60% – paryškinimas 3" xfId="228" xr:uid="{00000000-0005-0000-0000-00006C010000}"/>
    <cellStyle name="60% – paryškinimas 4" xfId="229" xr:uid="{00000000-0005-0000-0000-00006D010000}"/>
    <cellStyle name="60% – paryškinimas 5" xfId="230" xr:uid="{00000000-0005-0000-0000-00006E010000}"/>
    <cellStyle name="60% – paryškinimas 6" xfId="231" xr:uid="{00000000-0005-0000-0000-00006F010000}"/>
    <cellStyle name="60% – rõhk1" xfId="232" xr:uid="{00000000-0005-0000-0000-000070010000}"/>
    <cellStyle name="60% – rõhk1 2" xfId="1130" xr:uid="{00000000-0005-0000-0000-000071010000}"/>
    <cellStyle name="60% – rõhk1 3" xfId="1131" xr:uid="{00000000-0005-0000-0000-000072010000}"/>
    <cellStyle name="60% – rõhk2" xfId="233" xr:uid="{00000000-0005-0000-0000-000073010000}"/>
    <cellStyle name="60% – rõhk2 2" xfId="1132" xr:uid="{00000000-0005-0000-0000-000074010000}"/>
    <cellStyle name="60% – rõhk2 3" xfId="1133" xr:uid="{00000000-0005-0000-0000-000075010000}"/>
    <cellStyle name="60% – rõhk3" xfId="234" xr:uid="{00000000-0005-0000-0000-000076010000}"/>
    <cellStyle name="60% – rõhk3 2" xfId="1134" xr:uid="{00000000-0005-0000-0000-000077010000}"/>
    <cellStyle name="60% – rõhk3 3" xfId="1135" xr:uid="{00000000-0005-0000-0000-000078010000}"/>
    <cellStyle name="60% – rõhk4" xfId="235" xr:uid="{00000000-0005-0000-0000-000079010000}"/>
    <cellStyle name="60% – rõhk4 2" xfId="1136" xr:uid="{00000000-0005-0000-0000-00007A010000}"/>
    <cellStyle name="60% – rõhk4 3" xfId="1137" xr:uid="{00000000-0005-0000-0000-00007B010000}"/>
    <cellStyle name="60% – rõhk5" xfId="236" xr:uid="{00000000-0005-0000-0000-00007C010000}"/>
    <cellStyle name="60% – rõhk5 2" xfId="1138" xr:uid="{00000000-0005-0000-0000-00007D010000}"/>
    <cellStyle name="60% – rõhk5 3" xfId="1139" xr:uid="{00000000-0005-0000-0000-00007E010000}"/>
    <cellStyle name="60% – rõhk6" xfId="237" xr:uid="{00000000-0005-0000-0000-00007F010000}"/>
    <cellStyle name="60% – rõhk6 2" xfId="1140" xr:uid="{00000000-0005-0000-0000-000080010000}"/>
    <cellStyle name="60% – rõhk6 3" xfId="1141" xr:uid="{00000000-0005-0000-0000-000081010000}"/>
    <cellStyle name="AA Nombre" xfId="238" xr:uid="{00000000-0005-0000-0000-000082010000}"/>
    <cellStyle name="Accent1 - 20%" xfId="1629" xr:uid="{77E78162-986E-40E1-9FE5-712986E54AA4}"/>
    <cellStyle name="Accent1 - 40%" xfId="1630" xr:uid="{DF49FFC4-A774-4327-92B0-7925106A9721}"/>
    <cellStyle name="Accent1 - 60%" xfId="1631" xr:uid="{F87841FB-A325-4473-B14B-79BB9C2DF668}"/>
    <cellStyle name="Accent1 2" xfId="239" xr:uid="{00000000-0005-0000-0000-000083010000}"/>
    <cellStyle name="Accent1 2 2" xfId="18" xr:uid="{00000000-0005-0000-0000-000084010000}"/>
    <cellStyle name="Accent1 2 2 2" xfId="240" xr:uid="{00000000-0005-0000-0000-000085010000}"/>
    <cellStyle name="Accent1 2 2_T1 ANSP" xfId="1633" xr:uid="{E758D6E2-0C7A-4A6D-84A0-00573D8EBA1D}"/>
    <cellStyle name="Accent1 2 3" xfId="1142" xr:uid="{00000000-0005-0000-0000-000086010000}"/>
    <cellStyle name="Accent1 2 4" xfId="1634" xr:uid="{5F6FABC0-F3E8-410A-BE9A-636BF5A88E5D}"/>
    <cellStyle name="Accent1 2_T1 ANSP" xfId="1632" xr:uid="{AF3C9CDC-BF3B-4197-980C-C88B7DA7B946}"/>
    <cellStyle name="Accent1 3" xfId="1143" xr:uid="{00000000-0005-0000-0000-000087010000}"/>
    <cellStyle name="Accent1 3 2" xfId="1636" xr:uid="{5A04E751-DB1B-4EF6-9EA1-DB19C0F99D84}"/>
    <cellStyle name="Accent1 3_T1 ANSP" xfId="1635" xr:uid="{277424DE-9AAB-4C98-B424-6D32408D8A23}"/>
    <cellStyle name="Accent1 4" xfId="1637" xr:uid="{713DB523-9C08-4627-B4E3-5179201CE5BE}"/>
    <cellStyle name="Accent2" xfId="1280" builtinId="33"/>
    <cellStyle name="Accent2 - 20%" xfId="1638" xr:uid="{98F614FB-25DD-43F0-88A3-422DBAFC135D}"/>
    <cellStyle name="Accent2 - 40%" xfId="1639" xr:uid="{9A81783F-3428-4704-89D8-7344E83204D6}"/>
    <cellStyle name="Accent2 - 60%" xfId="1640" xr:uid="{59A23D90-7BB0-4B93-B50A-869A7DB7C7CC}"/>
    <cellStyle name="Accent2 2" xfId="241" xr:uid="{00000000-0005-0000-0000-000089010000}"/>
    <cellStyle name="Accent2 2 2" xfId="1642" xr:uid="{345FB4CC-8789-428D-BA06-186C47EA8A68}"/>
    <cellStyle name="Accent2 2_T1 ANSP" xfId="1641" xr:uid="{90C5A93C-4915-46D7-B391-05D31C16693D}"/>
    <cellStyle name="Accent2 3" xfId="1643" xr:uid="{DD8AF2D6-B958-43F5-9D9D-88435D672EB2}"/>
    <cellStyle name="Accent2 4" xfId="1644" xr:uid="{4C2D9342-8FF3-4C22-9BDF-779442C60B43}"/>
    <cellStyle name="Accent3 - 20%" xfId="1645" xr:uid="{CFC3D983-D64D-4272-8488-67E692146953}"/>
    <cellStyle name="Accent3 - 40%" xfId="1646" xr:uid="{DD360B71-924C-41D3-BDB8-EB7EC9BE24AF}"/>
    <cellStyle name="Accent3 - 60%" xfId="1647" xr:uid="{C411FBA7-12AA-4B9A-8EB3-63A57F23BB71}"/>
    <cellStyle name="Accent3 2" xfId="242" xr:uid="{00000000-0005-0000-0000-00008A010000}"/>
    <cellStyle name="Accent3 2 2" xfId="1649" xr:uid="{F020EB77-D04B-48BD-B794-C0C09F14AF5F}"/>
    <cellStyle name="Accent3 2_T1 ANSP" xfId="1648" xr:uid="{0FFE1868-5F7E-40DA-A652-C859FA09E3B0}"/>
    <cellStyle name="Accent3 3" xfId="1650" xr:uid="{6237C52B-2A8E-4E5C-8263-2CDD9D721759}"/>
    <cellStyle name="Accent3 4" xfId="1651" xr:uid="{742D9FC0-76DB-4901-A157-CB844D44E74D}"/>
    <cellStyle name="Accent4 - 20%" xfId="1652" xr:uid="{40179272-2005-44D1-AC8D-BD79E1313450}"/>
    <cellStyle name="Accent4 - 40%" xfId="1653" xr:uid="{59EED15B-FA37-438E-B4E1-E4982CA6A8A3}"/>
    <cellStyle name="Accent4 - 60%" xfId="1654" xr:uid="{F66BA091-3F87-44AF-92AA-59B32271F4BB}"/>
    <cellStyle name="Accent4 2" xfId="243" xr:uid="{00000000-0005-0000-0000-00008B010000}"/>
    <cellStyle name="Accent4 2 2" xfId="1656" xr:uid="{B1EE303B-AE9F-4D8E-9263-EAE082AE4280}"/>
    <cellStyle name="Accent4 2_T1 ANSP" xfId="1655" xr:uid="{95A431A2-6BD9-4E54-97D3-7D2BDA346D0D}"/>
    <cellStyle name="Accent4 3" xfId="1657" xr:uid="{AC5E7E12-FF7B-4151-A0C8-4AB619169D34}"/>
    <cellStyle name="Accent4 4" xfId="1658" xr:uid="{FA5FC284-3B70-44EA-841A-FD8C016F6DEE}"/>
    <cellStyle name="Accent5 - 20%" xfId="1659" xr:uid="{9EC41509-9A4A-4C88-904C-7365E2FAFBA4}"/>
    <cellStyle name="Accent5 - 40%" xfId="1660" xr:uid="{6D3189E2-A710-4AED-8ECA-B6B21AE5B894}"/>
    <cellStyle name="Accent5 - 60%" xfId="1661" xr:uid="{37089044-8E75-4330-A76B-F98C083A32CA}"/>
    <cellStyle name="Accent5 2" xfId="244" xr:uid="{00000000-0005-0000-0000-00008C010000}"/>
    <cellStyle name="Accent5 2 2" xfId="1663" xr:uid="{E9346391-A4A4-4160-84B7-0B88F663D89B}"/>
    <cellStyle name="Accent5 2_T1 ANSP" xfId="1662" xr:uid="{C692B8E1-54D9-4DCC-BA64-78E84508CDA3}"/>
    <cellStyle name="Accent5 3" xfId="1664" xr:uid="{F535DAC3-942C-49DA-9ABE-E8FAA1B901B2}"/>
    <cellStyle name="Accent5 4" xfId="1665" xr:uid="{5AB1F4FD-3ED0-4A6D-A2D1-9B1550C36A4B}"/>
    <cellStyle name="Accent6" xfId="1281" builtinId="49"/>
    <cellStyle name="Accent6 - 20%" xfId="1666" xr:uid="{1785E55A-82D4-4663-9F53-F4951063DEB4}"/>
    <cellStyle name="Accent6 - 40%" xfId="1667" xr:uid="{D18CEE83-FC4F-4ADD-B9A5-4BB1B215BCA3}"/>
    <cellStyle name="Accent6 - 60%" xfId="1668" xr:uid="{05167942-2E24-46DF-AC51-DBC9D5CF8838}"/>
    <cellStyle name="Accent6 2" xfId="245" xr:uid="{00000000-0005-0000-0000-00008E010000}"/>
    <cellStyle name="Accent6 2 2" xfId="1670" xr:uid="{53E785A1-D0F0-407F-87A4-6C65FD883174}"/>
    <cellStyle name="Accent6 2_T1 ANSP" xfId="1669" xr:uid="{8CB2B8BE-60D5-49A7-A205-B2E7F5F5D818}"/>
    <cellStyle name="Accent6 3" xfId="1671" xr:uid="{4E423C8A-60F3-4AED-AFB8-CCFAA99FA4DC}"/>
    <cellStyle name="Accent6 4" xfId="1672" xr:uid="{7825725E-1102-4C16-9362-4845D5CFD813}"/>
    <cellStyle name="Addon output" xfId="1673" xr:uid="{1999133B-BA79-4BEB-AF90-96E0A28FB3EB}"/>
    <cellStyle name="Addon output 2" xfId="1674" xr:uid="{A4DC32E9-0298-4911-9308-1AD4A86FC53D}"/>
    <cellStyle name="Addon output 2 2" xfId="1675" xr:uid="{A4A15A46-D822-4A99-94FE-E4305F5A6BBE}"/>
    <cellStyle name="Addon output 3" xfId="1676" xr:uid="{1362ACB7-B963-4881-8B0B-7076099AB424}"/>
    <cellStyle name="Addon output 3 2" xfId="1677" xr:uid="{C0FCC22D-F76B-47EF-A0DF-A21D5AD2483B}"/>
    <cellStyle name="Addon output 4" xfId="1678" xr:uid="{04CBE778-08C9-4997-A027-79B9612ED41A}"/>
    <cellStyle name="Addon output 4 2" xfId="1679" xr:uid="{47197749-916A-445D-A911-3C8F9B0C5E83}"/>
    <cellStyle name="Addon output 5" xfId="1680" xr:uid="{6C6C066B-4644-4353-99DD-B0AAA9DA5064}"/>
    <cellStyle name="Addon output 5 2" xfId="1681" xr:uid="{26ECDEF2-B74A-43B2-A6F8-7AD4D92DE1DC}"/>
    <cellStyle name="Addon output 6" xfId="1682" xr:uid="{85756EAC-7D9D-4954-90E7-45F573B73BB5}"/>
    <cellStyle name="Addon output 6 2" xfId="1683" xr:uid="{60CAB094-3297-456A-865E-904EE65D0382}"/>
    <cellStyle name="Addon output 7" xfId="1684" xr:uid="{93405A36-EE7D-43B9-B94F-4DC0D5D9B5DF}"/>
    <cellStyle name="Advarselstekst" xfId="246" xr:uid="{00000000-0005-0000-0000-00008F010000}"/>
    <cellStyle name="Aiškinamasis tekstas" xfId="247" xr:uid="{00000000-0005-0000-0000-000090010000}"/>
    <cellStyle name="Aksentti1" xfId="248" xr:uid="{00000000-0005-0000-0000-000091010000}"/>
    <cellStyle name="Aksentti2" xfId="249" xr:uid="{00000000-0005-0000-0000-000092010000}"/>
    <cellStyle name="Aksentti3" xfId="250" xr:uid="{00000000-0005-0000-0000-000093010000}"/>
    <cellStyle name="Aksentti4" xfId="251" xr:uid="{00000000-0005-0000-0000-000094010000}"/>
    <cellStyle name="Aksentti5" xfId="252" xr:uid="{00000000-0005-0000-0000-000095010000}"/>
    <cellStyle name="Aksentti6" xfId="253" xr:uid="{00000000-0005-0000-0000-000096010000}"/>
    <cellStyle name="Akzent1" xfId="254" xr:uid="{00000000-0005-0000-0000-000097010000}"/>
    <cellStyle name="Akzent2" xfId="255" xr:uid="{00000000-0005-0000-0000-000098010000}"/>
    <cellStyle name="Akzent3" xfId="256" xr:uid="{00000000-0005-0000-0000-000099010000}"/>
    <cellStyle name="Akzent4" xfId="257" xr:uid="{00000000-0005-0000-0000-00009A010000}"/>
    <cellStyle name="Akzent5" xfId="258" xr:uid="{00000000-0005-0000-0000-00009B010000}"/>
    <cellStyle name="Akzent6" xfId="259" xr:uid="{00000000-0005-0000-0000-00009C010000}"/>
    <cellStyle name="Anos" xfId="260" xr:uid="{00000000-0005-0000-0000-00009D010000}"/>
    <cellStyle name="Anteckning" xfId="261" xr:uid="{00000000-0005-0000-0000-00009E010000}"/>
    <cellStyle name="Anteckning 2" xfId="1459" xr:uid="{00000000-0005-0000-0000-00009F010000}"/>
    <cellStyle name="Anteckning 3" xfId="1452" xr:uid="{00000000-0005-0000-0000-0000A0010000}"/>
    <cellStyle name="Arvutus" xfId="262" xr:uid="{00000000-0005-0000-0000-0000A1010000}"/>
    <cellStyle name="Arvutus 2" xfId="1144" xr:uid="{00000000-0005-0000-0000-0000A2010000}"/>
    <cellStyle name="Arvutus 2 2" xfId="1460" xr:uid="{00000000-0005-0000-0000-0000A3010000}"/>
    <cellStyle name="Arvutus 3" xfId="1145" xr:uid="{00000000-0005-0000-0000-0000A4010000}"/>
    <cellStyle name="Assumption" xfId="1685" xr:uid="{ABD608AB-E835-4BBD-BDCC-05CDEB95ACB9}"/>
    <cellStyle name="assumption 1" xfId="263" xr:uid="{00000000-0005-0000-0000-0000A5010000}"/>
    <cellStyle name="assumption 2" xfId="264" xr:uid="{00000000-0005-0000-0000-0000A6010000}"/>
    <cellStyle name="assumption 4" xfId="265" xr:uid="{00000000-0005-0000-0000-0000A7010000}"/>
    <cellStyle name="Assumption Date" xfId="266" xr:uid="{00000000-0005-0000-0000-0000A8010000}"/>
    <cellStyle name="Assumptions % 0 dp" xfId="1686" xr:uid="{581A0DAA-C6AE-4F7B-847C-14B2360B2909}"/>
    <cellStyle name="Assumptions % 0 dp 2" xfId="1687" xr:uid="{D7D6E7E7-070B-475D-A657-0B9A0A44AB16}"/>
    <cellStyle name="Assumptions % 0 dp 2 2" xfId="1688" xr:uid="{6D76CC5A-FFA8-406F-B4B4-56F723396684}"/>
    <cellStyle name="Assumptions % 0 dp 3" xfId="1689" xr:uid="{3AC65C15-5B70-45D8-93FB-210284BAFAC0}"/>
    <cellStyle name="Assumptions % 0 dp 3 2" xfId="1690" xr:uid="{2436108D-5184-4020-A7D4-8655EDEC9FBE}"/>
    <cellStyle name="Assumptions % 0 dp 4" xfId="1691" xr:uid="{7F20B68E-4548-4F3D-B739-614A5FD9BEB0}"/>
    <cellStyle name="Assumptions % 0 dp 4 2" xfId="1692" xr:uid="{B41DDB64-64A7-44C4-8CF6-B1078CA0C98F}"/>
    <cellStyle name="Assumptions % 0 dp 5" xfId="1693" xr:uid="{99BD3174-AA1A-4D64-8B66-E65EDFEAA581}"/>
    <cellStyle name="Assumptions % 0 dp 5 2" xfId="1694" xr:uid="{AB6A3F49-9E67-456E-BCB8-DAAAC86F43A9}"/>
    <cellStyle name="Assumptions % 0 dp 6" xfId="1695" xr:uid="{50306DA4-5FA6-478E-B587-D7CB5B29B83B}"/>
    <cellStyle name="Assumptions % 0 dp 6 2" xfId="1696" xr:uid="{2DBA1723-0E06-462C-952A-340C9C942314}"/>
    <cellStyle name="Assumptions % 0 dp 7" xfId="1697" xr:uid="{5E3EB3A0-AE7E-409A-B731-AD3C92B594ED}"/>
    <cellStyle name="Assumptions % 1 dp" xfId="1698" xr:uid="{3597B620-B15C-496D-ACBE-B2258FD45D55}"/>
    <cellStyle name="Assumptions % 1 dp 2" xfId="1699" xr:uid="{E72232FC-5917-4262-8D96-032D994AEC98}"/>
    <cellStyle name="Assumptions % 1 dp 2 2" xfId="1700" xr:uid="{78DD0933-BEE1-4D50-AF5B-FC04D86D9BB3}"/>
    <cellStyle name="Assumptions % 1 dp 2 2 2" xfId="1701" xr:uid="{68FAF08B-180C-4746-9925-B302594B0BD4}"/>
    <cellStyle name="Assumptions % 1 dp 2 3" xfId="1702" xr:uid="{67974F1B-9B6B-4D0F-AA2A-296C8D6C425A}"/>
    <cellStyle name="Assumptions % 1 dp 2 3 2" xfId="1703" xr:uid="{4F83A5D9-81DE-4A3C-8FD1-AAB5DB88E644}"/>
    <cellStyle name="Assumptions % 1 dp 2 4" xfId="1704" xr:uid="{68FB78AB-0B2B-4B90-BE96-52CC85E57D50}"/>
    <cellStyle name="Assumptions % 1 dp 2 4 2" xfId="1705" xr:uid="{EA8AE57E-147A-4F1B-AEED-284A7F32EC53}"/>
    <cellStyle name="Assumptions % 1 dp 2 5" xfId="1706" xr:uid="{C76B42A2-0369-4407-8561-2427EFC64AD7}"/>
    <cellStyle name="Assumptions % 1 dp 2 5 2" xfId="1707" xr:uid="{451CE6EC-8022-4228-8029-9E13663F8439}"/>
    <cellStyle name="Assumptions % 1 dp 2 6" xfId="1708" xr:uid="{4C83DA7B-D097-443D-8B15-A8A561DEA771}"/>
    <cellStyle name="Assumptions % 1 dp 2 6 2" xfId="1709" xr:uid="{0C70F929-4863-4E5D-B2A5-EFF92F140DE6}"/>
    <cellStyle name="Assumptions % 1 dp 2 7" xfId="1710" xr:uid="{7766DA6B-AB6C-4C5B-BBBA-F745565B8B63}"/>
    <cellStyle name="Assumptions % 1 dp 3" xfId="1711" xr:uid="{8947A1F5-DF7C-4A70-9EC2-E96CD5F81E5C}"/>
    <cellStyle name="Assumptions % 1 dp 3 2" xfId="1712" xr:uid="{930772B4-D58C-4137-8D1D-6B2116EDC474}"/>
    <cellStyle name="Assumptions % 1 dp 4" xfId="1713" xr:uid="{E28B3A41-556B-4609-8FE8-650864345B0C}"/>
    <cellStyle name="Assumptions % 1 dp 4 2" xfId="1714" xr:uid="{01E513CB-87FB-49BE-AAAD-C6A065163D5A}"/>
    <cellStyle name="Assumptions % 1 dp 5" xfId="1715" xr:uid="{58B20A80-0641-4ADF-9F4E-60C63909B547}"/>
    <cellStyle name="Assumptions % 1 dp 5 2" xfId="1716" xr:uid="{1F6BD38D-EA43-4E77-8CF7-7A8D91D8460F}"/>
    <cellStyle name="Assumptions % 1 dp 6" xfId="1717" xr:uid="{2D4116F6-4736-4E25-9013-6A33DB2E6A9E}"/>
    <cellStyle name="Assumptions % 1 dp 6 2" xfId="1718" xr:uid="{B56F0383-F7E3-4549-B338-C9F48F1218F1}"/>
    <cellStyle name="Assumptions % 1 dp 7" xfId="1719" xr:uid="{0954DFA2-16AA-43C5-BBC2-3CE877AC6EAE}"/>
    <cellStyle name="Assumptions % 1 dp 7 2" xfId="1720" xr:uid="{509E1E3B-3128-4675-B991-CAEDF21F13EF}"/>
    <cellStyle name="Assumptions % 1 dp 8" xfId="1721" xr:uid="{E0FE75C5-8A0D-4F6D-984B-E97CE3CACA32}"/>
    <cellStyle name="Assumptions % 2 dp" xfId="1722" xr:uid="{0A4164E1-8AF7-4874-97F8-E3124379C11B}"/>
    <cellStyle name="Assumptions % 2 dp 2" xfId="1723" xr:uid="{E41B8FEC-8679-4F29-8FBA-8BD036B03659}"/>
    <cellStyle name="Assumptions % 2 dp 2 2" xfId="1724" xr:uid="{F51477A1-FA13-4970-84D1-6F1351C8CE27}"/>
    <cellStyle name="Assumptions % 2 dp 3" xfId="1725" xr:uid="{9894EF6E-E93A-4126-A821-25FE2342CCD4}"/>
    <cellStyle name="Assumptions % 2 dp 3 2" xfId="1726" xr:uid="{CC814089-EA3F-4D1F-9E42-674A47D6470B}"/>
    <cellStyle name="Assumptions % 2 dp 4" xfId="1727" xr:uid="{C46D3C78-735F-4943-8FFC-D185EEB89F4B}"/>
    <cellStyle name="Assumptions % 2 dp 4 2" xfId="1728" xr:uid="{04B6FD60-7C5E-4287-8A4C-6957903A113B}"/>
    <cellStyle name="Assumptions % 2 dp 5" xfId="1729" xr:uid="{09E5AD86-0008-4C63-A137-479FC036117F}"/>
    <cellStyle name="Assumptions % 2 dp 5 2" xfId="1730" xr:uid="{C59B2F54-29CF-4F9F-8B24-945365A46AB7}"/>
    <cellStyle name="Assumptions % 2 dp 6" xfId="1731" xr:uid="{530AF02B-EE05-4E40-9487-7273A648C91F}"/>
    <cellStyle name="Assumptions % 2 dp 6 2" xfId="1732" xr:uid="{733898EA-A199-47A5-AB21-81B53FD9F12C}"/>
    <cellStyle name="Assumptions % 2 dp 7" xfId="1733" xr:uid="{03A38901-7602-4109-A1D1-91799AEB1965}"/>
    <cellStyle name="Assumptions 0 dp" xfId="1734" xr:uid="{68F3F52D-FF17-4C02-A6E9-434227B27189}"/>
    <cellStyle name="Assumptions 0 dp 2" xfId="1735" xr:uid="{87C97AF0-8DD1-4D36-BE91-158894BAC74A}"/>
    <cellStyle name="Assumptions 0 dp 2 2" xfId="1736" xr:uid="{CA32A374-4F14-404F-94F7-E32BA87A7B78}"/>
    <cellStyle name="Assumptions 0 dp 2 2 2" xfId="1737" xr:uid="{0CD9497E-D0E1-40E9-B688-CB09107E1AFB}"/>
    <cellStyle name="Assumptions 0 dp 2 3" xfId="1738" xr:uid="{C1DE7EDA-F359-4A4C-8336-C5878A7C0B94}"/>
    <cellStyle name="Assumptions 0 dp 2 3 2" xfId="1739" xr:uid="{CA1D2322-42D5-476E-B7AC-0EB32FF23C6B}"/>
    <cellStyle name="Assumptions 0 dp 2 4" xfId="1740" xr:uid="{11A95218-A9E3-4AA0-8EC6-E1654D5F7D2C}"/>
    <cellStyle name="Assumptions 0 dp 2 4 2" xfId="1741" xr:uid="{14DC853E-30F1-4D87-9EA9-93D88A4B3C8F}"/>
    <cellStyle name="Assumptions 0 dp 2 5" xfId="1742" xr:uid="{EEFEED0F-9A14-4C45-95CA-56B8256C6E6B}"/>
    <cellStyle name="Assumptions 0 dp 2 5 2" xfId="1743" xr:uid="{DD4C2E88-76C8-40F0-BCDF-AE8447B81278}"/>
    <cellStyle name="Assumptions 0 dp 2 6" xfId="1744" xr:uid="{1D2A0EA0-8C4A-4C61-BEC4-A5705BECB3BE}"/>
    <cellStyle name="Assumptions 0 dp 2 6 2" xfId="1745" xr:uid="{50B21EA9-06A1-4C36-8644-07D2DFB1FD75}"/>
    <cellStyle name="Assumptions 0 dp 2 7" xfId="1746" xr:uid="{5CC762F6-4B61-4310-88BA-F7C23B7854B3}"/>
    <cellStyle name="Assumptions 0 dp 3" xfId="1747" xr:uid="{C1F98301-7157-45F1-BB3B-DA6D6E6AC898}"/>
    <cellStyle name="Assumptions 0 dp 3 2" xfId="1748" xr:uid="{B6CEB739-2D6F-45C6-A567-D6C702334D07}"/>
    <cellStyle name="Assumptions 0 dp 4" xfId="1749" xr:uid="{66BD146C-736A-48F8-99DD-76372237DCF9}"/>
    <cellStyle name="Assumptions 0 dp 4 2" xfId="1750" xr:uid="{5A00CD99-4BC5-4122-8459-D3AD14261527}"/>
    <cellStyle name="Assumptions 0 dp 5" xfId="1751" xr:uid="{9EBCCB3B-6569-4F33-BA33-171EB4325020}"/>
    <cellStyle name="Assumptions 0 dp 5 2" xfId="1752" xr:uid="{18308815-4F64-4B2F-8EA1-EC89B810B7F4}"/>
    <cellStyle name="Assumptions 0 dp 6" xfId="1753" xr:uid="{22F2ED98-27F8-4569-923C-B48CFB5B045C}"/>
    <cellStyle name="Assumptions 0 dp 6 2" xfId="1754" xr:uid="{334A2888-38A1-4EF4-8F7A-F9353F083095}"/>
    <cellStyle name="Assumptions 0 dp 7" xfId="1755" xr:uid="{FB855CB3-6339-4ECF-AEED-B25D1583FC9C}"/>
    <cellStyle name="Assumptions 0 dp 7 2" xfId="1756" xr:uid="{9AB8EE82-D301-49D5-BA55-FCF4E423B00C}"/>
    <cellStyle name="Assumptions 0 dp 8" xfId="1757" xr:uid="{6DA806AD-85E9-4DA0-9209-B884F9815E2A}"/>
    <cellStyle name="Assumptions 2 dp" xfId="1758" xr:uid="{1907E320-D99F-4912-9E4F-690FA7E0849F}"/>
    <cellStyle name="Assumptions 2 dp 2" xfId="1759" xr:uid="{0B1BEDDA-1940-4CD8-8135-73646AB4AD67}"/>
    <cellStyle name="Assumptions 2 dp 2 2" xfId="1760" xr:uid="{F9201DFE-0A70-4DBD-B8BC-83D6E48E79CB}"/>
    <cellStyle name="Assumptions 2 dp 2 2 2" xfId="1761" xr:uid="{C6F16B85-BFB1-4229-9786-B01CCE552A04}"/>
    <cellStyle name="Assumptions 2 dp 2 3" xfId="1762" xr:uid="{667246C0-DFD7-40D5-A89D-14A2F15D9F9F}"/>
    <cellStyle name="Assumptions 2 dp 2 3 2" xfId="1763" xr:uid="{6A9F7FE6-59D5-4075-B0AD-35E9C9BD78BF}"/>
    <cellStyle name="Assumptions 2 dp 2 4" xfId="1764" xr:uid="{F422C2F0-620E-42F2-9DB3-7C431BBFFCD6}"/>
    <cellStyle name="Assumptions 2 dp 2 4 2" xfId="1765" xr:uid="{8DC26233-9A91-470E-9377-5D1AB29667CE}"/>
    <cellStyle name="Assumptions 2 dp 2 5" xfId="1766" xr:uid="{856E2635-559E-41DC-9145-062101F8D89E}"/>
    <cellStyle name="Assumptions 2 dp 2 5 2" xfId="1767" xr:uid="{90CD49F4-E471-45A6-8C47-25176790F746}"/>
    <cellStyle name="Assumptions 2 dp 2 6" xfId="1768" xr:uid="{D6E3917B-E823-4348-A26B-8C4257F7675B}"/>
    <cellStyle name="Assumptions 2 dp 2 6 2" xfId="1769" xr:uid="{BF43EB2E-25C1-4FBA-BAD8-B5BD364C62E3}"/>
    <cellStyle name="Assumptions 2 dp 2 7" xfId="1770" xr:uid="{3CFF5BF4-67B3-47FB-8C31-206F1A4FAEA6}"/>
    <cellStyle name="Assumptions 2 dp 3" xfId="1771" xr:uid="{462FE9BA-55AC-45A4-99B4-23BE0FE8BE97}"/>
    <cellStyle name="Assumptions 2 dp 3 2" xfId="1772" xr:uid="{E76F113F-63B4-42E4-82CF-2EF9A1A414AF}"/>
    <cellStyle name="Assumptions 2 dp 4" xfId="1773" xr:uid="{384CC7F0-4050-47D3-9B7E-FA34BAE55B07}"/>
    <cellStyle name="Assumptions 2 dp 4 2" xfId="1774" xr:uid="{0E6F4407-0F97-494B-80F3-BCD6C56E3136}"/>
    <cellStyle name="Assumptions 2 dp 5" xfId="1775" xr:uid="{90D80D06-6AE0-40B9-B99E-2F432115281B}"/>
    <cellStyle name="Assumptions 2 dp 5 2" xfId="1776" xr:uid="{F6150DD8-10D0-4616-89E8-3D7792348404}"/>
    <cellStyle name="Assumptions 2 dp 6" xfId="1777" xr:uid="{24905DA6-46A0-47F2-825B-A0C165F123B1}"/>
    <cellStyle name="Assumptions 2 dp 6 2" xfId="1778" xr:uid="{7C0A6B72-97C2-4524-990F-83EAC0E7E520}"/>
    <cellStyle name="Assumptions 2 dp 7" xfId="1779" xr:uid="{4BCBB72C-3D0B-4D98-8ABE-05688D763B3A}"/>
    <cellStyle name="Assumptions 2 dp 7 2" xfId="1780" xr:uid="{D132E606-3106-4E36-9005-3F2C1D0BDDB5}"/>
    <cellStyle name="Assumptions 2 dp 8" xfId="1781" xr:uid="{25D764E6-3B11-4ED8-83AB-01B67EB4CA4F}"/>
    <cellStyle name="Assumptions 3 dp" xfId="1782" xr:uid="{60071C8E-94A9-4AFF-890D-A68B756AD9EE}"/>
    <cellStyle name="Assumptions 3 dp 2" xfId="1783" xr:uid="{92DAB3A4-1E9D-44FB-9680-7082D4DB7AFC}"/>
    <cellStyle name="Assumptions 3 dp 2 2" xfId="1784" xr:uid="{09C5B3CC-7704-485F-B691-03155B405779}"/>
    <cellStyle name="Assumptions 3 dp 2 2 2" xfId="1785" xr:uid="{3B99DC19-32F3-4932-8AC1-4C09EEDAA881}"/>
    <cellStyle name="Assumptions 3 dp 2 3" xfId="1786" xr:uid="{20EE6DD0-7C76-4638-B467-4615FD7D4726}"/>
    <cellStyle name="Assumptions 3 dp 2 3 2" xfId="1787" xr:uid="{248370C3-20D7-41C9-9E91-B491ADCD1374}"/>
    <cellStyle name="Assumptions 3 dp 2 4" xfId="1788" xr:uid="{04B6D5B4-1595-41A0-86F8-0832E6711BE1}"/>
    <cellStyle name="Assumptions 3 dp 2 4 2" xfId="1789" xr:uid="{A6EE6C6C-2A89-4599-8A9A-70601624AEDF}"/>
    <cellStyle name="Assumptions 3 dp 2 5" xfId="1790" xr:uid="{8F8A608C-8B0E-4D1E-BC10-69251524B1BE}"/>
    <cellStyle name="Assumptions 3 dp 2 5 2" xfId="1791" xr:uid="{4A75E0D7-0D48-422E-A9FB-EE42FED79494}"/>
    <cellStyle name="Assumptions 3 dp 2 6" xfId="1792" xr:uid="{08677F53-6FDB-4C24-ABED-71B057494AEC}"/>
    <cellStyle name="Assumptions 3 dp 2 6 2" xfId="1793" xr:uid="{FD9B0E58-D6FA-45CF-961F-DC04145EE729}"/>
    <cellStyle name="Assumptions 3 dp 2 7" xfId="1794" xr:uid="{828E93AF-2E87-4215-BFB9-5919D017A3A8}"/>
    <cellStyle name="Assumptions 3 dp 3" xfId="1795" xr:uid="{4825C1D7-73BB-472B-B6E4-8909DCD5F462}"/>
    <cellStyle name="Assumptions 3 dp 3 2" xfId="1796" xr:uid="{DF9174F2-BBD4-49D0-833E-4CE24ADEE629}"/>
    <cellStyle name="Assumptions 3 dp 4" xfId="1797" xr:uid="{555F67F6-236A-4CF5-A022-9A4D45CD4F22}"/>
    <cellStyle name="Assumptions 3 dp 4 2" xfId="1798" xr:uid="{E78340B8-76BD-4545-8DCD-915093888ABA}"/>
    <cellStyle name="Assumptions 3 dp 5" xfId="1799" xr:uid="{208CA1E2-0985-419B-A008-3F30842B7F06}"/>
    <cellStyle name="Assumptions 3 dp 5 2" xfId="1800" xr:uid="{88157A11-33BB-4715-AC39-920F808F1105}"/>
    <cellStyle name="Assumptions 3 dp 6" xfId="1801" xr:uid="{75726200-7E95-4420-ABA5-4800D0DDDB5F}"/>
    <cellStyle name="Assumptions 3 dp 6 2" xfId="1802" xr:uid="{8B4498F6-7C4A-4ACB-8636-123C440191A1}"/>
    <cellStyle name="Assumptions 3 dp 7" xfId="1803" xr:uid="{731CD6FC-8B8C-47C6-ADFB-8C4BD34ADDB3}"/>
    <cellStyle name="Assumptions 3 dp 7 2" xfId="1804" xr:uid="{80A3E685-6DC1-4B89-AC82-FC007EFD248C}"/>
    <cellStyle name="Assumptions 3 dp 8" xfId="1805" xr:uid="{750C6E06-1D9C-4288-A7D5-C3B2EEFFD85F}"/>
    <cellStyle name="Assumptions Heading_Pivot_Table_Example_BA" xfId="1806" xr:uid="{3C3DDC55-445F-4FEA-AC60-E5321455A207}"/>
    <cellStyle name="Ausgabe" xfId="267" xr:uid="{00000000-0005-0000-0000-0000A9010000}"/>
    <cellStyle name="Avertissement" xfId="268" xr:uid="{00000000-0005-0000-0000-0000AA010000}"/>
    <cellStyle name="Avertissement 2" xfId="1146" xr:uid="{00000000-0005-0000-0000-0000AB010000}"/>
    <cellStyle name="Bad" xfId="1279" builtinId="27"/>
    <cellStyle name="Bad 2" xfId="269" xr:uid="{00000000-0005-0000-0000-0000AD010000}"/>
    <cellStyle name="Bad 2 2" xfId="1808" xr:uid="{80882346-FB6A-4391-85B4-A50AD6A23894}"/>
    <cellStyle name="Bad 2_T1 ANSP" xfId="1807" xr:uid="{229E9BBC-4426-4F24-BF5A-10F2E2DC3242}"/>
    <cellStyle name="Bad 3" xfId="1809" xr:uid="{2284D3ED-6FA9-408E-ACFE-D3845F9A9BF6}"/>
    <cellStyle name="Bad 4" xfId="1810" xr:uid="{9B2D7F16-8271-45C7-970B-281FB3D87FAC}"/>
    <cellStyle name="Bemærk!" xfId="270" xr:uid="{00000000-0005-0000-0000-0000AE010000}"/>
    <cellStyle name="Bemærk! 2" xfId="1461" xr:uid="{00000000-0005-0000-0000-0000AF010000}"/>
    <cellStyle name="Bemærk! 3" xfId="1453" xr:uid="{00000000-0005-0000-0000-0000B0010000}"/>
    <cellStyle name="Beräkning" xfId="271" xr:uid="{00000000-0005-0000-0000-0000B1010000}"/>
    <cellStyle name="Beräkning 2" xfId="1462" xr:uid="{00000000-0005-0000-0000-0000B2010000}"/>
    <cellStyle name="Beräkning 3" xfId="1595" xr:uid="{00000000-0005-0000-0000-0000B3010000}"/>
    <cellStyle name="Berechnung" xfId="272" xr:uid="{00000000-0005-0000-0000-0000B4010000}"/>
    <cellStyle name="Beregning" xfId="273" xr:uid="{00000000-0005-0000-0000-0000B5010000}"/>
    <cellStyle name="Beregning 2" xfId="1463" xr:uid="{00000000-0005-0000-0000-0000B6010000}"/>
    <cellStyle name="Beregning 3" xfId="1454" xr:uid="{00000000-0005-0000-0000-0000B7010000}"/>
    <cellStyle name="Bevitel 2" xfId="1147" xr:uid="{00000000-0005-0000-0000-0000B8010000}"/>
    <cellStyle name="blank" xfId="1811" xr:uid="{D82CAAA2-8DFD-4B77-B78C-0CC9C41C69F2}"/>
    <cellStyle name="blank 2" xfId="1812" xr:uid="{8DB2D8DC-91BC-44DB-9646-F5AA2F3C62DB}"/>
    <cellStyle name="BlankRow" xfId="274" xr:uid="{00000000-0005-0000-0000-0000B9010000}"/>
    <cellStyle name="Blogas" xfId="275" xr:uid="{00000000-0005-0000-0000-0000BA010000}"/>
    <cellStyle name="BM Header Main" xfId="1813" xr:uid="{2B0F2BF5-5FB6-4FEB-9D08-A407CAD4718E}"/>
    <cellStyle name="BM Header Non-Underlined" xfId="1814" xr:uid="{41D5444D-BFE3-4E06-9F34-586365A69DD8}"/>
    <cellStyle name="BM Header Secondary" xfId="1815" xr:uid="{E7E16B01-A87A-464A-8F62-72659421A557}"/>
    <cellStyle name="BM Header Underlined" xfId="1816" xr:uid="{BEB70502-C534-4C68-AD38-0C9D8760290C}"/>
    <cellStyle name="BM Label" xfId="1817" xr:uid="{51CA2F45-2195-4C8D-AD2E-234862966C61}"/>
    <cellStyle name="Border Heavy" xfId="1818" xr:uid="{D21C110A-CE7B-4920-B935-DB3BE1E5C35F}"/>
    <cellStyle name="Border Thin" xfId="1819" xr:uid="{E56E2664-D2D1-4595-948C-62A7FD4E7F79}"/>
    <cellStyle name="Border Thin 2" xfId="1820" xr:uid="{696416C2-8C07-4F33-BCF2-D23AA96B0067}"/>
    <cellStyle name="Border Thin 2 2" xfId="1821" xr:uid="{56AB5989-0A24-449D-AAE3-E217474368C4}"/>
    <cellStyle name="Border Thin 3" xfId="1822" xr:uid="{E3FCDCD1-FDA1-4315-9891-3298E3384388}"/>
    <cellStyle name="Border Thin 3 2" xfId="1823" xr:uid="{A00406EC-94BC-4B9D-BC2D-293C18BE43C6}"/>
    <cellStyle name="Border Thin 4" xfId="1824" xr:uid="{E543B31C-D382-4E43-AA72-5626212C8EDF}"/>
    <cellStyle name="Border Thin 4 2" xfId="1825" xr:uid="{D203A641-79C0-4C36-87D2-7418EB95BCC0}"/>
    <cellStyle name="Border Thin 5" xfId="1826" xr:uid="{9C9B825D-54FC-43F9-AE92-931FB5694519}"/>
    <cellStyle name="Border Thin 5 2" xfId="1827" xr:uid="{C78A1431-26C7-46DF-A3D1-AF00117E1CDF}"/>
    <cellStyle name="Border Thin 6" xfId="1828" xr:uid="{ABF3BAA6-B0DC-48DA-AF33-83F385876C1D}"/>
    <cellStyle name="Border Thin 6 2" xfId="1829" xr:uid="{5E47130B-D59C-4F42-B398-68336DED2C11}"/>
    <cellStyle name="Border Thin 7" xfId="1830" xr:uid="{7163EB49-EEA6-436B-85F1-51ECF8C8129B}"/>
    <cellStyle name="Bra" xfId="276" xr:uid="{00000000-0005-0000-0000-0000BB010000}"/>
    <cellStyle name="brakcomma" xfId="1831" xr:uid="{74048CDC-CFFE-48B3-A24F-B46453F7AD9B}"/>
    <cellStyle name="brakcomma 2" xfId="1832" xr:uid="{DF1649E3-2E75-4DFB-8E94-A2FF714128CF}"/>
    <cellStyle name="brakcomma_Reg Calc Nov 10 - final" xfId="1833" xr:uid="{4A8FEB42-0A69-43DF-9BF3-574F7B944637}"/>
    <cellStyle name="btn_fin_filter" xfId="1834" xr:uid="{69CDE538-88FA-4318-AC42-0FF903F05797}"/>
    <cellStyle name="Buena" xfId="277" xr:uid="{00000000-0005-0000-0000-0000BC010000}"/>
    <cellStyle name="bullet" xfId="278" xr:uid="{00000000-0005-0000-0000-0000BD010000}"/>
    <cellStyle name="bwcomma" xfId="1835" xr:uid="{8CDAC3EB-298C-456F-9700-C60D50323497}"/>
    <cellStyle name="bwcomma 2" xfId="1836" xr:uid="{2CF14FC1-A04B-412F-B3C0-F02B42383B44}"/>
    <cellStyle name="Calander_heading" xfId="279" xr:uid="{00000000-0005-0000-0000-0000BE010000}"/>
    <cellStyle name="Calc" xfId="280" xr:uid="{00000000-0005-0000-0000-0000BF010000}"/>
    <cellStyle name="Calc - Blue" xfId="281" xr:uid="{00000000-0005-0000-0000-0000C0010000}"/>
    <cellStyle name="Calc - Feed" xfId="282" xr:uid="{00000000-0005-0000-0000-0000C1010000}"/>
    <cellStyle name="Calc - Green" xfId="283" xr:uid="{00000000-0005-0000-0000-0000C2010000}"/>
    <cellStyle name="Calc - Grey" xfId="284" xr:uid="{00000000-0005-0000-0000-0000C3010000}"/>
    <cellStyle name="Calc - Index" xfId="285" xr:uid="{00000000-0005-0000-0000-0000C4010000}"/>
    <cellStyle name="Calc - White" xfId="286" xr:uid="{00000000-0005-0000-0000-0000C5010000}"/>
    <cellStyle name="Calc - yellow" xfId="287" xr:uid="{00000000-0005-0000-0000-0000C6010000}"/>
    <cellStyle name="Calc - yellow 2" xfId="974" xr:uid="{00000000-0005-0000-0000-0000C7010000}"/>
    <cellStyle name="Calc Blue" xfId="1837" xr:uid="{F02EE670-E586-4694-8943-F88F5DA7234E}"/>
    <cellStyle name="Calc Green" xfId="1838" xr:uid="{ECDC00F5-6960-41DE-8AB5-700E692369D6}"/>
    <cellStyle name="Calc Opening" xfId="1839" xr:uid="{6753B63D-0E93-45DD-AD89-44B96E7C7406}"/>
    <cellStyle name="Calc Violet" xfId="1840" xr:uid="{59C985F3-209F-4518-930F-26BA7A5E0BEC}"/>
    <cellStyle name="Calc White" xfId="1288" xr:uid="{00000000-0005-0000-0000-0000C8010000}"/>
    <cellStyle name="Calc White Index" xfId="1842" xr:uid="{4021E3FA-F931-495D-A2A2-36BBD1486556}"/>
    <cellStyle name="Calc White Multiplier" xfId="1843" xr:uid="{E49C92E1-E148-4E4B-9126-A12BABB31802}"/>
    <cellStyle name="Calc White Percent" xfId="1284" xr:uid="{00000000-0005-0000-0000-0000C9010000}"/>
    <cellStyle name="Calc White Table Rows" xfId="1844" xr:uid="{BB379C14-AFEE-45A0-9730-5A616EF6FE38}"/>
    <cellStyle name="Calc White_T1 ANSP" xfId="1841" xr:uid="{622BE33D-1859-486E-985C-A3A087766F3F}"/>
    <cellStyle name="Calc_BizMo" xfId="288" xr:uid="{00000000-0005-0000-0000-0000CA010000}"/>
    <cellStyle name="Calcul" xfId="289" xr:uid="{00000000-0005-0000-0000-0000CB010000}"/>
    <cellStyle name="Calcul 10" xfId="1845" xr:uid="{EDB148E9-C844-4458-9F33-A7372C1B20CA}"/>
    <cellStyle name="Calcul 10 2" xfId="1846" xr:uid="{B72F1E5D-C400-4554-B367-DE4DE6772854}"/>
    <cellStyle name="Calcul 11" xfId="1847" xr:uid="{05780849-1A6D-4680-8CEE-50D13F4423C0}"/>
    <cellStyle name="Calcul 11 2" xfId="1848" xr:uid="{558ADA96-511C-4495-B9A8-DF41BF4968AD}"/>
    <cellStyle name="Calcul 12" xfId="1849" xr:uid="{369A0F96-4676-4E0E-AE98-5CACB6C8D37F}"/>
    <cellStyle name="Calcul 12 2" xfId="1850" xr:uid="{76DA3D32-9E68-4526-9465-73573B4FE1E4}"/>
    <cellStyle name="Calcul 13" xfId="1851" xr:uid="{F0E9A393-70CA-4AA0-AB3F-19061770BB36}"/>
    <cellStyle name="Calcul 13 2" xfId="1852" xr:uid="{A140DDB6-D19C-47C7-B4FA-229528FE2D92}"/>
    <cellStyle name="Calcul 14" xfId="1853" xr:uid="{5196AF12-E51D-4222-BA58-B35136AE2068}"/>
    <cellStyle name="Calcul 14 2" xfId="1854" xr:uid="{89836FC9-725B-4B6F-B9B7-4D4A545C9ACD}"/>
    <cellStyle name="Calcul 15" xfId="1855" xr:uid="{548AB307-6982-4CDF-9A43-CA6058A8E090}"/>
    <cellStyle name="Calcul 15 2" xfId="1856" xr:uid="{B8BB92B6-8A46-4ABF-B284-F838C22AF4F5}"/>
    <cellStyle name="Calcul 16" xfId="1857" xr:uid="{6689BCC1-49BC-440A-A588-0CF6C976BB6B}"/>
    <cellStyle name="Calcul 2" xfId="1148" xr:uid="{00000000-0005-0000-0000-0000CC010000}"/>
    <cellStyle name="Calcul 2 2" xfId="1858" xr:uid="{A26179A8-47CC-49F7-BF08-950545FB09E8}"/>
    <cellStyle name="Calcul 2 3" xfId="1859" xr:uid="{9D382334-C6CF-46C0-A6FD-BB1C33CD822F}"/>
    <cellStyle name="Calcul 3" xfId="1455" xr:uid="{00000000-0005-0000-0000-0000CD010000}"/>
    <cellStyle name="Calcul 3 2" xfId="1860" xr:uid="{17A7BC89-65C4-4EE3-BD04-FEDC83574343}"/>
    <cellStyle name="Calcul 4" xfId="1861" xr:uid="{0D273A73-9C16-43A8-A4C2-E1239BEDC744}"/>
    <cellStyle name="Calcul 4 2" xfId="1862" xr:uid="{2F6B60F2-8645-44D2-92C2-900897C7D38A}"/>
    <cellStyle name="Calcul 5" xfId="1863" xr:uid="{308B3DE4-055B-4B47-8601-3B5983B8B1B8}"/>
    <cellStyle name="Calcul 5 2" xfId="1864" xr:uid="{1974CB7F-91CD-43B4-9E93-190C3E8B7F11}"/>
    <cellStyle name="Calcul 6" xfId="1865" xr:uid="{185BE565-6ADC-4367-B7F6-111047AF26FE}"/>
    <cellStyle name="Calcul 6 2" xfId="1866" xr:uid="{696C0A88-EB21-473C-B841-1E98F211796C}"/>
    <cellStyle name="Calcul 7" xfId="1867" xr:uid="{909D4D2D-A725-4AE2-A1AD-D850A0DA9062}"/>
    <cellStyle name="Calcul 7 2" xfId="1868" xr:uid="{DB4CD7A2-864B-4C08-8D51-0F47495629E7}"/>
    <cellStyle name="Calcul 8" xfId="1869" xr:uid="{CEA3D45D-6424-4739-BFF3-51FF1133F097}"/>
    <cellStyle name="Calcul 8 2" xfId="1870" xr:uid="{667C4964-BB3C-4B37-AB6E-679FF4422B49}"/>
    <cellStyle name="Calcul 9" xfId="1871" xr:uid="{053EB701-3769-4245-93D5-4640EF4D7637}"/>
    <cellStyle name="Calcul 9 2" xfId="1872" xr:uid="{6F9BB096-AF83-4423-AC61-D27275463326}"/>
    <cellStyle name="Calculation 10" xfId="1873" xr:uid="{2EE19704-AF12-4A74-BB0D-0B8F27598100}"/>
    <cellStyle name="Calculation 10 2" xfId="1874" xr:uid="{073D4C96-06A4-4D05-8D78-F62FBFC59E0F}"/>
    <cellStyle name="Calculation 11" xfId="1875" xr:uid="{348BD445-D173-44D1-92A6-DBFA5D3A2C5C}"/>
    <cellStyle name="Calculation 11 2" xfId="1876" xr:uid="{BCB69F71-C217-4AFD-82DE-63CCABAD782A}"/>
    <cellStyle name="Calculation 12" xfId="1877" xr:uid="{6FD6D564-108D-4685-B1F5-20910F1750AC}"/>
    <cellStyle name="Calculation 13" xfId="1878" xr:uid="{827CA2C7-56FC-4551-A5CA-F48132BC2F52}"/>
    <cellStyle name="Calculation 2" xfId="290" xr:uid="{00000000-0005-0000-0000-0000CE010000}"/>
    <cellStyle name="Calculation 2 10" xfId="1880" xr:uid="{FE03D666-33AA-4535-8558-842A1CCA6B6A}"/>
    <cellStyle name="Calculation 2 11" xfId="1881" xr:uid="{401677D0-D5C3-4C71-B3B3-10CCB8B0300C}"/>
    <cellStyle name="Calculation 2 2" xfId="1465" xr:uid="{00000000-0005-0000-0000-0000CF010000}"/>
    <cellStyle name="Calculation 2 2 10" xfId="1883" xr:uid="{7AE89689-E31F-44DF-A2AE-FA9FFE1EA13C}"/>
    <cellStyle name="Calculation 2 2 10 2" xfId="1884" xr:uid="{D410E61A-2236-4B26-B130-B4A526B6401A}"/>
    <cellStyle name="Calculation 2 2 11" xfId="1885" xr:uid="{1EEF6BCD-352B-4BA2-BE32-10F52BE57A06}"/>
    <cellStyle name="Calculation 2 2 11 2" xfId="1886" xr:uid="{1C60F7A4-4531-4F0F-B988-B4D7249659EB}"/>
    <cellStyle name="Calculation 2 2 12" xfId="1887" xr:uid="{F4C70A5A-9D08-4414-9D26-D5A018C5E6F7}"/>
    <cellStyle name="Calculation 2 2 12 2" xfId="1888" xr:uid="{835ABA57-FB8B-43DF-AF74-7DDD7020A670}"/>
    <cellStyle name="Calculation 2 2 13" xfId="1889" xr:uid="{DE400114-BABB-48D7-9238-B3CA447585EE}"/>
    <cellStyle name="Calculation 2 2 13 2" xfId="1890" xr:uid="{D92A5D2C-50E6-4E72-8E7B-D3D105BFAE52}"/>
    <cellStyle name="Calculation 2 2 14" xfId="1891" xr:uid="{6CE8FBBB-EE95-4CE8-991D-BB6755FC42F0}"/>
    <cellStyle name="Calculation 2 2 14 2" xfId="1892" xr:uid="{F95EE594-6395-46E5-AD9A-B4A037D3F1DA}"/>
    <cellStyle name="Calculation 2 2 15" xfId="1893" xr:uid="{5559AC85-FFF2-4909-A6E1-E6918D2EEDA0}"/>
    <cellStyle name="Calculation 2 2 15 2" xfId="1894" xr:uid="{824A35AA-D81A-44DE-A6A2-9232C263D33F}"/>
    <cellStyle name="Calculation 2 2 16" xfId="1895" xr:uid="{188EF45B-5BAD-4213-8442-ED7324C0CEB9}"/>
    <cellStyle name="Calculation 2 2 16 2" xfId="1896" xr:uid="{433D5BCE-4C32-48E8-AF5C-7A86944582E6}"/>
    <cellStyle name="Calculation 2 2 17" xfId="1897" xr:uid="{770C77FE-0B56-40CB-9491-9E6DE9BC1A97}"/>
    <cellStyle name="Calculation 2 2 17 2" xfId="1898" xr:uid="{59EC18B8-5594-463D-9035-3CE487BF054D}"/>
    <cellStyle name="Calculation 2 2 2" xfId="1899" xr:uid="{43C0849A-C8C9-49AF-ABC4-F0F01022DCB7}"/>
    <cellStyle name="Calculation 2 2 2 10" xfId="1900" xr:uid="{7D726208-DCA3-4761-AB33-D01C5D602404}"/>
    <cellStyle name="Calculation 2 2 2 10 2" xfId="1901" xr:uid="{2E92EEE0-7E73-4939-8FC6-18FC38DFB50F}"/>
    <cellStyle name="Calculation 2 2 2 11" xfId="1902" xr:uid="{94A9298A-447C-4068-B7CF-C8A2C2744675}"/>
    <cellStyle name="Calculation 2 2 2 11 2" xfId="1903" xr:uid="{1F29E249-AF10-4ADD-B1A9-2D7EA1FC1768}"/>
    <cellStyle name="Calculation 2 2 2 12" xfId="1904" xr:uid="{31E5009F-C94A-4353-835A-83347CAD4A1D}"/>
    <cellStyle name="Calculation 2 2 2 12 2" xfId="1905" xr:uid="{57347F36-E79B-44EA-86F5-5AB6442739CD}"/>
    <cellStyle name="Calculation 2 2 2 13" xfId="1906" xr:uid="{1CB5D24B-E14B-4173-AF69-693E722BB628}"/>
    <cellStyle name="Calculation 2 2 2 13 2" xfId="1907" xr:uid="{9C4CCAF9-1A18-4AF1-8629-1E1CA539CE8D}"/>
    <cellStyle name="Calculation 2 2 2 14" xfId="1908" xr:uid="{A964A20F-29A6-4452-AD14-433E05A72B9B}"/>
    <cellStyle name="Calculation 2 2 2 14 2" xfId="1909" xr:uid="{30F853B2-3FE5-48AF-9242-B5EF1309AC9E}"/>
    <cellStyle name="Calculation 2 2 2 15" xfId="1910" xr:uid="{FADFE618-850E-4A07-9466-6F6F7B5242FE}"/>
    <cellStyle name="Calculation 2 2 2 15 2" xfId="1911" xr:uid="{AFF0AC20-D10D-482B-B969-8AB745840E3E}"/>
    <cellStyle name="Calculation 2 2 2 2" xfId="1912" xr:uid="{3DECE595-0A17-4292-A101-3BFFAAE4A678}"/>
    <cellStyle name="Calculation 2 2 2 2 2" xfId="1913" xr:uid="{3E94B383-BF98-46B9-B91B-DF04A7A25C1A}"/>
    <cellStyle name="Calculation 2 2 2 3" xfId="1914" xr:uid="{632D9E6A-0D87-4216-9926-1000C3121C8C}"/>
    <cellStyle name="Calculation 2 2 2 3 2" xfId="1915" xr:uid="{7B303B9A-DFDC-4C6B-92AC-61FD0E4E6D28}"/>
    <cellStyle name="Calculation 2 2 2 4" xfId="1916" xr:uid="{0E08F020-D0EF-41B8-B71F-C95F8E380CEA}"/>
    <cellStyle name="Calculation 2 2 2 4 2" xfId="1917" xr:uid="{F67AF6D1-9599-4A1A-8BF1-C027182EFAC8}"/>
    <cellStyle name="Calculation 2 2 2 5" xfId="1918" xr:uid="{481CDDCE-28EA-45B2-9A2A-B336237BE6B5}"/>
    <cellStyle name="Calculation 2 2 2 5 2" xfId="1919" xr:uid="{997301E1-D2A8-49FF-AF9F-0639529F2803}"/>
    <cellStyle name="Calculation 2 2 2 6" xfId="1920" xr:uid="{C9A8ECC3-FA0A-49EC-B8E2-53ED4E48B439}"/>
    <cellStyle name="Calculation 2 2 2 6 2" xfId="1921" xr:uid="{93F65691-2A07-4C0B-8F9D-CABE6482FAE5}"/>
    <cellStyle name="Calculation 2 2 2 7" xfId="1922" xr:uid="{19B0DBA5-D6C2-459C-86EA-EFE0FF154395}"/>
    <cellStyle name="Calculation 2 2 2 7 2" xfId="1923" xr:uid="{572591DE-8EE5-441D-A793-7406A732E525}"/>
    <cellStyle name="Calculation 2 2 2 8" xfId="1924" xr:uid="{F9F56B91-3C5B-408E-95B1-331AE81C8F91}"/>
    <cellStyle name="Calculation 2 2 2 8 2" xfId="1925" xr:uid="{D8B7C70F-B532-4A29-B01D-4AEF73860FDD}"/>
    <cellStyle name="Calculation 2 2 2 9" xfId="1926" xr:uid="{76BA3738-A7AB-42A0-AD09-9C6D7050C9F6}"/>
    <cellStyle name="Calculation 2 2 2 9 2" xfId="1927" xr:uid="{426632BA-D640-4E14-9217-7911BB14EF48}"/>
    <cellStyle name="Calculation 2 2 3" xfId="1928" xr:uid="{BB669BD9-AFFA-4313-834F-2B4F04381923}"/>
    <cellStyle name="Calculation 2 2 3 10" xfId="1929" xr:uid="{04DE6A0D-B4FA-463B-8EC0-79FFA9CDC919}"/>
    <cellStyle name="Calculation 2 2 3 10 2" xfId="1930" xr:uid="{DE379B8D-3C09-4323-9898-9A1203985D3A}"/>
    <cellStyle name="Calculation 2 2 3 11" xfId="1931" xr:uid="{6A76295D-A89F-4621-BC78-15E08B08DBC2}"/>
    <cellStyle name="Calculation 2 2 3 11 2" xfId="1932" xr:uid="{2276EDC4-6B48-4F23-AB8F-AF778FFB9AEE}"/>
    <cellStyle name="Calculation 2 2 3 12" xfId="1933" xr:uid="{B7B3F8A8-A76B-4589-BD75-520DB7CF7181}"/>
    <cellStyle name="Calculation 2 2 3 12 2" xfId="1934" xr:uid="{31348F4E-82C6-4503-B321-00BACC8B66B3}"/>
    <cellStyle name="Calculation 2 2 3 13" xfId="1935" xr:uid="{6757C2A7-96F6-4029-806C-2007F4FD0966}"/>
    <cellStyle name="Calculation 2 2 3 13 2" xfId="1936" xr:uid="{5F4A1DF6-5F45-4B69-B2C2-DF8DF4183118}"/>
    <cellStyle name="Calculation 2 2 3 14" xfId="1937" xr:uid="{6034935F-A555-497F-8334-4FE90A628611}"/>
    <cellStyle name="Calculation 2 2 3 14 2" xfId="1938" xr:uid="{1F85794E-9DCF-4E88-A8B6-48852C1A7AE9}"/>
    <cellStyle name="Calculation 2 2 3 15" xfId="1939" xr:uid="{657FF499-0422-4C8A-BAA2-0D1464242D83}"/>
    <cellStyle name="Calculation 2 2 3 15 2" xfId="1940" xr:uid="{12682599-5C98-4EAF-BD47-4FE1F5BBF555}"/>
    <cellStyle name="Calculation 2 2 3 2" xfId="1941" xr:uid="{E7087D56-CF48-40B5-8BC7-FBE32C70B1CD}"/>
    <cellStyle name="Calculation 2 2 3 2 2" xfId="1942" xr:uid="{1292A663-1C03-47A9-88FF-EF24875832CF}"/>
    <cellStyle name="Calculation 2 2 3 3" xfId="1943" xr:uid="{AC03720B-8349-4472-BE24-DF6B9DEEDFB6}"/>
    <cellStyle name="Calculation 2 2 3 3 2" xfId="1944" xr:uid="{FAA1BC8E-0D60-4473-806A-5E23608917E8}"/>
    <cellStyle name="Calculation 2 2 3 4" xfId="1945" xr:uid="{9EA8DE26-B021-4D9A-A904-5DA911EC8A44}"/>
    <cellStyle name="Calculation 2 2 3 4 2" xfId="1946" xr:uid="{DCBA9848-9FBF-4E59-99BF-24C764AD75F4}"/>
    <cellStyle name="Calculation 2 2 3 5" xfId="1947" xr:uid="{8EEED910-E490-4531-B404-DA02450B3442}"/>
    <cellStyle name="Calculation 2 2 3 5 2" xfId="1948" xr:uid="{4F39B936-1442-4CC6-A708-53977551D200}"/>
    <cellStyle name="Calculation 2 2 3 6" xfId="1949" xr:uid="{3C279C37-AD48-49CD-B453-E6F4FDDEDC52}"/>
    <cellStyle name="Calculation 2 2 3 6 2" xfId="1950" xr:uid="{690872A3-52DD-4F16-8F6A-C4D715A3E6A0}"/>
    <cellStyle name="Calculation 2 2 3 7" xfId="1951" xr:uid="{95D72881-48F0-458C-BABF-15C4EEC897AB}"/>
    <cellStyle name="Calculation 2 2 3 7 2" xfId="1952" xr:uid="{101F10F3-562D-4B59-A0DE-87DA916E11A7}"/>
    <cellStyle name="Calculation 2 2 3 8" xfId="1953" xr:uid="{7C34774A-53E4-4FE5-840B-6D6A503C942A}"/>
    <cellStyle name="Calculation 2 2 3 8 2" xfId="1954" xr:uid="{0D92DCE5-C492-41B6-AD0D-2386F205136F}"/>
    <cellStyle name="Calculation 2 2 3 9" xfId="1955" xr:uid="{A0CF1FC1-75CD-4021-AC9B-F84A0440B2AF}"/>
    <cellStyle name="Calculation 2 2 3 9 2" xfId="1956" xr:uid="{F87A7B54-9E2D-4A4C-8AC6-29F4C315B857}"/>
    <cellStyle name="Calculation 2 2 4" xfId="1957" xr:uid="{A257F7C4-29AD-4A93-93AC-A661E23AB598}"/>
    <cellStyle name="Calculation 2 2 4 2" xfId="1958" xr:uid="{5C4F65E7-5645-4166-9C34-9584C80683CF}"/>
    <cellStyle name="Calculation 2 2 5" xfId="1959" xr:uid="{3DF0B0D2-BC27-4CDC-A0CA-C45083B2E6D6}"/>
    <cellStyle name="Calculation 2 2 5 2" xfId="1960" xr:uid="{C81F3A6A-09E3-4383-ABA6-E3F17BDB0618}"/>
    <cellStyle name="Calculation 2 2 6" xfId="1961" xr:uid="{D77CB258-45CE-4625-A9D3-722E52C29DF3}"/>
    <cellStyle name="Calculation 2 2 6 2" xfId="1962" xr:uid="{9799A7D3-CF7C-4DC1-85B3-3D0C43F9EECD}"/>
    <cellStyle name="Calculation 2 2 7" xfId="1963" xr:uid="{AE6740E3-689F-49C2-89B5-06B544E53413}"/>
    <cellStyle name="Calculation 2 2 7 2" xfId="1964" xr:uid="{18EC943A-2FB9-4CF2-9FAB-52974B3203EA}"/>
    <cellStyle name="Calculation 2 2 8" xfId="1965" xr:uid="{77AFD73F-F397-465F-8C63-8950254CA66C}"/>
    <cellStyle name="Calculation 2 2 8 2" xfId="1966" xr:uid="{802B827D-AE44-44FF-9831-ACBD54E25B10}"/>
    <cellStyle name="Calculation 2 2 9" xfId="1967" xr:uid="{9B2D2546-E878-4BA2-9885-B067897F17BF}"/>
    <cellStyle name="Calculation 2 2 9 2" xfId="1968" xr:uid="{18AD039B-5A76-4D20-A8FD-273627335AC6}"/>
    <cellStyle name="Calculation 2 2_T1 ANSP" xfId="1882" xr:uid="{2270979A-5E5D-4FE6-B263-490874E6EC18}"/>
    <cellStyle name="Calculation 2 3" xfId="1456" xr:uid="{00000000-0005-0000-0000-0000D0010000}"/>
    <cellStyle name="Calculation 2 3 10" xfId="1970" xr:uid="{CEA50061-1789-487A-AED5-96156F9B5B78}"/>
    <cellStyle name="Calculation 2 3 10 2" xfId="1971" xr:uid="{7694A120-389C-4AE5-B440-F414029BF7D0}"/>
    <cellStyle name="Calculation 2 3 11" xfId="1972" xr:uid="{602ADA6B-F287-47A4-ACB2-B5DAB6AB2C73}"/>
    <cellStyle name="Calculation 2 3 11 2" xfId="1973" xr:uid="{7E0B9C77-A017-4A33-8E20-31370CD709E9}"/>
    <cellStyle name="Calculation 2 3 12" xfId="1974" xr:uid="{B713A77A-86E5-4B58-B12A-C239B5354987}"/>
    <cellStyle name="Calculation 2 3 12 2" xfId="1975" xr:uid="{064D5CED-963B-47AB-A093-878A636A3FCF}"/>
    <cellStyle name="Calculation 2 3 13" xfId="1976" xr:uid="{FCE6ECC6-FAC8-43C0-8DF9-EA1A9D1355A4}"/>
    <cellStyle name="Calculation 2 3 13 2" xfId="1977" xr:uid="{245875A2-AC0E-4E0D-A61F-BBD3776865D9}"/>
    <cellStyle name="Calculation 2 3 14" xfId="1978" xr:uid="{6ED1C29F-996B-4407-AC6B-63777E8C1979}"/>
    <cellStyle name="Calculation 2 3 14 2" xfId="1979" xr:uid="{878AEB7C-A076-4475-8619-7AE438E4A349}"/>
    <cellStyle name="Calculation 2 3 15" xfId="1980" xr:uid="{479F6E0B-293E-40E1-BD70-9FB4DC8A309F}"/>
    <cellStyle name="Calculation 2 3 15 2" xfId="1981" xr:uid="{1CDD8DCC-8F8B-4113-A9AC-C1378276486A}"/>
    <cellStyle name="Calculation 2 3 16" xfId="1982" xr:uid="{F6DFAEAB-F84E-4E91-9C07-5C58BBFA7751}"/>
    <cellStyle name="Calculation 2 3 16 2" xfId="1983" xr:uid="{77215375-0F84-463E-9D5B-E748A96A5117}"/>
    <cellStyle name="Calculation 2 3 17" xfId="1984" xr:uid="{F396A01D-CAB9-43E8-AC2D-138216A6AE1E}"/>
    <cellStyle name="Calculation 2 3 17 2" xfId="1985" xr:uid="{6B06D72C-838E-4DBB-B230-8DC93A1C337F}"/>
    <cellStyle name="Calculation 2 3 2" xfId="1986" xr:uid="{B130FF56-D106-43D6-8D65-5A3801CBE1CA}"/>
    <cellStyle name="Calculation 2 3 2 10" xfId="1987" xr:uid="{20E0086C-A89C-4B5A-8C7E-CB0F5AC96F2E}"/>
    <cellStyle name="Calculation 2 3 2 10 2" xfId="1988" xr:uid="{DB7DFE6F-E6F6-4A2F-AB3E-7AE01A405E6C}"/>
    <cellStyle name="Calculation 2 3 2 11" xfId="1989" xr:uid="{26C3D58C-9A69-4368-A905-B437A1E16CC7}"/>
    <cellStyle name="Calculation 2 3 2 11 2" xfId="1990" xr:uid="{758E0F96-A728-421D-8C94-F7A12DE192D8}"/>
    <cellStyle name="Calculation 2 3 2 12" xfId="1991" xr:uid="{42152591-4624-4E4E-AACD-1CC46F052C2E}"/>
    <cellStyle name="Calculation 2 3 2 12 2" xfId="1992" xr:uid="{9B261B32-A69F-4C44-A19B-571D90870062}"/>
    <cellStyle name="Calculation 2 3 2 13" xfId="1993" xr:uid="{788919AC-002E-447C-BBFA-8ACAB6A53099}"/>
    <cellStyle name="Calculation 2 3 2 13 2" xfId="1994" xr:uid="{3888B517-BB4C-42AA-B970-48CD1794AACC}"/>
    <cellStyle name="Calculation 2 3 2 14" xfId="1995" xr:uid="{85FC0CA9-1A23-4F6F-8AB9-CFDB530127F1}"/>
    <cellStyle name="Calculation 2 3 2 14 2" xfId="1996" xr:uid="{FDCF8624-E3C2-4F2D-9A49-6491367A40A6}"/>
    <cellStyle name="Calculation 2 3 2 15" xfId="1997" xr:uid="{20A7EF01-967D-46AF-8CD8-0513FB806D12}"/>
    <cellStyle name="Calculation 2 3 2 15 2" xfId="1998" xr:uid="{60BB5079-8AC0-4AA0-8DD4-BAAE4D6B132A}"/>
    <cellStyle name="Calculation 2 3 2 2" xfId="1999" xr:uid="{42AD8512-88A5-4E4C-A43A-6BDB6688C25A}"/>
    <cellStyle name="Calculation 2 3 2 2 2" xfId="2000" xr:uid="{841A689A-C70C-4DD1-BFD9-2CE88D93055F}"/>
    <cellStyle name="Calculation 2 3 2 3" xfId="2001" xr:uid="{7841D8E6-95B2-48E3-A2C8-F96926F29120}"/>
    <cellStyle name="Calculation 2 3 2 3 2" xfId="2002" xr:uid="{65CB08C6-072D-4053-80EE-D2AD2AFA6C70}"/>
    <cellStyle name="Calculation 2 3 2 4" xfId="2003" xr:uid="{21797875-61C8-4DA7-A8E2-497738AC2CF0}"/>
    <cellStyle name="Calculation 2 3 2 4 2" xfId="2004" xr:uid="{890854A7-6035-4834-BD95-EACD093CD20F}"/>
    <cellStyle name="Calculation 2 3 2 5" xfId="2005" xr:uid="{E4C416AF-B9E4-47B8-A8FD-50B7DD12A331}"/>
    <cellStyle name="Calculation 2 3 2 5 2" xfId="2006" xr:uid="{F267EC4F-3FDA-412A-93F4-E86863F3AC0E}"/>
    <cellStyle name="Calculation 2 3 2 6" xfId="2007" xr:uid="{3ECB55E6-A74A-4207-A615-81A62B174634}"/>
    <cellStyle name="Calculation 2 3 2 6 2" xfId="2008" xr:uid="{68A2016D-9B6F-4358-AF67-F9C51D0BC7E7}"/>
    <cellStyle name="Calculation 2 3 2 7" xfId="2009" xr:uid="{688949BF-FFF8-4341-BA58-DD216AB4C8AD}"/>
    <cellStyle name="Calculation 2 3 2 7 2" xfId="2010" xr:uid="{9434EACA-AE5F-4960-9F88-7AD80966514E}"/>
    <cellStyle name="Calculation 2 3 2 8" xfId="2011" xr:uid="{E89064E1-15EE-4860-A729-C36D99135D69}"/>
    <cellStyle name="Calculation 2 3 2 8 2" xfId="2012" xr:uid="{9EDECD68-D92D-44BE-A499-08170E3AC132}"/>
    <cellStyle name="Calculation 2 3 2 9" xfId="2013" xr:uid="{8F3817B3-A10E-4421-A78F-3A2264916A02}"/>
    <cellStyle name="Calculation 2 3 2 9 2" xfId="2014" xr:uid="{AC21B8D3-9D57-4D5D-9258-7952069C0012}"/>
    <cellStyle name="Calculation 2 3 3" xfId="2015" xr:uid="{6A6B2D5F-DD13-4E3E-8F2E-4C8E5332C2A7}"/>
    <cellStyle name="Calculation 2 3 3 10" xfId="2016" xr:uid="{D457B9BC-7325-46E3-A119-62B9D756F9E0}"/>
    <cellStyle name="Calculation 2 3 3 10 2" xfId="2017" xr:uid="{3A57046F-2A41-42C9-9BC5-374073CC53F9}"/>
    <cellStyle name="Calculation 2 3 3 11" xfId="2018" xr:uid="{17837EEB-105C-4686-8215-322D10E939D0}"/>
    <cellStyle name="Calculation 2 3 3 11 2" xfId="2019" xr:uid="{A6FDB078-4C07-4AAC-B1D4-CF88C1C21A8E}"/>
    <cellStyle name="Calculation 2 3 3 12" xfId="2020" xr:uid="{86235708-A780-441C-97E1-D7646E1FF22E}"/>
    <cellStyle name="Calculation 2 3 3 12 2" xfId="2021" xr:uid="{44B5915F-475E-42F3-8492-CCD4695C2CAB}"/>
    <cellStyle name="Calculation 2 3 3 13" xfId="2022" xr:uid="{B7440207-7E98-488B-9A68-179F6AFEAB3B}"/>
    <cellStyle name="Calculation 2 3 3 13 2" xfId="2023" xr:uid="{E8FFDF93-7C03-4B6F-AB7A-FBC305F604D7}"/>
    <cellStyle name="Calculation 2 3 3 14" xfId="2024" xr:uid="{A72B70BC-F4C5-4834-AD69-2AC77CB949E1}"/>
    <cellStyle name="Calculation 2 3 3 14 2" xfId="2025" xr:uid="{4629DEDC-913A-4AE1-AB04-78A7FEC1DAA6}"/>
    <cellStyle name="Calculation 2 3 3 15" xfId="2026" xr:uid="{2A9DBBE5-1E04-4ADA-91BB-2E62345F91A3}"/>
    <cellStyle name="Calculation 2 3 3 15 2" xfId="2027" xr:uid="{A9F5F1BC-AE1A-4189-99C3-39E5B8BE9404}"/>
    <cellStyle name="Calculation 2 3 3 2" xfId="2028" xr:uid="{F3CDE9C7-1EC3-4B7C-8ED1-703183D9C337}"/>
    <cellStyle name="Calculation 2 3 3 2 2" xfId="2029" xr:uid="{94C93F2F-06BC-4D3A-A667-C8C71758E324}"/>
    <cellStyle name="Calculation 2 3 3 3" xfId="2030" xr:uid="{AAC13BCE-96E9-448F-A9BA-253BEA7A563A}"/>
    <cellStyle name="Calculation 2 3 3 3 2" xfId="2031" xr:uid="{EF210621-E6F3-4EAC-A9BE-6DDB37ED38D2}"/>
    <cellStyle name="Calculation 2 3 3 4" xfId="2032" xr:uid="{C6F6EA71-01D3-412D-A5DD-3CC4A2C7E8F4}"/>
    <cellStyle name="Calculation 2 3 3 4 2" xfId="2033" xr:uid="{252D593E-A50D-47EA-BA32-67734430FFB2}"/>
    <cellStyle name="Calculation 2 3 3 5" xfId="2034" xr:uid="{CE18F184-A9C8-4BAF-B4AC-D5513741ED60}"/>
    <cellStyle name="Calculation 2 3 3 5 2" xfId="2035" xr:uid="{427ED901-489D-420D-A993-C77948B50709}"/>
    <cellStyle name="Calculation 2 3 3 6" xfId="2036" xr:uid="{64408E24-3F0F-47EF-A11C-FC8A4AB16B64}"/>
    <cellStyle name="Calculation 2 3 3 6 2" xfId="2037" xr:uid="{3B0CBCE3-96B1-49D8-884F-7CF9A851AAF5}"/>
    <cellStyle name="Calculation 2 3 3 7" xfId="2038" xr:uid="{FA6802F5-A5DD-4EA3-9F6B-E9E6F52CDFF7}"/>
    <cellStyle name="Calculation 2 3 3 7 2" xfId="2039" xr:uid="{CE5A54B1-6398-4FC3-BAB7-9AA2835885B3}"/>
    <cellStyle name="Calculation 2 3 3 8" xfId="2040" xr:uid="{09D017A1-9A35-4869-8B36-A5C1D5DF199D}"/>
    <cellStyle name="Calculation 2 3 3 8 2" xfId="2041" xr:uid="{2CBCACC1-95FF-45D0-B668-036FFAC03E5D}"/>
    <cellStyle name="Calculation 2 3 3 9" xfId="2042" xr:uid="{56BD8AEB-4B32-422C-9270-5A1C52BCE19C}"/>
    <cellStyle name="Calculation 2 3 3 9 2" xfId="2043" xr:uid="{97586BCD-C0FF-4605-84AE-5F2BCDE74DCC}"/>
    <cellStyle name="Calculation 2 3 4" xfId="2044" xr:uid="{2BF961B0-E146-4B5E-A398-EDC3FE5E67E8}"/>
    <cellStyle name="Calculation 2 3 4 2" xfId="2045" xr:uid="{CA2D5F66-273D-45CF-8148-C5CB46D6CCE5}"/>
    <cellStyle name="Calculation 2 3 5" xfId="2046" xr:uid="{535632E2-296F-4D70-88D4-B79355450071}"/>
    <cellStyle name="Calculation 2 3 5 2" xfId="2047" xr:uid="{F8FEDAAE-F63A-46D4-8BFA-E1543F1D4455}"/>
    <cellStyle name="Calculation 2 3 6" xfId="2048" xr:uid="{76D60EE3-20F2-4CB2-9F72-BCED79F663EC}"/>
    <cellStyle name="Calculation 2 3 6 2" xfId="2049" xr:uid="{8CD154C6-EAEE-4AD1-ABF8-7801A7D365C7}"/>
    <cellStyle name="Calculation 2 3 7" xfId="2050" xr:uid="{7CA79551-A676-463F-A2E1-F9595639CD71}"/>
    <cellStyle name="Calculation 2 3 7 2" xfId="2051" xr:uid="{FA1370C8-4896-4F0F-8760-A58E85BBEF94}"/>
    <cellStyle name="Calculation 2 3 8" xfId="2052" xr:uid="{19315ABB-95C3-476E-A6FF-2FCC18075939}"/>
    <cellStyle name="Calculation 2 3 8 2" xfId="2053" xr:uid="{51C5E71D-5C19-405C-9CAE-8C5463FB23D8}"/>
    <cellStyle name="Calculation 2 3 9" xfId="2054" xr:uid="{4A33B8B0-E412-4980-88B3-02E99C1A089C}"/>
    <cellStyle name="Calculation 2 3 9 2" xfId="2055" xr:uid="{727AED4D-19E7-4E0A-ACB4-F2DD72D85D4B}"/>
    <cellStyle name="Calculation 2 3_T1 ANSP" xfId="1969" xr:uid="{285D73D5-A887-4E11-AB8F-2C5AA6115F16}"/>
    <cellStyle name="Calculation 2 4" xfId="2056" xr:uid="{6532F5FA-FC11-4F67-90D5-9DA7A9C6D1FA}"/>
    <cellStyle name="Calculation 2 4 10" xfId="2057" xr:uid="{0792CAD9-78D2-4588-86A5-D836D4625715}"/>
    <cellStyle name="Calculation 2 4 10 2" xfId="2058" xr:uid="{7E1B023A-9980-4711-BBD1-184925C93BC0}"/>
    <cellStyle name="Calculation 2 4 11" xfId="2059" xr:uid="{F3220E22-0BE0-4C93-82A5-94DB07752BE5}"/>
    <cellStyle name="Calculation 2 4 11 2" xfId="2060" xr:uid="{3EB9922C-5C41-482C-A5D4-24DA85824C0D}"/>
    <cellStyle name="Calculation 2 4 12" xfId="2061" xr:uid="{26C2107D-06CE-4C62-8F19-24A06157D29C}"/>
    <cellStyle name="Calculation 2 4 12 2" xfId="2062" xr:uid="{0B4414AC-F703-496B-AB37-2C8CEBA2253C}"/>
    <cellStyle name="Calculation 2 4 13" xfId="2063" xr:uid="{50F3804E-88F0-4642-9358-6756CE992193}"/>
    <cellStyle name="Calculation 2 4 13 2" xfId="2064" xr:uid="{30FAA3BD-2E56-4B60-856F-C076958DA141}"/>
    <cellStyle name="Calculation 2 4 14" xfId="2065" xr:uid="{4BFFEC5E-767E-4FEC-8FA7-FB0E61D469FF}"/>
    <cellStyle name="Calculation 2 4 14 2" xfId="2066" xr:uid="{A30D12E5-BF59-4086-8A3E-C050261A1A10}"/>
    <cellStyle name="Calculation 2 4 15" xfId="2067" xr:uid="{A242F546-0BBC-47A0-B22D-6B26A19FE686}"/>
    <cellStyle name="Calculation 2 4 15 2" xfId="2068" xr:uid="{7CC1834D-A659-43B1-A848-D1FEDD29DCB6}"/>
    <cellStyle name="Calculation 2 4 16" xfId="2069" xr:uid="{571437A3-D328-4FF8-BCFA-E90C32DC6106}"/>
    <cellStyle name="Calculation 2 4 16 2" xfId="2070" xr:uid="{67E9C989-2631-454C-BFE3-CB86370869B7}"/>
    <cellStyle name="Calculation 2 4 17" xfId="2071" xr:uid="{074EC724-365F-4061-9814-37DEF878C825}"/>
    <cellStyle name="Calculation 2 4 17 2" xfId="2072" xr:uid="{C3A98A2D-97B7-4AE4-95BB-66FB26D28EB3}"/>
    <cellStyle name="Calculation 2 4 2" xfId="2073" xr:uid="{33A0D6BB-4AF5-49D2-BC90-16B165B01A72}"/>
    <cellStyle name="Calculation 2 4 2 10" xfId="2074" xr:uid="{77719E10-E514-42DD-A774-ADE4E17F1324}"/>
    <cellStyle name="Calculation 2 4 2 10 2" xfId="2075" xr:uid="{CAF67060-5DDA-415D-95E7-8152E420548B}"/>
    <cellStyle name="Calculation 2 4 2 11" xfId="2076" xr:uid="{5328215C-E572-4F34-AB53-2B450EFBEA83}"/>
    <cellStyle name="Calculation 2 4 2 11 2" xfId="2077" xr:uid="{EEE63E32-4127-497E-B30D-A6C398288A39}"/>
    <cellStyle name="Calculation 2 4 2 12" xfId="2078" xr:uid="{1EDDF9FD-D8B2-4380-8CC0-7BC745D34A39}"/>
    <cellStyle name="Calculation 2 4 2 12 2" xfId="2079" xr:uid="{578DD8D9-738A-4F33-9326-6261F68E1689}"/>
    <cellStyle name="Calculation 2 4 2 13" xfId="2080" xr:uid="{FB34E75D-5E13-47EC-BA87-4741447CBBC3}"/>
    <cellStyle name="Calculation 2 4 2 13 2" xfId="2081" xr:uid="{D6DFA288-A3E5-4FA1-A656-70AC284955E4}"/>
    <cellStyle name="Calculation 2 4 2 14" xfId="2082" xr:uid="{4D1BD662-E1DF-48B1-B15B-3F1BCDD19F52}"/>
    <cellStyle name="Calculation 2 4 2 14 2" xfId="2083" xr:uid="{F25A2ABE-8947-42A6-B132-F182A854B28E}"/>
    <cellStyle name="Calculation 2 4 2 15" xfId="2084" xr:uid="{7E95A1D2-D14D-4C76-86D8-A0BE49224E1D}"/>
    <cellStyle name="Calculation 2 4 2 15 2" xfId="2085" xr:uid="{33C39236-91E9-4441-A19B-8DD6B50DE67C}"/>
    <cellStyle name="Calculation 2 4 2 2" xfId="2086" xr:uid="{B401554C-ADB6-4CCC-A427-BAB8C72F499A}"/>
    <cellStyle name="Calculation 2 4 2 2 2" xfId="2087" xr:uid="{47596104-02B0-42F9-9FD1-2B9D8223E30E}"/>
    <cellStyle name="Calculation 2 4 2 3" xfId="2088" xr:uid="{C09D81DC-C0C1-4FC2-A505-F39FC4D4C06C}"/>
    <cellStyle name="Calculation 2 4 2 3 2" xfId="2089" xr:uid="{769D0514-F951-4C86-A53F-A14B31284B23}"/>
    <cellStyle name="Calculation 2 4 2 4" xfId="2090" xr:uid="{3D280ABF-EF23-45C2-AE48-CC56EA6DCEB1}"/>
    <cellStyle name="Calculation 2 4 2 4 2" xfId="2091" xr:uid="{6EDB9A18-653E-472D-A18D-EF4212F211AF}"/>
    <cellStyle name="Calculation 2 4 2 5" xfId="2092" xr:uid="{51DF66A4-A0CF-4F30-B947-154D063B9E9C}"/>
    <cellStyle name="Calculation 2 4 2 5 2" xfId="2093" xr:uid="{FAB6F2EE-FACB-418C-BF2C-0497AB99E984}"/>
    <cellStyle name="Calculation 2 4 2 6" xfId="2094" xr:uid="{FC370725-3E0A-4D70-B5CE-900365287997}"/>
    <cellStyle name="Calculation 2 4 2 6 2" xfId="2095" xr:uid="{6AE198D3-CBA7-43D3-B859-33782FB002C1}"/>
    <cellStyle name="Calculation 2 4 2 7" xfId="2096" xr:uid="{0AE85876-3BB7-4DDD-A5F4-EE8E37249750}"/>
    <cellStyle name="Calculation 2 4 2 7 2" xfId="2097" xr:uid="{A6E29943-B9F1-40A4-9EC0-9FB11BBA001D}"/>
    <cellStyle name="Calculation 2 4 2 8" xfId="2098" xr:uid="{48CB2458-1B7A-45CB-8C55-FE92E47F4897}"/>
    <cellStyle name="Calculation 2 4 2 8 2" xfId="2099" xr:uid="{0F08D69F-D787-4FF9-B1FA-3C20C86249E2}"/>
    <cellStyle name="Calculation 2 4 2 9" xfId="2100" xr:uid="{D00200F6-2B6F-43D7-BA1E-B0296CE78576}"/>
    <cellStyle name="Calculation 2 4 2 9 2" xfId="2101" xr:uid="{38D42714-5761-4D29-9A87-B5E7629A7057}"/>
    <cellStyle name="Calculation 2 4 3" xfId="2102" xr:uid="{35BF015B-06C9-4D3C-A984-1DD92CC1CFA8}"/>
    <cellStyle name="Calculation 2 4 3 10" xfId="2103" xr:uid="{ED1062D7-0E33-41B7-92FF-6184336AB3C2}"/>
    <cellStyle name="Calculation 2 4 3 10 2" xfId="2104" xr:uid="{C1D69A07-A877-41C6-8D43-70D9509A0162}"/>
    <cellStyle name="Calculation 2 4 3 11" xfId="2105" xr:uid="{D15A78B6-A880-4BA8-B920-416BB82D76DF}"/>
    <cellStyle name="Calculation 2 4 3 11 2" xfId="2106" xr:uid="{8F29248F-BEC2-4AEA-B669-590D1F9CCD0F}"/>
    <cellStyle name="Calculation 2 4 3 12" xfId="2107" xr:uid="{C40B21F9-CA4F-4C0B-9B93-7F0E9A5DADE9}"/>
    <cellStyle name="Calculation 2 4 3 12 2" xfId="2108" xr:uid="{37C714CE-3604-40A4-896E-76C6E983ACBC}"/>
    <cellStyle name="Calculation 2 4 3 13" xfId="2109" xr:uid="{DD28CE0C-B9CC-42D7-AAF6-CB6300D49AFA}"/>
    <cellStyle name="Calculation 2 4 3 13 2" xfId="2110" xr:uid="{31153A48-7CB0-49AA-8E16-6B8A39877B8A}"/>
    <cellStyle name="Calculation 2 4 3 14" xfId="2111" xr:uid="{EC6406F8-4A5A-4F28-A94F-C889A4A8CED6}"/>
    <cellStyle name="Calculation 2 4 3 14 2" xfId="2112" xr:uid="{1B36945E-8F48-4795-B2FD-9B11FF0655CF}"/>
    <cellStyle name="Calculation 2 4 3 15" xfId="2113" xr:uid="{69EFEF57-EF03-49FC-AA92-79B28B908DA4}"/>
    <cellStyle name="Calculation 2 4 3 15 2" xfId="2114" xr:uid="{B18F7B90-C9D0-4E40-9118-44C12579C8F5}"/>
    <cellStyle name="Calculation 2 4 3 2" xfId="2115" xr:uid="{A62469AD-E030-4B3F-AEBE-795CE0E59CEF}"/>
    <cellStyle name="Calculation 2 4 3 2 2" xfId="2116" xr:uid="{E3885C91-FFC0-4A94-A9D1-8F17E956DC57}"/>
    <cellStyle name="Calculation 2 4 3 3" xfId="2117" xr:uid="{34FBF622-3628-4C8F-A337-C3C2A4F5690B}"/>
    <cellStyle name="Calculation 2 4 3 3 2" xfId="2118" xr:uid="{0ADE20D1-BEA1-452C-8318-44C559729205}"/>
    <cellStyle name="Calculation 2 4 3 4" xfId="2119" xr:uid="{2D6CFABB-08D7-4412-B7B5-72E2D1587628}"/>
    <cellStyle name="Calculation 2 4 3 4 2" xfId="2120" xr:uid="{31DF2574-3E56-4AA8-BF94-04EDD97DEE36}"/>
    <cellStyle name="Calculation 2 4 3 5" xfId="2121" xr:uid="{CE3DDF72-CEEF-4FA2-B3FA-CBBBD23B8062}"/>
    <cellStyle name="Calculation 2 4 3 5 2" xfId="2122" xr:uid="{618A6056-A371-41F7-9061-04A0DEBCB4D2}"/>
    <cellStyle name="Calculation 2 4 3 6" xfId="2123" xr:uid="{74580393-F9C3-47BB-83DB-F122B1D50C28}"/>
    <cellStyle name="Calculation 2 4 3 6 2" xfId="2124" xr:uid="{9B4A5D14-91C1-4461-BECB-7BF300514469}"/>
    <cellStyle name="Calculation 2 4 3 7" xfId="2125" xr:uid="{66B887D8-E27A-440A-BACE-0A202D4B5A21}"/>
    <cellStyle name="Calculation 2 4 3 7 2" xfId="2126" xr:uid="{73F3C4D7-AED1-42AC-B529-736425BDA1C7}"/>
    <cellStyle name="Calculation 2 4 3 8" xfId="2127" xr:uid="{C4BBD707-EB14-4481-B385-4747B59F8D71}"/>
    <cellStyle name="Calculation 2 4 3 8 2" xfId="2128" xr:uid="{EA8A1F57-127B-4350-A7F4-3B548C047EA7}"/>
    <cellStyle name="Calculation 2 4 3 9" xfId="2129" xr:uid="{7ED5F263-DBDA-4798-B9AE-D6CFC29CE77A}"/>
    <cellStyle name="Calculation 2 4 3 9 2" xfId="2130" xr:uid="{96EF588E-F67C-4F96-855B-BF8EAD881442}"/>
    <cellStyle name="Calculation 2 4 4" xfId="2131" xr:uid="{153F320A-9B86-4BBF-A6A4-4976606DCE3C}"/>
    <cellStyle name="Calculation 2 4 4 2" xfId="2132" xr:uid="{1D0A0FFC-4876-43D9-8C2A-582E6D305006}"/>
    <cellStyle name="Calculation 2 4 5" xfId="2133" xr:uid="{FB4CB3D8-9373-4926-8FA0-717F80BE7308}"/>
    <cellStyle name="Calculation 2 4 5 2" xfId="2134" xr:uid="{21F7E666-BB97-4044-A143-B86AABFDEC6A}"/>
    <cellStyle name="Calculation 2 4 6" xfId="2135" xr:uid="{622AF87F-CA92-44C7-8528-4AA7A4D002D3}"/>
    <cellStyle name="Calculation 2 4 6 2" xfId="2136" xr:uid="{0FD977B7-62D5-4B6E-9B7D-BDC13350A9DF}"/>
    <cellStyle name="Calculation 2 4 7" xfId="2137" xr:uid="{DA449442-CC7D-4B50-BD6D-215B0F00A03B}"/>
    <cellStyle name="Calculation 2 4 7 2" xfId="2138" xr:uid="{7BF1F1B6-45D5-4A9F-B485-4D9155E49ACC}"/>
    <cellStyle name="Calculation 2 4 8" xfId="2139" xr:uid="{95DC252D-53A7-446D-B043-6E501BBF1A5C}"/>
    <cellStyle name="Calculation 2 4 8 2" xfId="2140" xr:uid="{C82A3A70-B041-4CE4-8BFE-2B3632E98E6E}"/>
    <cellStyle name="Calculation 2 4 9" xfId="2141" xr:uid="{F8A9E767-0C42-44A2-9427-9BD0CDB6F222}"/>
    <cellStyle name="Calculation 2 4 9 2" xfId="2142" xr:uid="{5BB6D994-D518-4795-948E-CFFD8D0D77A3}"/>
    <cellStyle name="Calculation 2 5" xfId="2143" xr:uid="{0E586D4B-E3E0-4DB0-B6B3-F25482C5A964}"/>
    <cellStyle name="Calculation 2 5 2" xfId="2144" xr:uid="{000C150A-988F-4CA9-8BF2-EAD52AA37927}"/>
    <cellStyle name="Calculation 2 6" xfId="2145" xr:uid="{A3456299-8F78-4DE0-A95C-B717F42CA8DE}"/>
    <cellStyle name="Calculation 2 6 2" xfId="2146" xr:uid="{04EDEF43-166D-4110-816D-CF4A38A3A614}"/>
    <cellStyle name="Calculation 2 7" xfId="2147" xr:uid="{AD243D4C-6EE0-449E-8F87-0046A5947C6A}"/>
    <cellStyle name="Calculation 2 7 2" xfId="2148" xr:uid="{83F46FBF-DEB3-4B42-A64F-58EAC8458166}"/>
    <cellStyle name="Calculation 2 8" xfId="2149" xr:uid="{2DDC1705-0DEA-4503-8159-FF21123A5C85}"/>
    <cellStyle name="Calculation 2 8 2" xfId="2150" xr:uid="{2D99C522-B55B-4C90-90A7-2081334E80D3}"/>
    <cellStyle name="Calculation 2 9" xfId="2151" xr:uid="{EA48A38E-B938-4E14-B812-9BB2C91AE97F}"/>
    <cellStyle name="Calculation 2 9 2" xfId="2152" xr:uid="{A61B9BED-78DA-401F-A5D4-A4258426249E}"/>
    <cellStyle name="Calculation 2_T1 ANSP" xfId="1879" xr:uid="{FE6BAEC2-AB88-41A6-8D89-1B4A42A3287F}"/>
    <cellStyle name="Calculation 3" xfId="2153" xr:uid="{AA70ED1C-B120-4075-89C9-D505B99048D4}"/>
    <cellStyle name="Calculation 3 10" xfId="2154" xr:uid="{9CD35EE7-936C-49C1-AEDB-D52395A5EEAB}"/>
    <cellStyle name="Calculation 3 10 2" xfId="2155" xr:uid="{6B2E2524-E7CC-485E-BBC4-0BF476746766}"/>
    <cellStyle name="Calculation 3 11" xfId="2156" xr:uid="{5CF09E51-2420-4436-A30E-6966894D0093}"/>
    <cellStyle name="Calculation 3 11 2" xfId="2157" xr:uid="{B22948FD-1EBB-427A-8DEF-A05D8C8AE08F}"/>
    <cellStyle name="Calculation 3 12" xfId="2158" xr:uid="{7EE53BDA-7205-489F-87B8-F3DD7B798F62}"/>
    <cellStyle name="Calculation 3 12 2" xfId="2159" xr:uid="{F96D97D7-AEED-498B-9B0F-C8D347959D0F}"/>
    <cellStyle name="Calculation 3 13" xfId="2160" xr:uid="{D48D7221-F9DD-4870-A0A0-D3B874A78CFB}"/>
    <cellStyle name="Calculation 3 13 2" xfId="2161" xr:uid="{678A6BA4-1FE1-45EF-8674-7A15208C0880}"/>
    <cellStyle name="Calculation 3 14" xfId="2162" xr:uid="{03A0FA43-0838-4B2D-A786-12389EEC0385}"/>
    <cellStyle name="Calculation 3 14 2" xfId="2163" xr:uid="{1E96057C-5CD4-4407-99A3-834E3F01CFF6}"/>
    <cellStyle name="Calculation 3 15" xfId="2164" xr:uid="{A3219E0B-D4B5-470A-AD0B-995F44E3F9AA}"/>
    <cellStyle name="Calculation 3 15 2" xfId="2165" xr:uid="{1E93BEFB-3802-4747-927C-D577A5A17885}"/>
    <cellStyle name="Calculation 3 16" xfId="2166" xr:uid="{84A06C89-3FF3-4785-A7C3-90C66444F377}"/>
    <cellStyle name="Calculation 3 16 2" xfId="2167" xr:uid="{FEA2264F-7FFF-464E-A51B-30B1630BDA4D}"/>
    <cellStyle name="Calculation 3 17" xfId="2168" xr:uid="{0C8767E8-DC68-4C19-A9AE-F18974FDE0D8}"/>
    <cellStyle name="Calculation 3 17 2" xfId="2169" xr:uid="{E7C133F4-3175-46B5-812E-B8EBEF76CB00}"/>
    <cellStyle name="Calculation 3 2" xfId="2170" xr:uid="{061415FE-EE04-4668-BAB5-57407A35BA83}"/>
    <cellStyle name="Calculation 3 2 10" xfId="2171" xr:uid="{C039B6CA-1153-42FE-9BBE-6C5C0EECF8F7}"/>
    <cellStyle name="Calculation 3 2 10 2" xfId="2172" xr:uid="{F301B5AC-3106-422A-A0A6-B64945F1CEC8}"/>
    <cellStyle name="Calculation 3 2 11" xfId="2173" xr:uid="{4242B1E7-2EAC-4A55-9DCC-4302FB80750F}"/>
    <cellStyle name="Calculation 3 2 11 2" xfId="2174" xr:uid="{386AB6FC-7DE3-464A-A5C5-333C91802E48}"/>
    <cellStyle name="Calculation 3 2 12" xfId="2175" xr:uid="{3E149BC0-1CD1-4647-A296-B4FA7D801640}"/>
    <cellStyle name="Calculation 3 2 12 2" xfId="2176" xr:uid="{B4A5FC09-D924-4FF4-8464-730BBC3372B7}"/>
    <cellStyle name="Calculation 3 2 13" xfId="2177" xr:uid="{C6D2E171-3FDF-43CE-9E3C-057439D12E45}"/>
    <cellStyle name="Calculation 3 2 13 2" xfId="2178" xr:uid="{54F5FA49-A161-4F8F-9908-DF1192666991}"/>
    <cellStyle name="Calculation 3 2 14" xfId="2179" xr:uid="{C07C4D59-92C7-45A5-9B92-3967C7432F4E}"/>
    <cellStyle name="Calculation 3 2 14 2" xfId="2180" xr:uid="{ED07EA51-FB61-4E4C-B14F-4F70F7B7B2C7}"/>
    <cellStyle name="Calculation 3 2 15" xfId="2181" xr:uid="{EB57E77B-29FA-4722-92D9-7EFA2E572694}"/>
    <cellStyle name="Calculation 3 2 15 2" xfId="2182" xr:uid="{137821A2-627F-40F7-9A40-0217E49994A4}"/>
    <cellStyle name="Calculation 3 2 2" xfId="2183" xr:uid="{378ED238-7164-4A81-8518-9EFECDBF4824}"/>
    <cellStyle name="Calculation 3 2 2 2" xfId="2184" xr:uid="{0D5C9D0C-FCAB-4462-8C14-CC2E80F4D9B4}"/>
    <cellStyle name="Calculation 3 2 3" xfId="2185" xr:uid="{F75700C9-5401-4B2C-B727-56BC66C7AA6A}"/>
    <cellStyle name="Calculation 3 2 3 2" xfId="2186" xr:uid="{3EF36F48-3B13-4A7E-976B-3FD324A4D91F}"/>
    <cellStyle name="Calculation 3 2 4" xfId="2187" xr:uid="{2CF48670-B62F-4E8D-AD83-14B4934AF938}"/>
    <cellStyle name="Calculation 3 2 4 2" xfId="2188" xr:uid="{731735CC-CBA0-4078-B86F-FF83DB3EB0D3}"/>
    <cellStyle name="Calculation 3 2 5" xfId="2189" xr:uid="{448C158D-A40B-474B-97C2-5CC6B860E4B6}"/>
    <cellStyle name="Calculation 3 2 5 2" xfId="2190" xr:uid="{631200BB-44E2-4447-AACF-28BB118BD2D6}"/>
    <cellStyle name="Calculation 3 2 6" xfId="2191" xr:uid="{22A53156-0293-4847-B5A5-470F4EA865A8}"/>
    <cellStyle name="Calculation 3 2 6 2" xfId="2192" xr:uid="{A0805EF4-6189-4365-9C55-213FFDC1852E}"/>
    <cellStyle name="Calculation 3 2 7" xfId="2193" xr:uid="{9F1B08E9-8E47-42F7-8A54-99B4F8B779BE}"/>
    <cellStyle name="Calculation 3 2 7 2" xfId="2194" xr:uid="{47215B52-4C47-4B32-A16B-87FACA9D53F0}"/>
    <cellStyle name="Calculation 3 2 8" xfId="2195" xr:uid="{095B61AA-AD0A-4422-A144-D42029D75804}"/>
    <cellStyle name="Calculation 3 2 8 2" xfId="2196" xr:uid="{AB257928-0E73-4823-824C-26459A63761F}"/>
    <cellStyle name="Calculation 3 2 9" xfId="2197" xr:uid="{CB529F62-D935-45E1-9171-DD73D2E9F888}"/>
    <cellStyle name="Calculation 3 2 9 2" xfId="2198" xr:uid="{CEAE396B-74CC-45BF-857D-25C379FEED30}"/>
    <cellStyle name="Calculation 3 3" xfId="2199" xr:uid="{25B90580-F2A8-4CBF-A4BA-82542C1FDCD5}"/>
    <cellStyle name="Calculation 3 3 10" xfId="2200" xr:uid="{ED257D2F-F114-4C5B-8A4D-45085F85FA8D}"/>
    <cellStyle name="Calculation 3 3 10 2" xfId="2201" xr:uid="{0E65AE19-BE43-49A8-97DC-277DC509BBCA}"/>
    <cellStyle name="Calculation 3 3 11" xfId="2202" xr:uid="{91E8B2F8-1DCE-4925-A338-CF3A83E6F72C}"/>
    <cellStyle name="Calculation 3 3 11 2" xfId="2203" xr:uid="{FF4229C7-53D9-42D3-98D7-36294141CF16}"/>
    <cellStyle name="Calculation 3 3 12" xfId="2204" xr:uid="{EE6607CA-6C83-479B-B5B3-9C6760A506F4}"/>
    <cellStyle name="Calculation 3 3 12 2" xfId="2205" xr:uid="{8035FD52-66D7-4629-9A6D-D5996428F29A}"/>
    <cellStyle name="Calculation 3 3 13" xfId="2206" xr:uid="{648ABBA2-710B-43E7-8751-26664189F0C3}"/>
    <cellStyle name="Calculation 3 3 13 2" xfId="2207" xr:uid="{99D64B83-C17F-42C0-A2E9-065BD63EB573}"/>
    <cellStyle name="Calculation 3 3 14" xfId="2208" xr:uid="{1AC2D4B6-CEF5-4C11-B59D-14FF8E972173}"/>
    <cellStyle name="Calculation 3 3 14 2" xfId="2209" xr:uid="{1B77C9C1-701A-47CB-8ECA-D33CB52D6033}"/>
    <cellStyle name="Calculation 3 3 15" xfId="2210" xr:uid="{9974E36E-E804-4F9F-9B38-10C4127DE4CD}"/>
    <cellStyle name="Calculation 3 3 15 2" xfId="2211" xr:uid="{D1485F6B-26FB-4D9B-916E-D50987034E63}"/>
    <cellStyle name="Calculation 3 3 2" xfId="2212" xr:uid="{200BBE37-A257-4B17-BC1F-696F54D562E1}"/>
    <cellStyle name="Calculation 3 3 2 2" xfId="2213" xr:uid="{9B2825E9-AF6C-4AC6-BE50-B50F3585D72E}"/>
    <cellStyle name="Calculation 3 3 3" xfId="2214" xr:uid="{AAA5F74A-E6CA-4A02-B9F4-D894F1A22453}"/>
    <cellStyle name="Calculation 3 3 3 2" xfId="2215" xr:uid="{600413F3-B9F3-4083-BCA0-17A3B4F46280}"/>
    <cellStyle name="Calculation 3 3 4" xfId="2216" xr:uid="{C25A9DC1-8E53-462E-B884-88F8BBEDA1F5}"/>
    <cellStyle name="Calculation 3 3 4 2" xfId="2217" xr:uid="{A09A43A3-6922-4C32-ACB7-E960A8691077}"/>
    <cellStyle name="Calculation 3 3 5" xfId="2218" xr:uid="{F7ADF186-83A3-4958-9FEE-68F851713958}"/>
    <cellStyle name="Calculation 3 3 5 2" xfId="2219" xr:uid="{D3DF5BB8-4D6A-482C-B395-AFB5C55A4A4B}"/>
    <cellStyle name="Calculation 3 3 6" xfId="2220" xr:uid="{3EBF2963-455A-43E4-B9F4-3D92A2B923BE}"/>
    <cellStyle name="Calculation 3 3 6 2" xfId="2221" xr:uid="{0EE7DAF8-3285-40DE-9CD6-30E01D829776}"/>
    <cellStyle name="Calculation 3 3 7" xfId="2222" xr:uid="{AE3F5789-F42C-4E29-A127-69229CF9C944}"/>
    <cellStyle name="Calculation 3 3 7 2" xfId="2223" xr:uid="{1ACBB6F9-739D-434B-84E7-57CBA58E1FBA}"/>
    <cellStyle name="Calculation 3 3 8" xfId="2224" xr:uid="{510CAA5E-E518-4E1A-8588-0308A53B0712}"/>
    <cellStyle name="Calculation 3 3 8 2" xfId="2225" xr:uid="{C332DD52-DD7E-49B7-AA79-FF1E536DC23C}"/>
    <cellStyle name="Calculation 3 3 9" xfId="2226" xr:uid="{C49742DF-4574-47F4-9C65-6F086349D9BA}"/>
    <cellStyle name="Calculation 3 3 9 2" xfId="2227" xr:uid="{2C5A7BDB-EA47-44AD-8B36-17DF6E8E0DDC}"/>
    <cellStyle name="Calculation 3 4" xfId="2228" xr:uid="{BF0966CB-8EF1-4BF8-A323-FCFA06EB3F92}"/>
    <cellStyle name="Calculation 3 4 2" xfId="2229" xr:uid="{2BADC572-02CA-4FA7-B0B4-7C3F0E11176A}"/>
    <cellStyle name="Calculation 3 5" xfId="2230" xr:uid="{F7EFABB7-EDE1-4B35-A378-53817DA42247}"/>
    <cellStyle name="Calculation 3 5 2" xfId="2231" xr:uid="{308863F2-8E12-4DC8-B7BF-E63F5BD59D74}"/>
    <cellStyle name="Calculation 3 6" xfId="2232" xr:uid="{BA2CA00A-8850-4757-8E82-668507B96BF8}"/>
    <cellStyle name="Calculation 3 6 2" xfId="2233" xr:uid="{7AC7EF85-16BD-4D99-B3E1-BF603B522C87}"/>
    <cellStyle name="Calculation 3 7" xfId="2234" xr:uid="{6F3EC84E-C1AF-4E8E-98A5-0837EED7EB7B}"/>
    <cellStyle name="Calculation 3 7 2" xfId="2235" xr:uid="{6A3E19F6-E847-4D2A-BED5-B0C90B205FB9}"/>
    <cellStyle name="Calculation 3 8" xfId="2236" xr:uid="{94DDAF84-15E5-4452-B825-E3990ADFA7E4}"/>
    <cellStyle name="Calculation 3 8 2" xfId="2237" xr:uid="{2F89565C-A0BA-4839-9A0D-84609098C4D4}"/>
    <cellStyle name="Calculation 3 9" xfId="2238" xr:uid="{91AA3DFE-E718-4A29-8448-D66F34CB94B2}"/>
    <cellStyle name="Calculation 3 9 2" xfId="2239" xr:uid="{BB00A233-ED43-4853-A46B-F21740D83009}"/>
    <cellStyle name="Calculation 4" xfId="2240" xr:uid="{3D875D0C-9728-43A1-A39C-23B087BD767B}"/>
    <cellStyle name="Calculation 4 10" xfId="2241" xr:uid="{50C7C70B-36C0-427D-B5D1-FC7578399719}"/>
    <cellStyle name="Calculation 4 10 2" xfId="2242" xr:uid="{EE24FF0E-2DBD-4A77-8154-E4FA3D21502C}"/>
    <cellStyle name="Calculation 4 11" xfId="2243" xr:uid="{32B7FA0C-79EC-4EFC-AEC3-0F20F73CB569}"/>
    <cellStyle name="Calculation 4 11 2" xfId="2244" xr:uid="{B950BC84-4A40-42B2-BC51-7C2CFE11BC42}"/>
    <cellStyle name="Calculation 4 12" xfId="2245" xr:uid="{5BDAC06C-7821-4B05-AAF2-828422657819}"/>
    <cellStyle name="Calculation 4 12 2" xfId="2246" xr:uid="{B0AC080D-F2FA-4A43-BD92-F19BC53437D3}"/>
    <cellStyle name="Calculation 4 13" xfId="2247" xr:uid="{00110AAF-7318-4E61-9624-22722F449E72}"/>
    <cellStyle name="Calculation 4 13 2" xfId="2248" xr:uid="{C707CA38-013E-4455-A01A-16B897F7131F}"/>
    <cellStyle name="Calculation 4 14" xfId="2249" xr:uid="{C65A79CF-F684-4B4A-852D-ACB64E549879}"/>
    <cellStyle name="Calculation 4 14 2" xfId="2250" xr:uid="{326AF0DF-55C6-4B9A-80F7-903890EB5942}"/>
    <cellStyle name="Calculation 4 15" xfId="2251" xr:uid="{ABCF286C-7EB5-44B8-843B-99F9C8A1EB8C}"/>
    <cellStyle name="Calculation 4 15 2" xfId="2252" xr:uid="{F6EBF8E3-939B-4DB9-9323-0EA056CE9D6C}"/>
    <cellStyle name="Calculation 4 16" xfId="2253" xr:uid="{4DC156A5-B13E-4DDE-A787-33592BE7A301}"/>
    <cellStyle name="Calculation 4 16 2" xfId="2254" xr:uid="{17DA04A2-E631-4FCD-AAD6-2868BD51F4BD}"/>
    <cellStyle name="Calculation 4 17" xfId="2255" xr:uid="{6638C605-2003-411F-BEF5-1A2BA7022C0F}"/>
    <cellStyle name="Calculation 4 17 2" xfId="2256" xr:uid="{53FAD602-10A1-48CE-8549-557E33DBE8AF}"/>
    <cellStyle name="Calculation 4 2" xfId="2257" xr:uid="{E2C6ED6B-05E9-4EA0-B2DC-EBF3DC1B352B}"/>
    <cellStyle name="Calculation 4 2 10" xfId="2258" xr:uid="{28B18390-9C69-449E-AF9F-90F7E71CA819}"/>
    <cellStyle name="Calculation 4 2 10 2" xfId="2259" xr:uid="{E8D4870B-1DDD-4BBB-B324-711027608C38}"/>
    <cellStyle name="Calculation 4 2 11" xfId="2260" xr:uid="{57057F14-7DAF-412D-83F9-9EBFBE72FE7D}"/>
    <cellStyle name="Calculation 4 2 11 2" xfId="2261" xr:uid="{3134BD12-B1D9-4FBC-AEB7-AA5DF84B2103}"/>
    <cellStyle name="Calculation 4 2 12" xfId="2262" xr:uid="{60E4EB5C-CF02-4A34-BF5E-D3932CC14140}"/>
    <cellStyle name="Calculation 4 2 12 2" xfId="2263" xr:uid="{16EACA50-BDD2-4F89-A91E-5552A0FF3189}"/>
    <cellStyle name="Calculation 4 2 13" xfId="2264" xr:uid="{49F7DEB3-C8EE-49CC-ABBF-8DB583B3DE4D}"/>
    <cellStyle name="Calculation 4 2 13 2" xfId="2265" xr:uid="{B7CAEA60-9657-4602-B834-7CE9AD40577E}"/>
    <cellStyle name="Calculation 4 2 14" xfId="2266" xr:uid="{BF46EDF9-F91E-4AB7-8762-A12FD60239B7}"/>
    <cellStyle name="Calculation 4 2 14 2" xfId="2267" xr:uid="{6981307D-83CE-4CDD-8CCC-EA7786A5C463}"/>
    <cellStyle name="Calculation 4 2 15" xfId="2268" xr:uid="{DE618C66-CC14-46E7-8135-F144DA1627F0}"/>
    <cellStyle name="Calculation 4 2 15 2" xfId="2269" xr:uid="{9BF68349-1AAB-4FEE-AE76-5A539C34D005}"/>
    <cellStyle name="Calculation 4 2 2" xfId="2270" xr:uid="{3C6E5283-EF3B-429C-8E3C-A5E7FF41F557}"/>
    <cellStyle name="Calculation 4 2 2 2" xfId="2271" xr:uid="{E7D62B8A-2713-4AC4-9CE0-3E50526E177B}"/>
    <cellStyle name="Calculation 4 2 3" xfId="2272" xr:uid="{1315395F-CD69-4B7A-8BA7-2922CDFA0DB2}"/>
    <cellStyle name="Calculation 4 2 3 2" xfId="2273" xr:uid="{BECA84B3-09E6-4003-92E5-4272C0E1F949}"/>
    <cellStyle name="Calculation 4 2 4" xfId="2274" xr:uid="{7CB4E055-6BCA-4DFB-91F6-1A244839836D}"/>
    <cellStyle name="Calculation 4 2 4 2" xfId="2275" xr:uid="{A794A360-7E41-44C1-BC6E-4DD6469CED7B}"/>
    <cellStyle name="Calculation 4 2 5" xfId="2276" xr:uid="{15C22128-B1F5-4CDA-A43F-59D5F5216925}"/>
    <cellStyle name="Calculation 4 2 5 2" xfId="2277" xr:uid="{E0D5804B-083D-4D46-BA12-12D4F6985408}"/>
    <cellStyle name="Calculation 4 2 6" xfId="2278" xr:uid="{EB75D9E7-4682-44E1-B342-518AB4762B94}"/>
    <cellStyle name="Calculation 4 2 6 2" xfId="2279" xr:uid="{140DBCE1-75F1-4D66-AF60-138E27073DCF}"/>
    <cellStyle name="Calculation 4 2 7" xfId="2280" xr:uid="{4EDD4A01-5F9B-4D0F-962A-345A6E5205F5}"/>
    <cellStyle name="Calculation 4 2 7 2" xfId="2281" xr:uid="{168DCA85-C64E-49DA-911E-72134879D504}"/>
    <cellStyle name="Calculation 4 2 8" xfId="2282" xr:uid="{478946DA-13D6-4404-996E-D4434FF5FB8E}"/>
    <cellStyle name="Calculation 4 2 8 2" xfId="2283" xr:uid="{D0D717D1-144C-485E-A5B4-36F6FA61DD43}"/>
    <cellStyle name="Calculation 4 2 9" xfId="2284" xr:uid="{62EE98EF-EEAB-4235-A94A-BB19CBCF592F}"/>
    <cellStyle name="Calculation 4 2 9 2" xfId="2285" xr:uid="{64C78E1D-8AAA-4900-AECF-605D7EA0D726}"/>
    <cellStyle name="Calculation 4 3" xfId="2286" xr:uid="{E96D5EFA-83A8-4BDE-AD36-5AA1EA725C16}"/>
    <cellStyle name="Calculation 4 3 10" xfId="2287" xr:uid="{5EB92F2D-3AB2-414D-ABFD-7C05AAFD3921}"/>
    <cellStyle name="Calculation 4 3 10 2" xfId="2288" xr:uid="{81913135-7EC2-472C-A5B0-4E8F1F9585AF}"/>
    <cellStyle name="Calculation 4 3 11" xfId="2289" xr:uid="{2583FD43-E52A-4C82-88B6-E25B558D0417}"/>
    <cellStyle name="Calculation 4 3 11 2" xfId="2290" xr:uid="{E35B6700-5731-461A-87BF-950D995F98EB}"/>
    <cellStyle name="Calculation 4 3 12" xfId="2291" xr:uid="{E9BC57BE-0721-443D-BC7E-1B48B78CD8BD}"/>
    <cellStyle name="Calculation 4 3 12 2" xfId="2292" xr:uid="{8F9B7446-7347-43AE-96B8-E0749A533FFB}"/>
    <cellStyle name="Calculation 4 3 13" xfId="2293" xr:uid="{B2ECE763-FFE9-4C05-A19F-4E4EFBECC4A9}"/>
    <cellStyle name="Calculation 4 3 13 2" xfId="2294" xr:uid="{40466F93-4D3E-45AA-98DC-4B92A306F0F5}"/>
    <cellStyle name="Calculation 4 3 14" xfId="2295" xr:uid="{0459D572-ECA3-4241-AC56-DB5A5F1DCBF3}"/>
    <cellStyle name="Calculation 4 3 14 2" xfId="2296" xr:uid="{E579FBB1-564D-4D85-83ED-19E4D4551C3C}"/>
    <cellStyle name="Calculation 4 3 15" xfId="2297" xr:uid="{04723668-70E5-4858-AD03-ECE4291D5352}"/>
    <cellStyle name="Calculation 4 3 15 2" xfId="2298" xr:uid="{AB7B876D-C600-44F6-8DC1-531CE820D293}"/>
    <cellStyle name="Calculation 4 3 2" xfId="2299" xr:uid="{CA1712A4-99DA-4C5C-A0B7-BE55E0A28B23}"/>
    <cellStyle name="Calculation 4 3 2 2" xfId="2300" xr:uid="{42B04365-9F7C-41B9-9CBC-BCBB2B5F4DEB}"/>
    <cellStyle name="Calculation 4 3 3" xfId="2301" xr:uid="{C06A8F6A-533E-4899-AA16-AD36FDA1F60A}"/>
    <cellStyle name="Calculation 4 3 3 2" xfId="2302" xr:uid="{155AC7E3-A6D8-47EA-AA4E-6E044B0670B6}"/>
    <cellStyle name="Calculation 4 3 4" xfId="2303" xr:uid="{B5B60498-7C94-44C3-8078-18C990E3ED7F}"/>
    <cellStyle name="Calculation 4 3 4 2" xfId="2304" xr:uid="{022BCBB4-D0B0-4DF5-B73F-B18F8D8F80E1}"/>
    <cellStyle name="Calculation 4 3 5" xfId="2305" xr:uid="{60CD7975-DE58-4172-AF90-7A5532F3EE5E}"/>
    <cellStyle name="Calculation 4 3 5 2" xfId="2306" xr:uid="{CAB8FB5F-ABD3-420B-92F2-C4B5ADC62EB7}"/>
    <cellStyle name="Calculation 4 3 6" xfId="2307" xr:uid="{8D0BCE33-1DBE-418E-BD41-BC9DC78112F7}"/>
    <cellStyle name="Calculation 4 3 6 2" xfId="2308" xr:uid="{15F50154-403C-4A17-80A4-DC71EAE9A227}"/>
    <cellStyle name="Calculation 4 3 7" xfId="2309" xr:uid="{F92FAD58-5BE5-4703-9FAB-BD906D3643B8}"/>
    <cellStyle name="Calculation 4 3 7 2" xfId="2310" xr:uid="{17A49AED-4428-4D9F-9D00-3B106AC44498}"/>
    <cellStyle name="Calculation 4 3 8" xfId="2311" xr:uid="{4AD4CF35-AF5F-49F5-A9F8-6709C2F35511}"/>
    <cellStyle name="Calculation 4 3 8 2" xfId="2312" xr:uid="{2FEB42B6-9247-4A73-8456-C144F59EFDA9}"/>
    <cellStyle name="Calculation 4 3 9" xfId="2313" xr:uid="{CA72242A-4DC2-48B3-8149-C981EB2A56CE}"/>
    <cellStyle name="Calculation 4 3 9 2" xfId="2314" xr:uid="{729403CF-394A-4921-8F4A-6CEC7251E073}"/>
    <cellStyle name="Calculation 4 4" xfId="2315" xr:uid="{2153AE40-6D6C-4EC3-A69D-57D1DBFE3988}"/>
    <cellStyle name="Calculation 4 4 2" xfId="2316" xr:uid="{691002EA-F4E0-4AA6-9230-358000FF1181}"/>
    <cellStyle name="Calculation 4 5" xfId="2317" xr:uid="{A25807CD-48CD-44FB-A8B0-1D305DD5E161}"/>
    <cellStyle name="Calculation 4 5 2" xfId="2318" xr:uid="{C07C172B-4E22-40C4-BD04-8AAE380B1B4D}"/>
    <cellStyle name="Calculation 4 6" xfId="2319" xr:uid="{9357D0EE-9FBA-4293-8614-0ACE6A24BA5B}"/>
    <cellStyle name="Calculation 4 6 2" xfId="2320" xr:uid="{FB0A8B40-5EF8-4524-AECF-263A4EDA5490}"/>
    <cellStyle name="Calculation 4 7" xfId="2321" xr:uid="{A66A8711-1644-43A8-8737-6DEE08E3ACAE}"/>
    <cellStyle name="Calculation 4 7 2" xfId="2322" xr:uid="{2A160381-D849-4FCF-B6CE-75E3CDCF1BFC}"/>
    <cellStyle name="Calculation 4 8" xfId="2323" xr:uid="{542E4B07-68A4-456E-93C7-DF861AF5373E}"/>
    <cellStyle name="Calculation 4 8 2" xfId="2324" xr:uid="{0C8B3E1C-7B75-46F0-AFCD-9E7009E435E8}"/>
    <cellStyle name="Calculation 4 9" xfId="2325" xr:uid="{5E65DBDA-87E7-49AD-808D-7FFBFB6F2CAB}"/>
    <cellStyle name="Calculation 4 9 2" xfId="2326" xr:uid="{86637C34-0ACC-46D6-A9D8-5FAEE6F4BFC0}"/>
    <cellStyle name="Calculation 5" xfId="2327" xr:uid="{B68CE119-7077-4348-A35D-A951162589F9}"/>
    <cellStyle name="Calculation 5 10" xfId="2328" xr:uid="{691F6588-AC75-48F1-93B3-EC4876E78F36}"/>
    <cellStyle name="Calculation 5 10 2" xfId="2329" xr:uid="{FBE20883-CA0C-4DD2-926A-5D40DD730B42}"/>
    <cellStyle name="Calculation 5 11" xfId="2330" xr:uid="{28DBCDF9-4303-4801-9AF3-23D5470E0E56}"/>
    <cellStyle name="Calculation 5 11 2" xfId="2331" xr:uid="{E3B20FBD-3151-4347-8717-6EF85460F70D}"/>
    <cellStyle name="Calculation 5 12" xfId="2332" xr:uid="{A12ECD0E-F425-42A0-9155-509030C50686}"/>
    <cellStyle name="Calculation 5 12 2" xfId="2333" xr:uid="{C41EC7A0-996E-42A7-AB02-6D2A80A4B6C3}"/>
    <cellStyle name="Calculation 5 13" xfId="2334" xr:uid="{A84CFBE2-3954-4D6C-AC73-27A0A65257A2}"/>
    <cellStyle name="Calculation 5 13 2" xfId="2335" xr:uid="{D5E7B445-004D-43B4-8DF6-E1F201A8B3D4}"/>
    <cellStyle name="Calculation 5 14" xfId="2336" xr:uid="{5FD1A31F-DCEB-4FF8-BB14-59B73D6EED8C}"/>
    <cellStyle name="Calculation 5 14 2" xfId="2337" xr:uid="{34CCDD6B-3BB6-4FCD-A152-D4FBE36A4DDA}"/>
    <cellStyle name="Calculation 5 15" xfId="2338" xr:uid="{CCB90A57-6A55-42BD-A2CB-CE5B103C66A4}"/>
    <cellStyle name="Calculation 5 15 2" xfId="2339" xr:uid="{E7AB5702-4DEE-40C6-9B98-BAC1025F9CBB}"/>
    <cellStyle name="Calculation 5 16" xfId="2340" xr:uid="{A54A809D-A57C-4F10-9B84-8023D41BDB9F}"/>
    <cellStyle name="Calculation 5 16 2" xfId="2341" xr:uid="{BB5AC9DA-7809-4B60-A2F9-0E1DF4FF7166}"/>
    <cellStyle name="Calculation 5 17" xfId="2342" xr:uid="{7F998C6E-2257-4B6D-90A4-3D4C72D26447}"/>
    <cellStyle name="Calculation 5 17 2" xfId="2343" xr:uid="{1C92DC3E-9A42-446A-8E4D-E501AABECE3D}"/>
    <cellStyle name="Calculation 5 2" xfId="2344" xr:uid="{AD947181-2EDD-4901-9677-89C8596FA818}"/>
    <cellStyle name="Calculation 5 2 10" xfId="2345" xr:uid="{78BE0A58-99BD-4984-B118-042819B15E67}"/>
    <cellStyle name="Calculation 5 2 10 2" xfId="2346" xr:uid="{7801953E-D7F3-47E7-8DD1-0CE22AC120CE}"/>
    <cellStyle name="Calculation 5 2 11" xfId="2347" xr:uid="{AC9F312F-7EE0-46C5-9E20-FCAD452B08FD}"/>
    <cellStyle name="Calculation 5 2 11 2" xfId="2348" xr:uid="{E1A5B026-0AD7-4179-9E16-7EEC1FCD16F7}"/>
    <cellStyle name="Calculation 5 2 12" xfId="2349" xr:uid="{51CAF23D-F6B6-4605-9A64-20CBA00137C3}"/>
    <cellStyle name="Calculation 5 2 12 2" xfId="2350" xr:uid="{FDF0B344-2C19-42B0-B974-DA00786D4618}"/>
    <cellStyle name="Calculation 5 2 13" xfId="2351" xr:uid="{BEC190C5-A28D-4A1C-8673-0A00B2D914AE}"/>
    <cellStyle name="Calculation 5 2 13 2" xfId="2352" xr:uid="{242C1094-AE93-4346-85A0-EDDA40690DE0}"/>
    <cellStyle name="Calculation 5 2 14" xfId="2353" xr:uid="{9635EE9C-6C60-4C7A-9E2C-8F8F5EB1A7C4}"/>
    <cellStyle name="Calculation 5 2 14 2" xfId="2354" xr:uid="{A307935D-072A-41F1-8654-80733C0A581D}"/>
    <cellStyle name="Calculation 5 2 15" xfId="2355" xr:uid="{958EB5A6-BC69-46D3-8D24-FEC5B6798F7B}"/>
    <cellStyle name="Calculation 5 2 15 2" xfId="2356" xr:uid="{6E5942F7-D739-4606-9715-E7F05BE8D18D}"/>
    <cellStyle name="Calculation 5 2 2" xfId="2357" xr:uid="{F2959E01-27A8-4BE3-9AF6-37FB8BF38ADA}"/>
    <cellStyle name="Calculation 5 2 2 2" xfId="2358" xr:uid="{CEA03F29-2834-4A99-930C-AAA668B1C00A}"/>
    <cellStyle name="Calculation 5 2 3" xfId="2359" xr:uid="{627655DD-0C5E-4AEA-9A6F-70DB1B04BCE9}"/>
    <cellStyle name="Calculation 5 2 3 2" xfId="2360" xr:uid="{E369A9E3-C591-4AFC-AD78-0C8678F771A8}"/>
    <cellStyle name="Calculation 5 2 4" xfId="2361" xr:uid="{9F2F5FE9-A09C-4535-8C81-8C1AD08ABE27}"/>
    <cellStyle name="Calculation 5 2 4 2" xfId="2362" xr:uid="{8C329B03-D448-4163-9F32-874F5D0624E4}"/>
    <cellStyle name="Calculation 5 2 5" xfId="2363" xr:uid="{6B1A9067-B4DE-4DA9-8919-34F6B99C004D}"/>
    <cellStyle name="Calculation 5 2 5 2" xfId="2364" xr:uid="{A5C3D6DC-AE47-42B7-863F-1A43E84E6025}"/>
    <cellStyle name="Calculation 5 2 6" xfId="2365" xr:uid="{161BA234-6E6C-4C9C-A439-70A754B921A3}"/>
    <cellStyle name="Calculation 5 2 6 2" xfId="2366" xr:uid="{0DF63CF8-9613-4360-9BC5-DC5E8FD160D7}"/>
    <cellStyle name="Calculation 5 2 7" xfId="2367" xr:uid="{E91127B5-7FA2-4011-A322-120CB5343167}"/>
    <cellStyle name="Calculation 5 2 7 2" xfId="2368" xr:uid="{E9BB6AED-7E3D-4CFF-B04B-E40184D609D9}"/>
    <cellStyle name="Calculation 5 2 8" xfId="2369" xr:uid="{F107DCDE-E326-4624-B6F4-5D4CD9BAB58C}"/>
    <cellStyle name="Calculation 5 2 8 2" xfId="2370" xr:uid="{967D7A35-DF9D-4197-8668-EEF7EED2BA75}"/>
    <cellStyle name="Calculation 5 2 9" xfId="2371" xr:uid="{72B7598D-0E86-4E73-A1C2-7A564815E9C3}"/>
    <cellStyle name="Calculation 5 2 9 2" xfId="2372" xr:uid="{3986B62A-DF19-4303-8D71-66D3C2753F7F}"/>
    <cellStyle name="Calculation 5 3" xfId="2373" xr:uid="{6F04893E-C6A5-4000-B655-A20156A75054}"/>
    <cellStyle name="Calculation 5 3 10" xfId="2374" xr:uid="{E076F0D9-B803-44A5-AEB4-E8C9FF9C88F7}"/>
    <cellStyle name="Calculation 5 3 10 2" xfId="2375" xr:uid="{93D3479A-6334-41DD-B98D-A876319314B7}"/>
    <cellStyle name="Calculation 5 3 11" xfId="2376" xr:uid="{5137AF81-694A-4D72-9868-DAF0E5FB920F}"/>
    <cellStyle name="Calculation 5 3 11 2" xfId="2377" xr:uid="{09330003-38FA-45F2-A02E-57AA6A5DC8F0}"/>
    <cellStyle name="Calculation 5 3 12" xfId="2378" xr:uid="{1952FA0A-EF71-4096-B2F0-EA4C90EBE975}"/>
    <cellStyle name="Calculation 5 3 12 2" xfId="2379" xr:uid="{AD0803EE-C43E-405F-839E-B7C576B99AE5}"/>
    <cellStyle name="Calculation 5 3 13" xfId="2380" xr:uid="{EBC32A56-B15D-47AB-A39D-E04AD1FB28A0}"/>
    <cellStyle name="Calculation 5 3 13 2" xfId="2381" xr:uid="{88A2C889-C437-4910-B45B-98E1F1695FE0}"/>
    <cellStyle name="Calculation 5 3 14" xfId="2382" xr:uid="{26787F98-766E-4336-BC6A-F991F9677962}"/>
    <cellStyle name="Calculation 5 3 14 2" xfId="2383" xr:uid="{0358DB82-892F-4BD7-8A23-91B5AB056B6E}"/>
    <cellStyle name="Calculation 5 3 15" xfId="2384" xr:uid="{4C71B342-5F4B-48E2-BDA4-0C723FFC1BC2}"/>
    <cellStyle name="Calculation 5 3 15 2" xfId="2385" xr:uid="{B6ADFF84-9F05-4AE6-B3DB-EF85CB14BF02}"/>
    <cellStyle name="Calculation 5 3 2" xfId="2386" xr:uid="{3C190CEC-1C64-4D5A-B2AB-43AF7F012D01}"/>
    <cellStyle name="Calculation 5 3 2 2" xfId="2387" xr:uid="{D9DE522D-1876-4899-BB5A-FA379202DDA2}"/>
    <cellStyle name="Calculation 5 3 3" xfId="2388" xr:uid="{BA38483F-72F7-4673-8872-CAFACFA655E2}"/>
    <cellStyle name="Calculation 5 3 3 2" xfId="2389" xr:uid="{C604F26A-ED5E-446A-8C1C-7AFCA9E8B411}"/>
    <cellStyle name="Calculation 5 3 4" xfId="2390" xr:uid="{96E3279E-47C8-436A-8E82-20B8009BD443}"/>
    <cellStyle name="Calculation 5 3 4 2" xfId="2391" xr:uid="{0121B498-9955-4396-9C99-4CB82E43C31D}"/>
    <cellStyle name="Calculation 5 3 5" xfId="2392" xr:uid="{716BF147-8E8B-4C1A-8B0E-0932FE5B3CF5}"/>
    <cellStyle name="Calculation 5 3 5 2" xfId="2393" xr:uid="{C90A9B02-60FE-44E6-AC56-AE9AFF0AE539}"/>
    <cellStyle name="Calculation 5 3 6" xfId="2394" xr:uid="{5F726646-CDDA-408D-9160-B33EE2D9A883}"/>
    <cellStyle name="Calculation 5 3 6 2" xfId="2395" xr:uid="{0157E894-BF1E-4923-A7AF-0E77D3E0C75E}"/>
    <cellStyle name="Calculation 5 3 7" xfId="2396" xr:uid="{4E186B00-4C54-4ED4-BA33-55056E10D2F8}"/>
    <cellStyle name="Calculation 5 3 7 2" xfId="2397" xr:uid="{CB85513F-1E74-467C-8178-2BE3DA6595F2}"/>
    <cellStyle name="Calculation 5 3 8" xfId="2398" xr:uid="{4697E041-8337-4D9E-A6D7-8A2E83A61090}"/>
    <cellStyle name="Calculation 5 3 8 2" xfId="2399" xr:uid="{0F3D3545-F223-47E6-9BBD-07F2149F4847}"/>
    <cellStyle name="Calculation 5 3 9" xfId="2400" xr:uid="{2A3AF4F7-6A34-4CC9-B4F1-5BF52F6BE1CC}"/>
    <cellStyle name="Calculation 5 3 9 2" xfId="2401" xr:uid="{3C031492-4524-486C-8F03-9CDA904BE8D3}"/>
    <cellStyle name="Calculation 5 4" xfId="2402" xr:uid="{8178B4EF-7570-48D0-9020-97F8159105B2}"/>
    <cellStyle name="Calculation 5 4 2" xfId="2403" xr:uid="{A834DB5B-FC7F-457A-A814-D985B49BD672}"/>
    <cellStyle name="Calculation 5 5" xfId="2404" xr:uid="{5C2625F1-C739-4B16-A6F9-257F1744AF83}"/>
    <cellStyle name="Calculation 5 5 2" xfId="2405" xr:uid="{7362A328-8B0F-44C2-A4B9-BC51CEF63A54}"/>
    <cellStyle name="Calculation 5 6" xfId="2406" xr:uid="{12125EBB-2A39-4EDA-919E-56538EFD6402}"/>
    <cellStyle name="Calculation 5 6 2" xfId="2407" xr:uid="{49CE40C0-8553-40FC-89DC-9B38F768391F}"/>
    <cellStyle name="Calculation 5 7" xfId="2408" xr:uid="{74CEB623-8491-4811-BDB9-F6263E5D6B1F}"/>
    <cellStyle name="Calculation 5 7 2" xfId="2409" xr:uid="{57B9967D-E797-4B87-B20A-CFC5B30A4AC4}"/>
    <cellStyle name="Calculation 5 8" xfId="2410" xr:uid="{E21AA454-11EE-479E-ABC1-C721CA7A964E}"/>
    <cellStyle name="Calculation 5 8 2" xfId="2411" xr:uid="{C2CDAF08-E90E-4CB9-BECE-3A967E470DB3}"/>
    <cellStyle name="Calculation 5 9" xfId="2412" xr:uid="{125D3EA0-6DF4-4721-971B-31BB2BB278D7}"/>
    <cellStyle name="Calculation 5 9 2" xfId="2413" xr:uid="{97DF0ED6-573D-402E-B14F-6F52A528BB84}"/>
    <cellStyle name="Calculation 6" xfId="2414" xr:uid="{78C26D73-0E9F-4C5A-8FA8-B405156DC77B}"/>
    <cellStyle name="Calculation 6 10" xfId="2415" xr:uid="{E8A246B9-A705-4417-A7BA-499BCE72CB42}"/>
    <cellStyle name="Calculation 6 10 2" xfId="2416" xr:uid="{15100BF9-F649-40FF-8CAF-FD7332A46146}"/>
    <cellStyle name="Calculation 6 11" xfId="2417" xr:uid="{9E49EEB5-BDF0-4D77-8F08-1D2E3C8810F0}"/>
    <cellStyle name="Calculation 6 11 2" xfId="2418" xr:uid="{E2B04335-0510-4952-B3A7-EEC3C4414C74}"/>
    <cellStyle name="Calculation 6 12" xfId="2419" xr:uid="{9E2494BF-8F3D-4B36-B96E-B8AE8D825A3F}"/>
    <cellStyle name="Calculation 6 12 2" xfId="2420" xr:uid="{6BFF6F49-7679-4AE7-AAE8-57CCF9CF89F1}"/>
    <cellStyle name="Calculation 6 13" xfId="2421" xr:uid="{BA6A07A0-29E0-451D-80D5-9EA499A54909}"/>
    <cellStyle name="Calculation 6 13 2" xfId="2422" xr:uid="{FEE81AA1-A4DE-4592-83C4-1D0B9CEBE6DB}"/>
    <cellStyle name="Calculation 6 14" xfId="2423" xr:uid="{5CF0DBAA-F3E4-4012-9103-9838FCCD6DEC}"/>
    <cellStyle name="Calculation 6 14 2" xfId="2424" xr:uid="{4A33EA44-37B1-40BE-A49F-AFD44C2FACE0}"/>
    <cellStyle name="Calculation 6 15" xfId="2425" xr:uid="{AF7A78FF-D19C-4E50-88D1-0248670F6A98}"/>
    <cellStyle name="Calculation 6 15 2" xfId="2426" xr:uid="{01A31C35-AADC-4C9B-BB55-FF69F7253707}"/>
    <cellStyle name="Calculation 6 2" xfId="2427" xr:uid="{4C2CFE76-FFA2-4C74-8382-2B9E9C4C3FBF}"/>
    <cellStyle name="Calculation 6 2 2" xfId="2428" xr:uid="{CB179340-A3C7-46D5-B824-EA139A1CF24A}"/>
    <cellStyle name="Calculation 6 3" xfId="2429" xr:uid="{F6EFA1CF-8A5E-4C09-B158-6885611BD2C4}"/>
    <cellStyle name="Calculation 6 3 2" xfId="2430" xr:uid="{E91A3373-A991-4DCD-B98E-E7BD2120EC38}"/>
    <cellStyle name="Calculation 6 4" xfId="2431" xr:uid="{3B294EBE-DAD1-455E-BF62-4C3469B22D6E}"/>
    <cellStyle name="Calculation 6 4 2" xfId="2432" xr:uid="{706F86D9-052B-425E-BC18-F00AED671211}"/>
    <cellStyle name="Calculation 6 5" xfId="2433" xr:uid="{D60E63A8-A63E-4A53-96E9-59918618334A}"/>
    <cellStyle name="Calculation 6 5 2" xfId="2434" xr:uid="{0A4B3279-59A2-4906-9DD5-B948E7F528AC}"/>
    <cellStyle name="Calculation 6 6" xfId="2435" xr:uid="{407603E1-D4D8-4EF9-B8B4-3BF9D2EB19F7}"/>
    <cellStyle name="Calculation 6 6 2" xfId="2436" xr:uid="{A67BC168-AB2B-44F9-A992-0E0A81962B03}"/>
    <cellStyle name="Calculation 6 7" xfId="2437" xr:uid="{47EAE124-1B50-4CBC-8E8D-BFBB062AAE4A}"/>
    <cellStyle name="Calculation 6 7 2" xfId="2438" xr:uid="{47282CC3-1F8A-4C8D-B6BB-FD0FD2CA8E9C}"/>
    <cellStyle name="Calculation 6 8" xfId="2439" xr:uid="{B59127C4-6AD5-4090-9F2A-3D80E42AAA6A}"/>
    <cellStyle name="Calculation 6 8 2" xfId="2440" xr:uid="{B561DA4F-3217-4BC1-A65B-6878C114DC0F}"/>
    <cellStyle name="Calculation 6 9" xfId="2441" xr:uid="{2A25B252-395B-466F-83E7-4ECD48C8CBB7}"/>
    <cellStyle name="Calculation 6 9 2" xfId="2442" xr:uid="{65D20239-706C-4FBA-B32B-D07F6E7FF141}"/>
    <cellStyle name="Calculation 7" xfId="2443" xr:uid="{AB611941-4C0D-4914-8B6D-14CFA47AE881}"/>
    <cellStyle name="Calculation 7 2" xfId="2444" xr:uid="{522B4615-8FB0-4505-BDB9-07F2A6DDC3CE}"/>
    <cellStyle name="Calculation 8" xfId="2445" xr:uid="{B854138C-8F1E-492E-95FB-A30E92FC7F2D}"/>
    <cellStyle name="Calculation 8 2" xfId="2446" xr:uid="{FE8B0255-0DDE-48DD-936C-AC44E242502D}"/>
    <cellStyle name="Calculation 9" xfId="2447" xr:uid="{7080D960-6492-41C7-9278-1FFE4AE64794}"/>
    <cellStyle name="Calculation 9 2" xfId="2448" xr:uid="{94CAE91D-58A8-4973-AABD-C95A18DAAB7D}"/>
    <cellStyle name="Calculation Total" xfId="2449" xr:uid="{ADB49C65-8F47-4E74-8F47-DCDB673DB59F}"/>
    <cellStyle name="Cálculo" xfId="291" xr:uid="{00000000-0005-0000-0000-0000D1010000}"/>
    <cellStyle name="Cálculo 2" xfId="1466" xr:uid="{00000000-0005-0000-0000-0000D2010000}"/>
    <cellStyle name="Cálculo 3" xfId="1598" xr:uid="{00000000-0005-0000-0000-0000D3010000}"/>
    <cellStyle name="Celda de comprobación" xfId="292" xr:uid="{00000000-0005-0000-0000-0000D4010000}"/>
    <cellStyle name="Celda vinculada" xfId="293" xr:uid="{00000000-0005-0000-0000-0000D5010000}"/>
    <cellStyle name="Cellule liée" xfId="294" xr:uid="{00000000-0005-0000-0000-0000D6010000}"/>
    <cellStyle name="Cellule liée 2" xfId="1149" xr:uid="{00000000-0005-0000-0000-0000D7010000}"/>
    <cellStyle name="Check Box" xfId="295" xr:uid="{00000000-0005-0000-0000-0000D8010000}"/>
    <cellStyle name="Check Box Input" xfId="296" xr:uid="{00000000-0005-0000-0000-0000D9010000}"/>
    <cellStyle name="Check Box_First Capital Connect Financial Model" xfId="297" xr:uid="{00000000-0005-0000-0000-0000DA010000}"/>
    <cellStyle name="Check Cell 2" xfId="298" xr:uid="{00000000-0005-0000-0000-0000DB010000}"/>
    <cellStyle name="Check Cell 2 2" xfId="2451" xr:uid="{79DFE77C-A2FF-4384-97DB-E16257A6DB60}"/>
    <cellStyle name="Check Cell 2_T1 ANSP" xfId="2450" xr:uid="{E8EA12FD-A1DA-48C5-A1A0-D9F21BC0754D}"/>
    <cellStyle name="Check Cell 3" xfId="2452" xr:uid="{C7741668-749B-46A8-B006-605AD1F3D597}"/>
    <cellStyle name="Check Start" xfId="2453" xr:uid="{968CDA8A-4DD1-4495-829D-488A06F26DF6}"/>
    <cellStyle name="Cím 2" xfId="1150" xr:uid="{00000000-0005-0000-0000-0000DC010000}"/>
    <cellStyle name="Címsor 1 2" xfId="1151" xr:uid="{00000000-0005-0000-0000-0000DD010000}"/>
    <cellStyle name="Címsor 2 2" xfId="1152" xr:uid="{00000000-0005-0000-0000-0000DE010000}"/>
    <cellStyle name="Címsor 3 2" xfId="1153" xr:uid="{00000000-0005-0000-0000-0000DF010000}"/>
    <cellStyle name="Címsor 4 2" xfId="1154" xr:uid="{00000000-0005-0000-0000-0000E0010000}"/>
    <cellStyle name="colorcomma" xfId="2454" xr:uid="{333F4A3D-58DF-41BB-A68D-0EDFF2AB72BA}"/>
    <cellStyle name="Column Title" xfId="299" xr:uid="{00000000-0005-0000-0000-0000E1010000}"/>
    <cellStyle name="Column Title 2" xfId="2456" xr:uid="{5C6BD637-2D85-4A70-84B4-E4E3353EE27C}"/>
    <cellStyle name="Column Title_T1 ANSP" xfId="2455" xr:uid="{2FE6D3F7-2271-40F6-AFA5-0F044A32561E}"/>
    <cellStyle name="Comma" xfId="1" builtinId="3"/>
    <cellStyle name="comma (2)" xfId="301" xr:uid="{00000000-0005-0000-0000-0000E3010000}"/>
    <cellStyle name="Comma 0" xfId="2457" xr:uid="{FB636E1B-17E1-48EA-960B-D67A192BF032}"/>
    <cellStyle name="Comma 10" xfId="302" xr:uid="{00000000-0005-0000-0000-0000E4010000}"/>
    <cellStyle name="Comma 10 2" xfId="975" xr:uid="{00000000-0005-0000-0000-0000E5010000}"/>
    <cellStyle name="Comma 10 2 2" xfId="1303" xr:uid="{00000000-0005-0000-0000-0000E6010000}"/>
    <cellStyle name="Comma 10 2 2 2" xfId="2460" xr:uid="{A891938E-5CB7-4CFC-B220-5EA84CFAB40F}"/>
    <cellStyle name="Comma 10 2 2 2 2" xfId="24968" xr:uid="{9A8822DA-2A83-4D07-97E5-184363F1AD13}"/>
    <cellStyle name="Comma 10 2 2 3" xfId="24817" xr:uid="{F7D318AF-2F8D-45BF-99F4-4D7B0ECE3438}"/>
    <cellStyle name="Comma 10 2 3" xfId="1372" xr:uid="{00000000-0005-0000-0000-0000E7010000}"/>
    <cellStyle name="Comma 10 2 3 2" xfId="24886" xr:uid="{70236A35-482A-4123-B9A3-99C28BC47A95}"/>
    <cellStyle name="Comma 10 2 4" xfId="24747" xr:uid="{1C1899B9-500A-4C28-9867-567A0A490A5A}"/>
    <cellStyle name="Comma 10 2_T1 ANSP" xfId="2459" xr:uid="{207C0CC4-6F73-49C8-B146-54C99ED9E956}"/>
    <cellStyle name="Comma 10 3" xfId="2461" xr:uid="{213F049B-C696-4082-A3BA-FE516982708D}"/>
    <cellStyle name="Comma 10 3 2" xfId="24969" xr:uid="{00C118A6-ED08-4DE9-9460-BD148E29293D}"/>
    <cellStyle name="Comma 10 4" xfId="2462" xr:uid="{8785B30C-A8CE-4EED-855D-21D66097E127}"/>
    <cellStyle name="Comma 10_T1 ANSP" xfId="2458" xr:uid="{0A6BA143-1A5B-4E79-907D-FC7B3635083A}"/>
    <cellStyle name="Comma 11" xfId="303" xr:uid="{00000000-0005-0000-0000-0000E8010000}"/>
    <cellStyle name="Comma 11 2" xfId="976" xr:uid="{00000000-0005-0000-0000-0000E9010000}"/>
    <cellStyle name="Comma 11 2 2" xfId="1304" xr:uid="{00000000-0005-0000-0000-0000EA010000}"/>
    <cellStyle name="Comma 11 2 2 2" xfId="2465" xr:uid="{9CEEA043-6B18-4DD8-9CB6-854B2E33F3FB}"/>
    <cellStyle name="Comma 11 2 2 2 2" xfId="24970" xr:uid="{5348E880-E8FD-4893-BF74-ACBFD80E772D}"/>
    <cellStyle name="Comma 11 2 2 3" xfId="24818" xr:uid="{67EB2EAF-DB3D-44F4-8A00-01B884AFF8B8}"/>
    <cellStyle name="Comma 11 2 3" xfId="1373" xr:uid="{00000000-0005-0000-0000-0000EB010000}"/>
    <cellStyle name="Comma 11 2 3 2" xfId="24887" xr:uid="{9AAE95C2-F0C7-4F00-800E-A74339741E98}"/>
    <cellStyle name="Comma 11 2 4" xfId="24748" xr:uid="{59131933-6800-4F62-891E-99FED5CE6886}"/>
    <cellStyle name="Comma 11 2_T1 ANSP" xfId="2464" xr:uid="{3BA5B709-C020-426D-8496-5E90A55FAEC3}"/>
    <cellStyle name="Comma 11 3" xfId="2466" xr:uid="{F0A1EDF6-FDF2-4C79-B023-C9BE52A38652}"/>
    <cellStyle name="Comma 11 3 2" xfId="24971" xr:uid="{5BD04CFE-33CF-47EF-AEB1-00C278926A02}"/>
    <cellStyle name="Comma 11 4" xfId="2467" xr:uid="{40199727-785C-46B3-BCFC-654A0E1B0EE7}"/>
    <cellStyle name="Comma 11_T1 ANSP" xfId="2463" xr:uid="{F697C4AD-061F-4528-BB7E-7C3E95847276}"/>
    <cellStyle name="Comma 12" xfId="1091" xr:uid="{00000000-0005-0000-0000-0000EC010000}"/>
    <cellStyle name="Comma 12 2" xfId="1088" xr:uid="{00000000-0005-0000-0000-0000ED010000}"/>
    <cellStyle name="Comma 12 2 2" xfId="1364" xr:uid="{00000000-0005-0000-0000-0000EE010000}"/>
    <cellStyle name="Comma 12 2 2 2" xfId="2470" xr:uid="{1A51A155-BF0F-4E3C-BC74-E9E967BEE263}"/>
    <cellStyle name="Comma 12 2 2 2 2" xfId="24972" xr:uid="{4FFC42A0-80B1-4B6C-8210-75051BF1C442}"/>
    <cellStyle name="Comma 12 2 2 3" xfId="24878" xr:uid="{ECAD3D20-C1AD-4FFB-A653-51B894D66C5D}"/>
    <cellStyle name="Comma 12 2 3" xfId="1433" xr:uid="{00000000-0005-0000-0000-0000EF010000}"/>
    <cellStyle name="Comma 12 2 3 2" xfId="24947" xr:uid="{B98DD6D7-5508-4C79-8784-CE75346239C3}"/>
    <cellStyle name="Comma 12 2 4" xfId="24808" xr:uid="{095C068B-0695-4C3F-87E5-9767AF5D60D5}"/>
    <cellStyle name="Comma 12 2_T1 ANSP" xfId="2469" xr:uid="{7DD8FC35-B5E0-4859-9E35-65CA6BC51FA0}"/>
    <cellStyle name="Comma 12 3" xfId="2471" xr:uid="{64527531-2DED-4D2F-9AA0-99BDD3E70A42}"/>
    <cellStyle name="Comma 12 3 2" xfId="24973" xr:uid="{84A2CE7A-411F-4B39-BC3E-DD6CEA2EA1EA}"/>
    <cellStyle name="Comma 12 4" xfId="2472" xr:uid="{828724FD-7D95-4CD9-A04A-B21D1B8F344D}"/>
    <cellStyle name="Comma 12_T1 ANSP" xfId="2468" xr:uid="{E1AFDA5D-D467-46D7-B34B-6443CF214718}"/>
    <cellStyle name="Comma 13" xfId="1155" xr:uid="{00000000-0005-0000-0000-0000F0010000}"/>
    <cellStyle name="Comma 13 2" xfId="2474" xr:uid="{CE70E6F8-DF89-4D15-B155-D9C3275398A9}"/>
    <cellStyle name="Comma 13 2 2" xfId="2475" xr:uid="{679D4CCA-949B-4419-B656-A7DD5800CCF0}"/>
    <cellStyle name="Comma 13 2 2 2" xfId="24974" xr:uid="{E09D6884-9675-48AE-9C4F-CD393D448AA0}"/>
    <cellStyle name="Comma 13 3" xfId="2476" xr:uid="{29E355C4-8195-48C8-A9B8-9C4ACD065780}"/>
    <cellStyle name="Comma 13 3 2" xfId="24975" xr:uid="{B7016843-5423-4690-8470-E23E0D2EC4A2}"/>
    <cellStyle name="Comma 13 4" xfId="2477" xr:uid="{F3EAD576-1667-4252-98DB-76A96E607A65}"/>
    <cellStyle name="Comma 13_T1 ANSP" xfId="2473" xr:uid="{77196AA8-92B9-43FA-A556-3EE888DFDD6B}"/>
    <cellStyle name="Comma 14" xfId="1156" xr:uid="{00000000-0005-0000-0000-0000F1010000}"/>
    <cellStyle name="Comma 14 2" xfId="2479" xr:uid="{3D66228C-F11B-4694-9AE6-996005C8A96E}"/>
    <cellStyle name="Comma 14 2 2" xfId="24976" xr:uid="{E0781353-F4C9-426F-A8B4-3F0A9F6F1820}"/>
    <cellStyle name="Comma 14 3" xfId="2480" xr:uid="{5BC2C51B-BE7E-40BD-B7D3-4D83F10034A8}"/>
    <cellStyle name="Comma 14_T1 ANSP" xfId="2478" xr:uid="{30736142-33A5-42CA-98FF-BE9F790697E0}"/>
    <cellStyle name="Comma 15" xfId="1157" xr:uid="{00000000-0005-0000-0000-0000F2010000}"/>
    <cellStyle name="Comma 15 2" xfId="2482" xr:uid="{5CE3732C-63CD-4857-ABA0-ACAA2E2A228E}"/>
    <cellStyle name="Comma 15 2 2" xfId="24977" xr:uid="{E8D713EE-16A4-4FEC-848A-68DBC289F620}"/>
    <cellStyle name="Comma 15 3" xfId="2483" xr:uid="{03238B1F-71F3-47B0-8229-3F0857B3B831}"/>
    <cellStyle name="Comma 15_T1 ANSP" xfId="2481" xr:uid="{B67EA7FC-2DCD-4DC0-8695-70D70B391CB3}"/>
    <cellStyle name="Comma 16" xfId="1158" xr:uid="{00000000-0005-0000-0000-0000F3010000}"/>
    <cellStyle name="Comma 16 2" xfId="2485" xr:uid="{89CD538D-C55B-4FD5-BAE7-DF4EA3146F6F}"/>
    <cellStyle name="Comma 16_T1 ANSP" xfId="2484" xr:uid="{665844D8-70E0-44E0-8F23-CEE0BACFC0FB}"/>
    <cellStyle name="Comma 17" xfId="300" xr:uid="{00000000-0005-0000-0000-0000F4010000}"/>
    <cellStyle name="Comma 17 2" xfId="2487" xr:uid="{0A5D9E20-ECD4-4A86-939E-0843C0DFD308}"/>
    <cellStyle name="Comma 17_T1 ANSP" xfId="2486" xr:uid="{8F2C4107-EA67-46A7-B366-626C402D0366}"/>
    <cellStyle name="Comma 18" xfId="1283" xr:uid="{00000000-0005-0000-0000-0000F5010000}"/>
    <cellStyle name="Comma 18 2" xfId="1367" xr:uid="{00000000-0005-0000-0000-0000F6010000}"/>
    <cellStyle name="Comma 18 2 2" xfId="24881" xr:uid="{9A84C7AA-C3E3-49DF-80DC-3FB987041986}"/>
    <cellStyle name="Comma 18 3" xfId="1435" xr:uid="{00000000-0005-0000-0000-0000F7010000}"/>
    <cellStyle name="Comma 18 3 2" xfId="24949" xr:uid="{F4D3475D-F611-4FC8-ABFD-DB1DB0F18FDE}"/>
    <cellStyle name="Comma 18 4" xfId="24810" xr:uid="{ADFF1A00-DA8C-4593-811A-2E6FA6849D7C}"/>
    <cellStyle name="Comma 19" xfId="1298" xr:uid="{00000000-0005-0000-0000-0000F8010000}"/>
    <cellStyle name="Comma 19 2" xfId="24812" xr:uid="{C4EC0096-176B-4FFF-9998-EB48A322C883}"/>
    <cellStyle name="Comma 2" xfId="304" xr:uid="{00000000-0005-0000-0000-0000F9010000}"/>
    <cellStyle name="Comma 2 2" xfId="305" xr:uid="{00000000-0005-0000-0000-0000FA010000}"/>
    <cellStyle name="Comma 2 2 2" xfId="978" xr:uid="{00000000-0005-0000-0000-0000FB010000}"/>
    <cellStyle name="Comma 2 2 2 2" xfId="1306" xr:uid="{00000000-0005-0000-0000-0000FC010000}"/>
    <cellStyle name="Comma 2 2 2 2 2" xfId="2491" xr:uid="{F626E39D-4095-4E8C-997F-D389E6EF9F54}"/>
    <cellStyle name="Comma 2 2 2 2 2 2" xfId="24978" xr:uid="{95C70860-45B8-40F5-AA2F-BD133DCECF80}"/>
    <cellStyle name="Comma 2 2 2 2 3" xfId="2492" xr:uid="{6D3E5597-4BFE-4833-983F-BB5583D86E0F}"/>
    <cellStyle name="Comma 2 2 2 2 3 2" xfId="24979" xr:uid="{CB3BDFBC-F43C-42C9-BF55-5EF7076628AF}"/>
    <cellStyle name="Comma 2 2 2 2 4" xfId="24820" xr:uid="{F7D53FF5-A419-4434-B623-052EEC984260}"/>
    <cellStyle name="Comma 2 2 2 2_T1 ANSP" xfId="2490" xr:uid="{12E7A7BF-73E0-475D-B78A-FB2695FE3322}"/>
    <cellStyle name="Comma 2 2 2 3" xfId="1375" xr:uid="{00000000-0005-0000-0000-0000FD010000}"/>
    <cellStyle name="Comma 2 2 2 3 2" xfId="24889" xr:uid="{98AA64C7-2B13-42D7-86A5-B01D8F7B67BF}"/>
    <cellStyle name="Comma 2 2 2 4" xfId="2493" xr:uid="{5ACBCC64-623D-41EE-8E91-4E4CC9FF0C3D}"/>
    <cellStyle name="Comma 2 2 2 4 2" xfId="24980" xr:uid="{776FCED6-0764-4D0D-B8D6-56589352BC0D}"/>
    <cellStyle name="Comma 2 2 2 5" xfId="24750" xr:uid="{3DC3274C-07A1-4E32-B343-4D70934D2537}"/>
    <cellStyle name="Comma 2 2 2_T1 ANSP" xfId="2489" xr:uid="{C93D5BD1-54D9-4F67-883C-3EB7D5C86C26}"/>
    <cellStyle name="Comma 2 2 3" xfId="1468" xr:uid="{00000000-0005-0000-0000-0000FE010000}"/>
    <cellStyle name="Comma 2 2 3 2" xfId="24959" xr:uid="{F94A3AE6-4250-4959-AE89-3E0A518417A2}"/>
    <cellStyle name="Comma 2 2_T1 ANSP" xfId="2488" xr:uid="{FD95C778-DC13-4169-B441-E0251F2F9198}"/>
    <cellStyle name="Comma 2 3" xfId="306" xr:uid="{00000000-0005-0000-0000-0000FF010000}"/>
    <cellStyle name="Comma 2 3 2" xfId="307" xr:uid="{00000000-0005-0000-0000-000000020000}"/>
    <cellStyle name="Comma 2 3 2 2" xfId="19" xr:uid="{00000000-0005-0000-0000-000001020000}"/>
    <cellStyle name="Comma 2 3 2 2 2" xfId="308" xr:uid="{00000000-0005-0000-0000-000002020000}"/>
    <cellStyle name="Comma 2 3 2 2 3" xfId="1299" xr:uid="{00000000-0005-0000-0000-000003020000}"/>
    <cellStyle name="Comma 2 3 2 2 3 2" xfId="24813" xr:uid="{F0B4B3C6-3F82-4C05-A4C7-963C4703EA01}"/>
    <cellStyle name="Comma 2 3 2 2 4" xfId="2497" xr:uid="{932C5458-318E-49BD-8B41-2B5E17978058}"/>
    <cellStyle name="Comma 2 3 2 2 4 2" xfId="24981" xr:uid="{DFB6C0B5-9A78-425A-A489-E5C8171B8402}"/>
    <cellStyle name="Comma 2 3 2 2_T1 ANSP" xfId="2496" xr:uid="{7C1D3BE3-11A6-4594-A162-0E044001B778}"/>
    <cellStyle name="Comma 2 3 2 3" xfId="980" xr:uid="{00000000-0005-0000-0000-000004020000}"/>
    <cellStyle name="Comma 2 3 2 3 2" xfId="1308" xr:uid="{00000000-0005-0000-0000-000005020000}"/>
    <cellStyle name="Comma 2 3 2 3 2 2" xfId="24822" xr:uid="{178B6F32-F32D-425A-A46F-D766BBB4EEFD}"/>
    <cellStyle name="Comma 2 3 2 3 3" xfId="1377" xr:uid="{00000000-0005-0000-0000-000006020000}"/>
    <cellStyle name="Comma 2 3 2 3 3 2" xfId="24891" xr:uid="{73F566C2-5858-4685-8B77-DE3994047AD4}"/>
    <cellStyle name="Comma 2 3 2 3 4" xfId="24752" xr:uid="{A9C5D381-C308-4F80-AD08-932175CE5336}"/>
    <cellStyle name="Comma 2 3 2 4" xfId="2498" xr:uid="{0DC9442C-970C-463E-9E65-6935FEE4EE53}"/>
    <cellStyle name="Comma 2 3 2_T1 ANSP" xfId="2495" xr:uid="{AC39E1B5-ED0F-4F94-9B2D-14D3529ABBAA}"/>
    <cellStyle name="Comma 2 3 3" xfId="979" xr:uid="{00000000-0005-0000-0000-000007020000}"/>
    <cellStyle name="Comma 2 3 3 2" xfId="1307" xr:uid="{00000000-0005-0000-0000-000008020000}"/>
    <cellStyle name="Comma 2 3 3 2 2" xfId="24821" xr:uid="{B31129CB-BE08-45F1-B68A-A12472E76E1A}"/>
    <cellStyle name="Comma 2 3 3 3" xfId="1376" xr:uid="{00000000-0005-0000-0000-000009020000}"/>
    <cellStyle name="Comma 2 3 3 3 2" xfId="24890" xr:uid="{18CB3CCB-8D37-400E-9702-C09F46588EB2}"/>
    <cellStyle name="Comma 2 3 3 4" xfId="24751" xr:uid="{0F5019D1-11BE-4932-84FD-73515CFC0224}"/>
    <cellStyle name="Comma 2 3 4" xfId="2499" xr:uid="{551526D7-0DA0-47D7-AB0A-1A465276FA2F}"/>
    <cellStyle name="Comma 2 3_T1 ANSP" xfId="2494" xr:uid="{99F96F29-9CF7-4972-B8B3-5BCC5761E6D3}"/>
    <cellStyle name="Comma 2 4" xfId="977" xr:uid="{00000000-0005-0000-0000-00000A020000}"/>
    <cellStyle name="Comma 2 4 2" xfId="1305" xr:uid="{00000000-0005-0000-0000-00000B020000}"/>
    <cellStyle name="Comma 2 4 2 2" xfId="2501" xr:uid="{C81DE134-00CD-4CA0-AA55-0F37D704EE5E}"/>
    <cellStyle name="Comma 2 4 2 2 2" xfId="24982" xr:uid="{C2D3B5E5-A07B-4C99-88AE-8E5908E38F4C}"/>
    <cellStyle name="Comma 2 4 2 3" xfId="24819" xr:uid="{332BAED6-E656-4C37-902F-85ED11499E5E}"/>
    <cellStyle name="Comma 2 4 3" xfId="1374" xr:uid="{00000000-0005-0000-0000-00000C020000}"/>
    <cellStyle name="Comma 2 4 3 2" xfId="24888" xr:uid="{3F40FBB3-A025-46DD-9BD8-C6DFCBC16276}"/>
    <cellStyle name="Comma 2 4 4" xfId="2502" xr:uid="{D06EAC26-5DF7-41E4-B9CB-6B748CD7AC71}"/>
    <cellStyle name="Comma 2 4 4 2" xfId="24983" xr:uid="{1BCA4F43-50D2-4AEC-B472-9FEE1725CAAC}"/>
    <cellStyle name="Comma 2 4 5" xfId="24749" xr:uid="{30CD5FCA-4D75-4CE7-91C4-3B11ABBF6FD2}"/>
    <cellStyle name="Comma 2 4_T1 ANSP" xfId="2500" xr:uid="{082C94B8-DEAC-4A13-95E6-F1DC97DD0D1D}"/>
    <cellStyle name="Comma 2 5" xfId="1287" xr:uid="{00000000-0005-0000-0000-00000D020000}"/>
    <cellStyle name="Comma 2 5 2" xfId="1368" xr:uid="{00000000-0005-0000-0000-00000E020000}"/>
    <cellStyle name="Comma 2 5 2 2" xfId="24882" xr:uid="{D491ECF9-85B9-4F65-890A-93956828C0B9}"/>
    <cellStyle name="Comma 2 5 3" xfId="1436" xr:uid="{00000000-0005-0000-0000-00000F020000}"/>
    <cellStyle name="Comma 2 5 3 2" xfId="24950" xr:uid="{562DF174-8267-4C53-BA4B-E1AF29CCB9C7}"/>
    <cellStyle name="Comma 2 5 4" xfId="24811" xr:uid="{993470D3-72BD-40B8-B137-566F5FD7D71D}"/>
    <cellStyle name="Comma 2 6" xfId="1439" xr:uid="{00000000-0005-0000-0000-000010020000}"/>
    <cellStyle name="Comma 2 6 2" xfId="24952" xr:uid="{F25D31C8-3018-439C-8DFC-BC56E2AE8E1F}"/>
    <cellStyle name="Comma 2 7" xfId="2503" xr:uid="{2D73DC34-A1C9-4EC0-ADDE-FF39B83142DC}"/>
    <cellStyle name="Comma 2 7 2" xfId="2504" xr:uid="{CB9F67A1-3F23-4C72-A18A-A6FE7E67A9FD}"/>
    <cellStyle name="Comma 2 7 2 2" xfId="24985" xr:uid="{97B8E2D4-DE64-4338-A371-4184ED373656}"/>
    <cellStyle name="Comma 2 7 3" xfId="24984" xr:uid="{C499DE52-1466-4693-A8CA-8D179FBA323E}"/>
    <cellStyle name="Comma 2_CB_Outputs" xfId="2505" xr:uid="{1B40C496-DB33-42B8-B47D-0E0AA9F5C25C}"/>
    <cellStyle name="Comma 20" xfId="1302" xr:uid="{00000000-0005-0000-0000-000011020000}"/>
    <cellStyle name="Comma 20 2" xfId="24816" xr:uid="{3855A129-1E3B-4DD6-B60D-660F84D1F222}"/>
    <cellStyle name="Comma 21" xfId="1366" xr:uid="{00000000-0005-0000-0000-000012020000}"/>
    <cellStyle name="Comma 21 2" xfId="2506" xr:uid="{6547CCD0-90D4-4CDE-9CA7-9F4BA5081207}"/>
    <cellStyle name="Comma 21 2 2" xfId="24986" xr:uid="{59D17FA8-B530-469B-B411-D173FFC26A8F}"/>
    <cellStyle name="Comma 21 3" xfId="24880" xr:uid="{DBFF1057-00E8-477F-BBC8-2EC28721C5C5}"/>
    <cellStyle name="Comma 22" xfId="1369" xr:uid="{00000000-0005-0000-0000-000013020000}"/>
    <cellStyle name="Comma 22 2" xfId="24883" xr:uid="{6E96AB78-0575-46C8-97E2-B7DE56917A6E}"/>
    <cellStyle name="Comma 23" xfId="1604" xr:uid="{00000000-0005-0000-0000-000014020000}"/>
    <cellStyle name="Comma 23 2" xfId="24967" xr:uid="{83F114AE-6A7B-489F-A404-F8D346D5119A}"/>
    <cellStyle name="Comma 24" xfId="1438" xr:uid="{00000000-0005-0000-0000-000015020000}"/>
    <cellStyle name="Comma 24 2" xfId="24951" xr:uid="{8924E2F5-F770-47D5-AC26-F46BF6A7FC11}"/>
    <cellStyle name="Comma 25" xfId="2507" xr:uid="{CE7871C8-DA4F-4796-BF43-19819780B11F}"/>
    <cellStyle name="Comma 25 2" xfId="24987" xr:uid="{A484DE14-7015-4B4B-8039-C14C8C37C0A8}"/>
    <cellStyle name="Comma 26" xfId="2508" xr:uid="{C66A3C33-8E8E-4BBE-8C8B-39DADE49D629}"/>
    <cellStyle name="Comma 26 2" xfId="24988" xr:uid="{7268273E-F1E9-4669-8076-58237BDA2C35}"/>
    <cellStyle name="Comma 27" xfId="2509" xr:uid="{81CC07F0-6668-4692-9A21-08F4366F30DF}"/>
    <cellStyle name="Comma 27 2" xfId="24989" xr:uid="{68749333-D928-4200-BBA2-D287793C2DA2}"/>
    <cellStyle name="Comma 28" xfId="2510" xr:uid="{E4A1B53B-9F8B-4957-A6D7-6A64778E42AD}"/>
    <cellStyle name="Comma 28 2" xfId="24990" xr:uid="{4BC69679-C99F-4245-A0A6-80FC2AE99BBC}"/>
    <cellStyle name="Comma 29" xfId="2511" xr:uid="{4C802257-DEE6-4930-935A-FED2466C9907}"/>
    <cellStyle name="Comma 29 2" xfId="24991" xr:uid="{5162A8FB-CBBD-4BE6-83E3-5090F810753C}"/>
    <cellStyle name="Comma 3" xfId="309" xr:uid="{00000000-0005-0000-0000-000016020000}"/>
    <cellStyle name="Comma 3 2" xfId="981" xr:uid="{00000000-0005-0000-0000-000017020000}"/>
    <cellStyle name="Comma 3 2 2" xfId="1309" xr:uid="{00000000-0005-0000-0000-000018020000}"/>
    <cellStyle name="Comma 3 2 2 2" xfId="2515" xr:uid="{3A94B07E-6248-4A60-BE34-36A0A6045165}"/>
    <cellStyle name="Comma 3 2 2 2 2" xfId="24992" xr:uid="{123D95FA-B8B7-4065-B91C-87CA8E7FFEFB}"/>
    <cellStyle name="Comma 3 2 2 3" xfId="2516" xr:uid="{4684D0DA-F16C-4B88-B92F-E6864F10A3AB}"/>
    <cellStyle name="Comma 3 2 2 3 2" xfId="24993" xr:uid="{3B8CC036-3ABC-4AAA-A660-E70C3ADB5D7D}"/>
    <cellStyle name="Comma 3 2 2 4" xfId="24823" xr:uid="{BC4AD9AE-0ED7-495D-B213-096A84D08756}"/>
    <cellStyle name="Comma 3 2 2_T1 ANSP" xfId="2514" xr:uid="{41653764-719E-4485-8B59-FC4F4C19B404}"/>
    <cellStyle name="Comma 3 2 3" xfId="1378" xr:uid="{00000000-0005-0000-0000-000019020000}"/>
    <cellStyle name="Comma 3 2 3 2" xfId="24892" xr:uid="{2ADF859F-AD03-4341-834A-0CDFB7CEA2CE}"/>
    <cellStyle name="Comma 3 2 4" xfId="1469" xr:uid="{00000000-0005-0000-0000-00001A020000}"/>
    <cellStyle name="Comma 3 2 4 2" xfId="24960" xr:uid="{AD0E4EAF-89F8-4943-B6F4-DDB3CB8DD894}"/>
    <cellStyle name="Comma 3 2 5" xfId="24753" xr:uid="{9C941F09-ED4A-4340-864B-B44731B2F2C3}"/>
    <cellStyle name="Comma 3 2_T1 ANSP" xfId="2513" xr:uid="{9C4E6071-4B36-45AD-A41A-6C54B083FA8E}"/>
    <cellStyle name="Comma 3 3" xfId="1159" xr:uid="{00000000-0005-0000-0000-00001B020000}"/>
    <cellStyle name="Comma 3 3 2" xfId="1365" xr:uid="{00000000-0005-0000-0000-00001C020000}"/>
    <cellStyle name="Comma 3 3 2 2" xfId="2519" xr:uid="{18E7CAF5-3B48-4ACF-9B11-4D6C6E9EF347}"/>
    <cellStyle name="Comma 3 3 2 2 2" xfId="24994" xr:uid="{67F5AF54-6940-42E3-ACFB-2461AE813B92}"/>
    <cellStyle name="Comma 3 3 2 3" xfId="2520" xr:uid="{D9F11F72-587F-45C9-B354-2D624168C8A3}"/>
    <cellStyle name="Comma 3 3 2 3 2" xfId="24995" xr:uid="{13E1C4FE-A685-49C3-ADCB-E184AE77922A}"/>
    <cellStyle name="Comma 3 3 2 4" xfId="24879" xr:uid="{4EC2842B-C543-4133-8B18-AD49B464BA83}"/>
    <cellStyle name="Comma 3 3 2_T1 ANSP" xfId="2518" xr:uid="{446819CF-6320-48F5-B878-CC6CE7FC93B8}"/>
    <cellStyle name="Comma 3 3 3" xfId="1434" xr:uid="{00000000-0005-0000-0000-00001D020000}"/>
    <cellStyle name="Comma 3 3 3 2" xfId="24948" xr:uid="{A2D7DECD-3BFE-4B57-BCB8-2625D3FD4117}"/>
    <cellStyle name="Comma 3 3 4" xfId="2521" xr:uid="{F9C06B2C-D138-4967-9480-E6F1BC8296BC}"/>
    <cellStyle name="Comma 3 3 4 2" xfId="24996" xr:uid="{5000D866-0604-4678-A5DE-A909DF5BDAE7}"/>
    <cellStyle name="Comma 3 3 5" xfId="24809" xr:uid="{CB8B4931-C2D5-4BC2-85DF-BC3EDC155A7D}"/>
    <cellStyle name="Comma 3 3_T1 ANSP" xfId="2517" xr:uid="{E5B26EBD-4FAF-443F-A520-818DE3244F15}"/>
    <cellStyle name="Comma 3 4" xfId="1440" xr:uid="{00000000-0005-0000-0000-00001E020000}"/>
    <cellStyle name="Comma 3 4 2" xfId="2523" xr:uid="{644011DD-EF57-4E18-8CDF-C77472FB55C3}"/>
    <cellStyle name="Comma 3 4 2 2" xfId="24997" xr:uid="{1B5480D2-A165-414C-8310-EFCCE3DFB6A4}"/>
    <cellStyle name="Comma 3 4 3" xfId="24953" xr:uid="{51FE974C-A26F-4A73-929E-B2A7633060E0}"/>
    <cellStyle name="Comma 3 4_T1 ANSP" xfId="2522" xr:uid="{D2A8C645-BED3-4CCC-9DEC-E4122E2E1D97}"/>
    <cellStyle name="Comma 3 5" xfId="2524" xr:uid="{46D56AD5-C8F4-4946-AEF9-AC691FCCE01C}"/>
    <cellStyle name="Comma 3 5 2" xfId="2525" xr:uid="{714BE214-52B1-40A2-A5F6-0C17114A5CEB}"/>
    <cellStyle name="Comma 3 5 2 2" xfId="24998" xr:uid="{89E7AE12-BE3D-403A-89E8-17CF7487F86C}"/>
    <cellStyle name="Comma 3 6" xfId="2526" xr:uid="{9FEF97FC-A26C-4A03-A6A5-7DD639C515ED}"/>
    <cellStyle name="Comma 3 6 2" xfId="24999" xr:uid="{BD1130DD-0578-4F24-990A-F2DE5438729B}"/>
    <cellStyle name="Comma 3 7" xfId="2527" xr:uid="{CE137592-F531-4AC8-A1A3-5C0A3FBE1FE7}"/>
    <cellStyle name="Comma 3_T1 ANSP" xfId="2512" xr:uid="{13A29D9B-BFFD-45C1-BF03-31BA588B12DE}"/>
    <cellStyle name="Comma 30" xfId="2528" xr:uid="{16A6373F-11DA-4887-A439-64AAE407BE7F}"/>
    <cellStyle name="Comma 30 2" xfId="25000" xr:uid="{60D5CABC-F91A-473C-BB88-F5B11C4EDED5}"/>
    <cellStyle name="Comma 31" xfId="2529" xr:uid="{643D726A-2015-4CFC-AAF6-918BB877D52A}"/>
    <cellStyle name="Comma 31 2" xfId="25001" xr:uid="{BDF589A8-36A3-4993-BA46-FAB456F7FC5F}"/>
    <cellStyle name="Comma 32" xfId="1160" xr:uid="{00000000-0005-0000-0000-00001F020000}"/>
    <cellStyle name="Comma 33" xfId="24743" xr:uid="{DB8E6B74-ECD5-48C4-95E7-AAA29C22FE1F}"/>
    <cellStyle name="Comma 34" xfId="24746" xr:uid="{CFF2FE35-6EE9-4E26-AC67-3454A51E3EEA}"/>
    <cellStyle name="Comma 35" xfId="25020" xr:uid="{B1873CFB-42B1-4452-8094-20A290C46C07}"/>
    <cellStyle name="Comma 4" xfId="310" xr:uid="{00000000-0005-0000-0000-000020020000}"/>
    <cellStyle name="Comma 4 2" xfId="982" xr:uid="{00000000-0005-0000-0000-000021020000}"/>
    <cellStyle name="Comma 4 2 2" xfId="1310" xr:uid="{00000000-0005-0000-0000-000022020000}"/>
    <cellStyle name="Comma 4 2 2 2" xfId="2532" xr:uid="{137B71FA-231C-4AEC-B9CD-D434C8BE5DC9}"/>
    <cellStyle name="Comma 4 2 2 2 2" xfId="25002" xr:uid="{0DB30389-9BDE-477F-B1ED-487FAC019A43}"/>
    <cellStyle name="Comma 4 2 2 3" xfId="24824" xr:uid="{6A553DE3-9B0B-43C7-8552-AD1B4127825F}"/>
    <cellStyle name="Comma 4 2 3" xfId="1379" xr:uid="{00000000-0005-0000-0000-000023020000}"/>
    <cellStyle name="Comma 4 2 3 2" xfId="24893" xr:uid="{7DEAD231-97CC-4444-A600-4EFD82F088C9}"/>
    <cellStyle name="Comma 4 2 4" xfId="1470" xr:uid="{00000000-0005-0000-0000-000024020000}"/>
    <cellStyle name="Comma 4 2 4 2" xfId="24961" xr:uid="{94909E26-D8EF-4801-B046-48BE8F76BEB0}"/>
    <cellStyle name="Comma 4 2 5" xfId="24754" xr:uid="{0D58FF16-2BEB-41E0-827C-436A8B335261}"/>
    <cellStyle name="Comma 4 2_T1 ANSP" xfId="2531" xr:uid="{9A757883-4E6A-4DB1-8EE3-A3391168BC0A}"/>
    <cellStyle name="Comma 4 3" xfId="1161" xr:uid="{00000000-0005-0000-0000-000025020000}"/>
    <cellStyle name="Comma 4 3 2" xfId="2534" xr:uid="{72816045-41C6-4BB8-B5BA-BB0921EA4FE8}"/>
    <cellStyle name="Comma 4 3_T1 ANSP" xfId="2533" xr:uid="{1A343CB6-6951-442C-9501-E2617CF3F058}"/>
    <cellStyle name="Comma 4 4" xfId="1441" xr:uid="{00000000-0005-0000-0000-000026020000}"/>
    <cellStyle name="Comma 4 4 2" xfId="24954" xr:uid="{81946951-F9C3-4F76-A91C-83D797501858}"/>
    <cellStyle name="Comma 4_T1 ANSP" xfId="2530" xr:uid="{6D634D16-3144-44CB-B01C-9314A3E376D0}"/>
    <cellStyle name="Comma 5" xfId="311" xr:uid="{00000000-0005-0000-0000-000027020000}"/>
    <cellStyle name="Comma 5 2" xfId="983" xr:uid="{00000000-0005-0000-0000-000028020000}"/>
    <cellStyle name="Comma 5 2 2" xfId="1311" xr:uid="{00000000-0005-0000-0000-000029020000}"/>
    <cellStyle name="Comma 5 2 2 2" xfId="2537" xr:uid="{EDBF6330-BF4C-48D2-8ADC-8AEAF41B8E79}"/>
    <cellStyle name="Comma 5 2 2 2 2" xfId="25003" xr:uid="{C19D37A9-E680-4178-8E92-11B69525FFB3}"/>
    <cellStyle name="Comma 5 2 2 3" xfId="24825" xr:uid="{714A6668-09D3-4CB4-ACA7-7DD7E64B29AC}"/>
    <cellStyle name="Comma 5 2 3" xfId="1380" xr:uid="{00000000-0005-0000-0000-00002A020000}"/>
    <cellStyle name="Comma 5 2 3 2" xfId="24894" xr:uid="{513C896E-68F7-499A-B03D-9ABE0E74C156}"/>
    <cellStyle name="Comma 5 2 4" xfId="1471" xr:uid="{00000000-0005-0000-0000-00002B020000}"/>
    <cellStyle name="Comma 5 2 4 2" xfId="24962" xr:uid="{C35BF880-D11C-494A-AF11-17FF89EAD6D0}"/>
    <cellStyle name="Comma 5 2 5" xfId="24755" xr:uid="{536FB9FE-965B-485A-A073-2F5F4DCA9EF1}"/>
    <cellStyle name="Comma 5 2_T1 ANSP" xfId="2536" xr:uid="{3124486B-4075-476A-9734-4C30D175FB95}"/>
    <cellStyle name="Comma 5 3" xfId="1442" xr:uid="{00000000-0005-0000-0000-00002C020000}"/>
    <cellStyle name="Comma 5 3 2" xfId="24955" xr:uid="{0732794D-A8B9-40D3-B129-F46E11472749}"/>
    <cellStyle name="Comma 5 4" xfId="2538" xr:uid="{AC4BC45C-EC6C-4A5F-AE43-645D826ABED1}"/>
    <cellStyle name="Comma 5_T1 ANSP" xfId="2535" xr:uid="{05CFBD8F-8D0F-4DDC-8A33-2E81F3DA40D0}"/>
    <cellStyle name="Comma 6" xfId="312" xr:uid="{00000000-0005-0000-0000-00002D020000}"/>
    <cellStyle name="Comma 6 2" xfId="984" xr:uid="{00000000-0005-0000-0000-00002E020000}"/>
    <cellStyle name="Comma 6 2 2" xfId="1312" xr:uid="{00000000-0005-0000-0000-00002F020000}"/>
    <cellStyle name="Comma 6 2 2 2" xfId="2541" xr:uid="{94F653FF-81EB-413F-85B5-333163069E13}"/>
    <cellStyle name="Comma 6 2 2 2 2" xfId="25004" xr:uid="{80A698E4-4365-46C7-A1D7-C6061CECF7E6}"/>
    <cellStyle name="Comma 6 2 2 3" xfId="24826" xr:uid="{1D959DAF-330A-4B54-9972-152BD4AC739C}"/>
    <cellStyle name="Comma 6 2 3" xfId="1381" xr:uid="{00000000-0005-0000-0000-000030020000}"/>
    <cellStyle name="Comma 6 2 3 2" xfId="24895" xr:uid="{9FFA3E71-7352-4854-8D70-81F322B2D9DC}"/>
    <cellStyle name="Comma 6 2 4" xfId="1472" xr:uid="{00000000-0005-0000-0000-000031020000}"/>
    <cellStyle name="Comma 6 2 4 2" xfId="24963" xr:uid="{67EA5696-6EF8-4C74-8099-E9CCF806FC32}"/>
    <cellStyle name="Comma 6 2 5" xfId="24756" xr:uid="{FEF3B316-B086-47C8-9019-4AD286218716}"/>
    <cellStyle name="Comma 6 2_T1 ANSP" xfId="2540" xr:uid="{2075A932-0C03-46EF-AFD0-B77D1EEAE33B}"/>
    <cellStyle name="Comma 6 3" xfId="1443" xr:uid="{00000000-0005-0000-0000-000032020000}"/>
    <cellStyle name="Comma 6 3 2" xfId="24956" xr:uid="{60F831FA-2795-4237-A226-FEF724F7D159}"/>
    <cellStyle name="Comma 6 4" xfId="2542" xr:uid="{4D79AA54-3886-4CE3-818C-8B70505847DE}"/>
    <cellStyle name="Comma 6_T1 ANSP" xfId="2539" xr:uid="{B47E3FE7-CE62-4DEA-9190-8405EE9B630B}"/>
    <cellStyle name="Comma 7" xfId="313" xr:uid="{00000000-0005-0000-0000-000033020000}"/>
    <cellStyle name="Comma 7 2" xfId="985" xr:uid="{00000000-0005-0000-0000-000034020000}"/>
    <cellStyle name="Comma 7 2 2" xfId="1313" xr:uid="{00000000-0005-0000-0000-000035020000}"/>
    <cellStyle name="Comma 7 2 2 2" xfId="2545" xr:uid="{FD74FC90-9B49-44E4-8FB2-94B0BB9FB36A}"/>
    <cellStyle name="Comma 7 2 2 2 2" xfId="25005" xr:uid="{C1B0EF8B-9318-4DEE-A9A9-53278EAC1508}"/>
    <cellStyle name="Comma 7 2 2 3" xfId="24827" xr:uid="{64955E22-51E9-422C-9ED3-BA737606050F}"/>
    <cellStyle name="Comma 7 2 3" xfId="1382" xr:uid="{00000000-0005-0000-0000-000036020000}"/>
    <cellStyle name="Comma 7 2 3 2" xfId="24896" xr:uid="{D8CC5C78-7284-4203-92E0-6E88557BE15D}"/>
    <cellStyle name="Comma 7 2 4" xfId="1473" xr:uid="{00000000-0005-0000-0000-000037020000}"/>
    <cellStyle name="Comma 7 2 4 2" xfId="24964" xr:uid="{6FC255B6-571E-488F-88AF-5D89E3A2CB54}"/>
    <cellStyle name="Comma 7 2 5" xfId="24757" xr:uid="{961DB60B-2F4C-4A85-9003-643A71C2282E}"/>
    <cellStyle name="Comma 7 2_T1 ANSP" xfId="2544" xr:uid="{7D445345-78EE-4CE0-BE11-81671BDB01F4}"/>
    <cellStyle name="Comma 7 3" xfId="1444" xr:uid="{00000000-0005-0000-0000-000038020000}"/>
    <cellStyle name="Comma 7 3 2" xfId="24957" xr:uid="{450F2A9D-B864-4AC7-9CE5-FBFFE7CC21DD}"/>
    <cellStyle name="Comma 7 4" xfId="2546" xr:uid="{3449E4A5-3213-4911-9B7C-EAF69FCCCE09}"/>
    <cellStyle name="Comma 7_T1 ANSP" xfId="2543" xr:uid="{B713E985-3F3F-428E-AF31-24CD2D4A8570}"/>
    <cellStyle name="Comma 8" xfId="314" xr:uid="{00000000-0005-0000-0000-000039020000}"/>
    <cellStyle name="Comma 8 2" xfId="986" xr:uid="{00000000-0005-0000-0000-00003A020000}"/>
    <cellStyle name="Comma 8 2 2" xfId="1314" xr:uid="{00000000-0005-0000-0000-00003B020000}"/>
    <cellStyle name="Comma 8 2 2 2" xfId="2550" xr:uid="{98971AD8-37BB-4B0B-8F7F-6BB265BC6D84}"/>
    <cellStyle name="Comma 8 2 2 2 2" xfId="25006" xr:uid="{30ADC5EC-56DF-42B5-9AB6-5610494A3BAD}"/>
    <cellStyle name="Comma 8 2 2 3" xfId="2551" xr:uid="{CDFA36F7-4FED-4F45-BD13-00ED87F8F7FE}"/>
    <cellStyle name="Comma 8 2 2 3 2" xfId="25007" xr:uid="{C8FFF897-E9AE-4094-9DFF-E09BF3173215}"/>
    <cellStyle name="Comma 8 2 2 4" xfId="24828" xr:uid="{E5761706-4CE7-44A5-8C8E-CC177503880B}"/>
    <cellStyle name="Comma 8 2 2_T1 ANSP" xfId="2549" xr:uid="{97EF0F7F-F46E-4EB2-B577-E0C0A92C98DB}"/>
    <cellStyle name="Comma 8 2 3" xfId="1383" xr:uid="{00000000-0005-0000-0000-00003C020000}"/>
    <cellStyle name="Comma 8 2 3 2" xfId="24897" xr:uid="{3B5C3D6F-2AE6-4EE4-B01E-B7DEA6C2A537}"/>
    <cellStyle name="Comma 8 2 4" xfId="1474" xr:uid="{00000000-0005-0000-0000-00003D020000}"/>
    <cellStyle name="Comma 8 2 4 2" xfId="24965" xr:uid="{D7155C9C-063D-4A0D-B66C-B2B53A0F652B}"/>
    <cellStyle name="Comma 8 2 5" xfId="24758" xr:uid="{18758081-8CB4-495E-A96C-08CD45D03E71}"/>
    <cellStyle name="Comma 8 2_T1 ANSP" xfId="2548" xr:uid="{681BB862-97B9-4060-9CDD-7AB98B0F3E8B}"/>
    <cellStyle name="Comma 8 3" xfId="1445" xr:uid="{00000000-0005-0000-0000-00003E020000}"/>
    <cellStyle name="Comma 8 3 2" xfId="2553" xr:uid="{B9A474CB-30DA-4154-A92A-05C345E4DA34}"/>
    <cellStyle name="Comma 8 3 2 2" xfId="25008" xr:uid="{2D7D4A02-A7E0-4DAF-8C00-D4FEC0F03468}"/>
    <cellStyle name="Comma 8 3 3" xfId="24958" xr:uid="{0150D9DC-431F-415C-8E00-1EC20DAE8AF5}"/>
    <cellStyle name="Comma 8 3_T1 ANSP" xfId="2552" xr:uid="{4DC6F9FE-3A0C-4C1E-A4AC-3561BEE4B573}"/>
    <cellStyle name="Comma 8 4" xfId="2554" xr:uid="{DFA602C4-9801-4715-A9E4-34776BB19DE8}"/>
    <cellStyle name="Comma 8 4 2" xfId="25009" xr:uid="{524A383A-7FFE-4665-B571-7C6A3661F680}"/>
    <cellStyle name="Comma 8 5" xfId="2555" xr:uid="{21E2948B-4E75-4FA9-A41A-49EDB2799892}"/>
    <cellStyle name="Comma 8_T1 ANSP" xfId="2547" xr:uid="{C337F6DC-4E37-4637-8989-74D9D29230EF}"/>
    <cellStyle name="Comma 9" xfId="16" xr:uid="{00000000-0005-0000-0000-00003F020000}"/>
    <cellStyle name="Comma 9 2" xfId="987" xr:uid="{00000000-0005-0000-0000-000040020000}"/>
    <cellStyle name="Comma 9 2 2" xfId="1315" xr:uid="{00000000-0005-0000-0000-000041020000}"/>
    <cellStyle name="Comma 9 2 2 2" xfId="2557" xr:uid="{47CE7212-752A-4AFF-9AC8-BD1EB7CF82B4}"/>
    <cellStyle name="Comma 9 2 2 2 2" xfId="25010" xr:uid="{F87778FB-5B54-4DA4-A188-3AEAC05649B6}"/>
    <cellStyle name="Comma 9 2 2 3" xfId="24829" xr:uid="{5B2AC656-AD19-4C98-B8CB-B8F1EBD1C468}"/>
    <cellStyle name="Comma 9 2 3" xfId="1384" xr:uid="{00000000-0005-0000-0000-000042020000}"/>
    <cellStyle name="Comma 9 2 3 2" xfId="24898" xr:uid="{6F0612FA-E0ED-430A-AB4F-5156F24759E5}"/>
    <cellStyle name="Comma 9 2 4" xfId="24759" xr:uid="{8F4AAC83-A8E6-4301-8F93-AB9A8D643F11}"/>
    <cellStyle name="Comma 9 2_T1 ANSP" xfId="2556" xr:uid="{2E59106F-BC0C-4F4C-A488-77B67460F6EC}"/>
    <cellStyle name="Comma 9 3" xfId="1162" xr:uid="{00000000-0005-0000-0000-000043020000}"/>
    <cellStyle name="Comma 9 3 2" xfId="2559" xr:uid="{23FAC127-8237-43EC-B05B-0B3B34A50CF7}"/>
    <cellStyle name="Comma 9 3_T1 ANSP" xfId="2558" xr:uid="{4BCCFB63-D5E6-4351-B95D-A84572DDE5CB}"/>
    <cellStyle name="Comma 9 4" xfId="315" xr:uid="{00000000-0005-0000-0000-000044020000}"/>
    <cellStyle name="Comma 9 5" xfId="1600" xr:uid="{00000000-0005-0000-0000-000045020000}"/>
    <cellStyle name="Comma 9 5 2" xfId="24966" xr:uid="{45C2C701-8126-47EC-BA4B-6793D593F0C2}"/>
    <cellStyle name="Comma(2)" xfId="316" xr:uid="{00000000-0005-0000-0000-000046020000}"/>
    <cellStyle name="Commentaire" xfId="317" xr:uid="{00000000-0005-0000-0000-000047020000}"/>
    <cellStyle name="Commentaire 10" xfId="2560" xr:uid="{A3A819EC-C658-4029-9008-9424901BADE0}"/>
    <cellStyle name="Commentaire 10 2" xfId="2561" xr:uid="{A92D8664-A9A3-46ED-BCD5-820EB0885B3E}"/>
    <cellStyle name="Commentaire 11" xfId="2562" xr:uid="{5F498A74-491D-4FF1-9C4F-7B835E97DF7D}"/>
    <cellStyle name="Commentaire 11 2" xfId="2563" xr:uid="{BF2BE165-C05E-48F5-A3F5-10E01458C5C9}"/>
    <cellStyle name="Commentaire 12" xfId="2564" xr:uid="{C9C2F4A0-5125-4501-AD8E-9D2B2B4FDF92}"/>
    <cellStyle name="Commentaire 12 2" xfId="2565" xr:uid="{81678983-1544-4A98-955B-7108497D7DE2}"/>
    <cellStyle name="Commentaire 13" xfId="2566" xr:uid="{BD575530-AA6D-47D3-87B9-3C9AE0C7B8E5}"/>
    <cellStyle name="Commentaire 13 2" xfId="2567" xr:uid="{A410EB9B-398A-4098-A6D3-D0B71015E95C}"/>
    <cellStyle name="Commentaire 14" xfId="2568" xr:uid="{B06ADA01-F5D2-44AF-8FEB-7E81B60AA9D0}"/>
    <cellStyle name="Commentaire 14 2" xfId="2569" xr:uid="{503635BA-4466-4EC8-9AF5-3A413D90A267}"/>
    <cellStyle name="Commentaire 15" xfId="2570" xr:uid="{B4C51A3C-B5B3-464A-85F4-6C4DA84F81E4}"/>
    <cellStyle name="Commentaire 15 2" xfId="2571" xr:uid="{CC6FC88B-96AA-43C2-813A-A3600C5B2AC3}"/>
    <cellStyle name="Commentaire 16" xfId="2572" xr:uid="{036D7416-DFAB-4851-A456-4701CBFE4069}"/>
    <cellStyle name="Commentaire 2" xfId="318" xr:uid="{00000000-0005-0000-0000-000048020000}"/>
    <cellStyle name="Commentaire 2 2" xfId="1475" xr:uid="{00000000-0005-0000-0000-000049020000}"/>
    <cellStyle name="Commentaire 2 3" xfId="2573" xr:uid="{9D2676FB-9CB9-4550-AFB7-1DA5427DFAE1}"/>
    <cellStyle name="Commentaire 3" xfId="1163" xr:uid="{00000000-0005-0000-0000-00004A020000}"/>
    <cellStyle name="Commentaire 3 2" xfId="2574" xr:uid="{316D9EA1-BA24-4296-BC22-1155DF36597F}"/>
    <cellStyle name="Commentaire 3 3" xfId="2575" xr:uid="{17FEDE1B-1F3F-4F53-8576-D0309D39DB8E}"/>
    <cellStyle name="Commentaire 4" xfId="2576" xr:uid="{1C3446A2-BB4B-432A-8DFB-65BE0C209F11}"/>
    <cellStyle name="Commentaire 4 2" xfId="2577" xr:uid="{7DA106FB-822E-4783-99FA-357EFC0FA69B}"/>
    <cellStyle name="Commentaire 5" xfId="2578" xr:uid="{251B9E6D-6139-4151-B94A-4091BFAABF76}"/>
    <cellStyle name="Commentaire 5 2" xfId="2579" xr:uid="{FCC3A5DA-70E6-47AC-9090-7AA498D7BC09}"/>
    <cellStyle name="Commentaire 6" xfId="2580" xr:uid="{B2BB5B82-9912-4DB8-A678-42284DB82571}"/>
    <cellStyle name="Commentaire 6 2" xfId="2581" xr:uid="{785FA477-2D24-415C-B22B-BFEA2BED8B46}"/>
    <cellStyle name="Commentaire 7" xfId="2582" xr:uid="{998A7179-CF98-4DDF-9ED1-4A8B49E105A0}"/>
    <cellStyle name="Commentaire 7 2" xfId="2583" xr:uid="{9BE30A85-8A0C-4F30-909E-473000803C6C}"/>
    <cellStyle name="Commentaire 8" xfId="2584" xr:uid="{9F2C5948-E9EB-40C3-81AC-15ADB1B3EB4C}"/>
    <cellStyle name="Commentaire 8 2" xfId="2585" xr:uid="{8AABA970-1FEB-4556-BB0C-BD5F72D3E818}"/>
    <cellStyle name="Commentaire 9" xfId="2586" xr:uid="{00F78954-9274-46AB-8CE2-1CAB0642AF56}"/>
    <cellStyle name="Commentaire 9 2" xfId="2587" xr:uid="{833A2CD7-C168-4307-860F-E55CE0EE7E1D}"/>
    <cellStyle name="Control Check" xfId="319" xr:uid="{00000000-0005-0000-0000-00004B020000}"/>
    <cellStyle name="control table footer 1" xfId="320" xr:uid="{00000000-0005-0000-0000-00004C020000}"/>
    <cellStyle name="control table header 1" xfId="321" xr:uid="{00000000-0005-0000-0000-00004D020000}"/>
    <cellStyle name="control table header 1 2" xfId="1483" xr:uid="{00000000-0005-0000-0000-00004E020000}"/>
    <cellStyle name="Curren - Style1" xfId="322" xr:uid="{00000000-0005-0000-0000-00004F020000}"/>
    <cellStyle name="Curren - Style4" xfId="323" xr:uid="{00000000-0005-0000-0000-000050020000}"/>
    <cellStyle name="Currency 0" xfId="2588" xr:uid="{5FAF9449-B7BC-41BC-81E3-123F9D8DED8A}"/>
    <cellStyle name="Currency 2" xfId="324" xr:uid="{00000000-0005-0000-0000-000051020000}"/>
    <cellStyle name="Currency 2 2" xfId="988" xr:uid="{00000000-0005-0000-0000-000052020000}"/>
    <cellStyle name="Currency 2 2 2" xfId="1316" xr:uid="{00000000-0005-0000-0000-000053020000}"/>
    <cellStyle name="Currency 2 2 2 2" xfId="24830" xr:uid="{2F317FBD-EBBD-4C15-83B4-60AF8F9D6F9A}"/>
    <cellStyle name="Currency 2 2 3" xfId="1385" xr:uid="{00000000-0005-0000-0000-000054020000}"/>
    <cellStyle name="Currency 2 2 3 2" xfId="24899" xr:uid="{39637A2A-5A38-4674-BC1D-7730BEBF7F35}"/>
    <cellStyle name="Currency 2 2 4" xfId="24760" xr:uid="{3DBB01A1-298B-45C6-BD74-231A4581ADDF}"/>
    <cellStyle name="Currency 2 3" xfId="2590" xr:uid="{72D3CB80-E3C2-4549-8B59-2C073D39C9A9}"/>
    <cellStyle name="Currency 2 3 2" xfId="25011" xr:uid="{22ADA2E7-49C8-41D3-8741-8DAB7B433C28}"/>
    <cellStyle name="Currency 2 4" xfId="2591" xr:uid="{BB559994-F2E2-4500-834B-1AB826B33C9F}"/>
    <cellStyle name="Currency 2 4 2" xfId="25012" xr:uid="{CE5129B2-37DB-44BA-8ECB-2BA3DBF00361}"/>
    <cellStyle name="Currency 2_T1 ANSP" xfId="2589" xr:uid="{A594FB97-46A4-4027-9D3C-288698AFCA02}"/>
    <cellStyle name="Currency 3" xfId="2592" xr:uid="{D14EFAB6-3357-4869-B36E-3813C3626CD9}"/>
    <cellStyle name="Currency 3 2" xfId="2593" xr:uid="{6699E301-FDC5-4B06-B313-B42105812C39}"/>
    <cellStyle name="Currency 3 2 2" xfId="2594" xr:uid="{F2D38847-330D-45D9-91F1-211B65610C85}"/>
    <cellStyle name="Currency 3 2 2 2" xfId="25013" xr:uid="{7E557338-EF8B-46B6-B298-84D9E811578C}"/>
    <cellStyle name="Currency 3 3" xfId="2595" xr:uid="{FDA4D727-A147-40B8-81A2-EEED52F2EAE7}"/>
    <cellStyle name="Currency 3 3 2" xfId="25014" xr:uid="{69507A8A-E0E1-410F-9F18-62F06531D83E}"/>
    <cellStyle name="Currency 4" xfId="2596" xr:uid="{4321A3FF-3BD2-4D7F-8B95-8B716F285ED2}"/>
    <cellStyle name="Currency 4 2" xfId="2597" xr:uid="{4802C9FC-41C8-4139-9152-229F80B18074}"/>
    <cellStyle name="Currency 4 2 2" xfId="2598" xr:uid="{56922351-8EB2-448E-B37A-0652A15BBCE1}"/>
    <cellStyle name="Currency 4 2 2 2" xfId="25015" xr:uid="{88997369-7996-4FE3-9C3C-BBCBB94D2A08}"/>
    <cellStyle name="Currency 4 3" xfId="2599" xr:uid="{3583C691-FCF5-4A92-89FD-B74F37C3AB46}"/>
    <cellStyle name="Currency 4 3 2" xfId="25016" xr:uid="{E1097F88-3048-47BA-B684-D427B5BBE430}"/>
    <cellStyle name="Dålig" xfId="325" xr:uid="{00000000-0005-0000-0000-000055020000}"/>
    <cellStyle name="Data" xfId="326" xr:uid="{00000000-0005-0000-0000-000056020000}"/>
    <cellStyle name="Data Validated Input" xfId="2600" xr:uid="{62B65F49-8351-4953-8259-2C4D42380108}"/>
    <cellStyle name="Data Validation" xfId="2601" xr:uid="{94039F92-A97A-4718-877F-FEB7F9A618CB}"/>
    <cellStyle name="Date" xfId="327" xr:uid="{00000000-0005-0000-0000-000057020000}"/>
    <cellStyle name="Date 2" xfId="2602" xr:uid="{4EFA74D0-67DE-4F63-8AC9-74BB69EF9EAB}"/>
    <cellStyle name="Date 3" xfId="2603" xr:uid="{3BCCD5AB-A313-4AB1-8316-FF8D1D7BA7CF}"/>
    <cellStyle name="Date Aligned" xfId="2604" xr:uid="{412A55E1-5549-481B-A800-D2722F4C7AFA}"/>
    <cellStyle name="Date_nats30" xfId="2605" xr:uid="{BF075BC4-D095-40EE-912D-4C936D343FA2}"/>
    <cellStyle name="dateformat" xfId="2606" xr:uid="{5D3679A1-2F32-4413-A4EF-A42AAC73F3A4}"/>
    <cellStyle name="dateformatz" xfId="2607" xr:uid="{BA300CE1-DA3D-4FF0-A1CC-1D1336DD9A6B}"/>
    <cellStyle name="DateLong" xfId="2608" xr:uid="{A62477D0-D7A7-443A-A8ED-E4AC9963A567}"/>
    <cellStyle name="DateShort" xfId="2609" xr:uid="{5871C5C2-ED22-458F-8BA4-3A77C7F985D5}"/>
    <cellStyle name="Deviant" xfId="328" xr:uid="{00000000-0005-0000-0000-000058020000}"/>
    <cellStyle name="Dezimal [0]_aM120029" xfId="329" xr:uid="{00000000-0005-0000-0000-000059020000}"/>
    <cellStyle name="Dezimal[0]" xfId="2610" xr:uid="{27F36671-436C-4ABC-8D95-61D2035AC8C6}"/>
    <cellStyle name="Dezimal_aM120029" xfId="330" xr:uid="{00000000-0005-0000-0000-00005A020000}"/>
    <cellStyle name="Dotted Line" xfId="2611" xr:uid="{53936A2D-19B7-4EC4-BC66-9CDD8651F047}"/>
    <cellStyle name="Effect Symbol" xfId="331" xr:uid="{00000000-0005-0000-0000-00005B020000}"/>
    <cellStyle name="Eingabe" xfId="332" xr:uid="{00000000-0005-0000-0000-00005C020000}"/>
    <cellStyle name="Ellenőrzőcella 2" xfId="1164" xr:uid="{00000000-0005-0000-0000-00005D020000}"/>
    <cellStyle name="Encabezado 4" xfId="333" xr:uid="{00000000-0005-0000-0000-00005E020000}"/>
    <cellStyle name="End_Title_Darkblue" xfId="2612" xr:uid="{4BD6763E-2A2C-4E72-8964-03C5F7EC979F}"/>
    <cellStyle name="Énfasis1" xfId="334" xr:uid="{00000000-0005-0000-0000-00005F020000}"/>
    <cellStyle name="Énfasis2" xfId="335" xr:uid="{00000000-0005-0000-0000-000060020000}"/>
    <cellStyle name="Énfasis3" xfId="336" xr:uid="{00000000-0005-0000-0000-000061020000}"/>
    <cellStyle name="Énfasis4" xfId="337" xr:uid="{00000000-0005-0000-0000-000062020000}"/>
    <cellStyle name="Énfasis5" xfId="338" xr:uid="{00000000-0005-0000-0000-000063020000}"/>
    <cellStyle name="Énfasis6" xfId="339" xr:uid="{00000000-0005-0000-0000-000064020000}"/>
    <cellStyle name="Entrada" xfId="340" xr:uid="{00000000-0005-0000-0000-000065020000}"/>
    <cellStyle name="Entrada 2" xfId="1481" xr:uid="{00000000-0005-0000-0000-000066020000}"/>
    <cellStyle name="Entrada 3" xfId="1457" xr:uid="{00000000-0005-0000-0000-000067020000}"/>
    <cellStyle name="Entrée" xfId="341" xr:uid="{00000000-0005-0000-0000-000068020000}"/>
    <cellStyle name="Entrée 10" xfId="2613" xr:uid="{5A4F62A1-D412-4BC3-BD51-AB166C3F21CF}"/>
    <cellStyle name="Entrée 10 2" xfId="2614" xr:uid="{4FF8B368-082F-466A-8BFA-A012496D7E57}"/>
    <cellStyle name="Entrée 11" xfId="2615" xr:uid="{873A55DC-849D-48E1-BD87-D103AD892C8C}"/>
    <cellStyle name="Entrée 11 2" xfId="2616" xr:uid="{13B0DDE3-4D72-4595-9E87-FBDC6113BD51}"/>
    <cellStyle name="Entrée 12" xfId="2617" xr:uid="{036DCC46-51DD-4722-BA93-AF37C6969B2B}"/>
    <cellStyle name="Entrée 12 2" xfId="2618" xr:uid="{3F4C2DD5-1A98-4E2F-A43D-39932001B8DC}"/>
    <cellStyle name="Entrée 13" xfId="2619" xr:uid="{A430D976-F743-4636-A83D-8A6C5841BC6A}"/>
    <cellStyle name="Entrée 13 2" xfId="2620" xr:uid="{29632970-2951-4224-9099-A9BF86D47D1B}"/>
    <cellStyle name="Entrée 14" xfId="2621" xr:uid="{FF3D34A0-7D19-4FBC-B25D-E00824F674F0}"/>
    <cellStyle name="Entrée 14 2" xfId="2622" xr:uid="{4DDB75F2-8C6E-4365-B266-509392CF141C}"/>
    <cellStyle name="Entrée 15" xfId="2623" xr:uid="{DC780510-E934-46D6-91C0-F7BDA25DA71B}"/>
    <cellStyle name="Entrée 15 2" xfId="2624" xr:uid="{1A753C10-2553-417B-8C97-E457B8A3D63C}"/>
    <cellStyle name="Entrée 16" xfId="2625" xr:uid="{F75CCF4C-48BB-468D-88C3-752112B5A8AD}"/>
    <cellStyle name="Entrée 2" xfId="1165" xr:uid="{00000000-0005-0000-0000-000069020000}"/>
    <cellStyle name="Entrée 2 2" xfId="2626" xr:uid="{3AF53E3D-0398-45E1-AE72-200FB29FC607}"/>
    <cellStyle name="Entrée 2 3" xfId="2627" xr:uid="{ECC96B08-C0A6-4CF5-B763-1D6D4293F558}"/>
    <cellStyle name="Entrée 3" xfId="1458" xr:uid="{00000000-0005-0000-0000-00006A020000}"/>
    <cellStyle name="Entrée 3 2" xfId="2628" xr:uid="{257EE37F-A39E-461E-81B8-EB8E856115F8}"/>
    <cellStyle name="Entrée 4" xfId="2629" xr:uid="{91568098-C8C7-47EB-814C-E17325DA9E17}"/>
    <cellStyle name="Entrée 4 2" xfId="2630" xr:uid="{6A3351F1-F922-4FA3-92A9-80D6079CE92F}"/>
    <cellStyle name="Entrée 5" xfId="2631" xr:uid="{074E7E78-A195-48D4-AD6F-978E9B31EE92}"/>
    <cellStyle name="Entrée 5 2" xfId="2632" xr:uid="{59FAB365-898F-4DAE-A08E-975C18A1C1D3}"/>
    <cellStyle name="Entrée 6" xfId="2633" xr:uid="{B7B8A921-95FF-47E4-AC66-43E43646E599}"/>
    <cellStyle name="Entrée 6 2" xfId="2634" xr:uid="{F0C3F274-8658-470C-B4FC-0498E2A15C63}"/>
    <cellStyle name="Entrée 7" xfId="2635" xr:uid="{5A68745B-EF2B-4B91-B0C0-8E427FEE3AFC}"/>
    <cellStyle name="Entrée 7 2" xfId="2636" xr:uid="{ABB836D7-6E69-4015-956E-AEE982AEFFF5}"/>
    <cellStyle name="Entrée 8" xfId="2637" xr:uid="{B828924F-E00C-46AA-AEF8-62E1009B3A53}"/>
    <cellStyle name="Entrée 8 2" xfId="2638" xr:uid="{F390FC49-DF3E-457A-B037-21958F26C3DB}"/>
    <cellStyle name="Entrée 9" xfId="2639" xr:uid="{902E4099-0625-4EA6-B9C2-C038FB6CB571}"/>
    <cellStyle name="Entrée 9 2" xfId="2640" xr:uid="{7A609EC8-700A-46F9-8B7F-0C684F77D991}"/>
    <cellStyle name="Ergebnis" xfId="342" xr:uid="{00000000-0005-0000-0000-00006B020000}"/>
    <cellStyle name="Erklärender Text" xfId="343" xr:uid="{00000000-0005-0000-0000-00006C020000}"/>
    <cellStyle name="Euro" xfId="344" xr:uid="{00000000-0005-0000-0000-00006D020000}"/>
    <cellStyle name="Euro 10" xfId="2642" xr:uid="{F11F3FEC-6516-4E2F-9B2C-4C9AAE0FC1AF}"/>
    <cellStyle name="Euro 2" xfId="345" xr:uid="{00000000-0005-0000-0000-00006E020000}"/>
    <cellStyle name="Euro 2 2" xfId="1166" xr:uid="{00000000-0005-0000-0000-00006F020000}"/>
    <cellStyle name="Euro 2 3" xfId="2644" xr:uid="{33784FAF-C8C5-4750-8CD0-F11655589AAD}"/>
    <cellStyle name="Euro 2_T1 ANSP" xfId="2643" xr:uid="{7FEC1408-4210-4219-9EE2-3BBE256AC283}"/>
    <cellStyle name="Euro 3" xfId="346" xr:uid="{00000000-0005-0000-0000-000070020000}"/>
    <cellStyle name="Euro 4" xfId="347" xr:uid="{00000000-0005-0000-0000-000071020000}"/>
    <cellStyle name="Euro 5" xfId="348" xr:uid="{00000000-0005-0000-0000-000072020000}"/>
    <cellStyle name="Euro 6" xfId="349" xr:uid="{00000000-0005-0000-0000-000073020000}"/>
    <cellStyle name="Euro 7" xfId="350" xr:uid="{00000000-0005-0000-0000-000074020000}"/>
    <cellStyle name="Euro 8" xfId="1167" xr:uid="{00000000-0005-0000-0000-000075020000}"/>
    <cellStyle name="Euro 9" xfId="1168" xr:uid="{00000000-0005-0000-0000-000076020000}"/>
    <cellStyle name="Euro_T1 ANSP" xfId="2641" xr:uid="{DE30C512-E9AB-47B4-914F-33515923CF85}"/>
    <cellStyle name="Exception" xfId="351" xr:uid="{00000000-0005-0000-0000-000077020000}"/>
    <cellStyle name="Explanatory Text 2" xfId="352" xr:uid="{00000000-0005-0000-0000-000078020000}"/>
    <cellStyle name="Explanatory Text 2 2" xfId="2646" xr:uid="{7388C9E1-93E2-45E4-8A6D-82301B9E14DF}"/>
    <cellStyle name="Explanatory Text 2_T1 ANSP" xfId="2645" xr:uid="{41B8D718-FED9-42DF-8D8D-657B116ED84E}"/>
    <cellStyle name="External Links" xfId="353" xr:uid="{00000000-0005-0000-0000-000079020000}"/>
    <cellStyle name="Extra Large" xfId="354" xr:uid="{00000000-0005-0000-0000-00007A020000}"/>
    <cellStyle name="EY House" xfId="355" xr:uid="{00000000-0005-0000-0000-00007B020000}"/>
    <cellStyle name="EY%colcalc" xfId="356" xr:uid="{00000000-0005-0000-0000-00007C020000}"/>
    <cellStyle name="EY%input" xfId="357" xr:uid="{00000000-0005-0000-0000-00007D020000}"/>
    <cellStyle name="EY%rowcalc" xfId="358" xr:uid="{00000000-0005-0000-0000-00007E020000}"/>
    <cellStyle name="EY0dp" xfId="359" xr:uid="{00000000-0005-0000-0000-00007F020000}"/>
    <cellStyle name="EY1dp" xfId="360" xr:uid="{00000000-0005-0000-0000-000080020000}"/>
    <cellStyle name="EY2dp" xfId="361" xr:uid="{00000000-0005-0000-0000-000081020000}"/>
    <cellStyle name="EY3dp" xfId="362" xr:uid="{00000000-0005-0000-0000-000082020000}"/>
    <cellStyle name="EYColumnHeading" xfId="363" xr:uid="{00000000-0005-0000-0000-000083020000}"/>
    <cellStyle name="EYHeading1" xfId="364" xr:uid="{00000000-0005-0000-0000-000084020000}"/>
    <cellStyle name="EYheading2" xfId="365" xr:uid="{00000000-0005-0000-0000-000085020000}"/>
    <cellStyle name="EYheading3" xfId="366" xr:uid="{00000000-0005-0000-0000-000086020000}"/>
    <cellStyle name="EYnumber" xfId="367" xr:uid="{00000000-0005-0000-0000-000087020000}"/>
    <cellStyle name="EYSheetHeader1" xfId="368" xr:uid="{00000000-0005-0000-0000-000088020000}"/>
    <cellStyle name="EYtext" xfId="369" xr:uid="{00000000-0005-0000-0000-000089020000}"/>
    <cellStyle name="Factor" xfId="370" xr:uid="{00000000-0005-0000-0000-00008A020000}"/>
    <cellStyle name="Factor 2" xfId="2648" xr:uid="{F879DC49-A36B-4321-9EE0-1AF07758602E}"/>
    <cellStyle name="Factor_T1 ANSP" xfId="2647" xr:uid="{83783155-76F5-4B7A-9951-B9121EC2E343}"/>
    <cellStyle name="Färg1" xfId="371" xr:uid="{00000000-0005-0000-0000-00008B020000}"/>
    <cellStyle name="Färg2" xfId="372" xr:uid="{00000000-0005-0000-0000-00008C020000}"/>
    <cellStyle name="Färg3" xfId="373" xr:uid="{00000000-0005-0000-0000-00008D020000}"/>
    <cellStyle name="Färg4" xfId="374" xr:uid="{00000000-0005-0000-0000-00008E020000}"/>
    <cellStyle name="Färg5" xfId="375" xr:uid="{00000000-0005-0000-0000-00008F020000}"/>
    <cellStyle name="Färg6" xfId="376" xr:uid="{00000000-0005-0000-0000-000090020000}"/>
    <cellStyle name="Feed Label" xfId="377" xr:uid="{00000000-0005-0000-0000-000091020000}"/>
    <cellStyle name="Feeder Field" xfId="378" xr:uid="{00000000-0005-0000-0000-000092020000}"/>
    <cellStyle name="Feeder Field 2" xfId="1484" xr:uid="{00000000-0005-0000-0000-000093020000}"/>
    <cellStyle name="Feeder Field 3" xfId="1464" xr:uid="{00000000-0005-0000-0000-000094020000}"/>
    <cellStyle name="Feeder Field_T1 ANSP" xfId="2649" xr:uid="{9D667BAE-61A3-4A1A-B66D-BA5E1983F1B9}"/>
    <cellStyle name="Figyelmeztetés 2" xfId="1169" xr:uid="{00000000-0005-0000-0000-000095020000}"/>
    <cellStyle name="Fine" xfId="379" xr:uid="{00000000-0005-0000-0000-000096020000}"/>
    <cellStyle name="Fixed3 - Style3" xfId="380" xr:uid="{00000000-0005-0000-0000-000097020000}"/>
    <cellStyle name="Footnote" xfId="2650" xr:uid="{06762CBF-00B9-4543-9BB4-BD75FA5C97CC}"/>
    <cellStyle name="Förklarande text" xfId="381" xr:uid="{00000000-0005-0000-0000-000098020000}"/>
    <cellStyle name="Forklarende tekst" xfId="382" xr:uid="{00000000-0005-0000-0000-000099020000}"/>
    <cellStyle name="From" xfId="383" xr:uid="{00000000-0005-0000-0000-00009A020000}"/>
    <cellStyle name="FS_reporting" xfId="384" xr:uid="{00000000-0005-0000-0000-00009B020000}"/>
    <cellStyle name="FTI Column Heading" xfId="2651" xr:uid="{86D19EB1-E2A0-42E7-8F7E-0FBF4EA5E5FE}"/>
    <cellStyle name="FTI Column Sub-Heading" xfId="2652" xr:uid="{9B29D4FA-6D50-472D-9F26-8E025655E9D3}"/>
    <cellStyle name="FTI Euro" xfId="2653" xr:uid="{D159E74F-2EB7-460D-A82A-082A33FBC0C7}"/>
    <cellStyle name="FTI GBP" xfId="2654" xr:uid="{F484FA43-FA45-4EBD-AF26-91B137F0D761}"/>
    <cellStyle name="FTI Normal" xfId="2655" xr:uid="{A04F24C0-7DD4-4731-8822-34B2222CA6ED}"/>
    <cellStyle name="FTI Normal w/ Currency Symbol" xfId="2656" xr:uid="{A3B436DA-C183-4E2C-AF00-9E2A9637EB9F}"/>
    <cellStyle name="FTI Normal w/ Percent" xfId="2657" xr:uid="{92DCB757-B369-4981-BAD1-059A07F82287}"/>
    <cellStyle name="FTI Normal w/o Currency Symbol" xfId="2658" xr:uid="{E321E82C-4B8F-47BB-8BAA-4326E3B6220A}"/>
    <cellStyle name="FTI Sub-Total" xfId="2659" xr:uid="{925D0099-4CC1-4387-9B28-C9D513CB59C5}"/>
    <cellStyle name="FTI Sub-Total w/ Currency Symbol" xfId="2660" xr:uid="{E50B5DCA-17EC-4771-8A86-1E67046A1B7F}"/>
    <cellStyle name="FTI Sub-Total w/ Percent" xfId="2661" xr:uid="{866E99B0-70D5-4F73-A33B-D33934A8C509}"/>
    <cellStyle name="FTI Sub-Total w/o Currency Symbol" xfId="2662" xr:uid="{47505C39-350A-4A29-91B8-DF85468C9737}"/>
    <cellStyle name="FTI Table Heading" xfId="2663" xr:uid="{20609B41-7687-4CF2-8051-DE265AC8291F}"/>
    <cellStyle name="FTI Total" xfId="2664" xr:uid="{44FAB9EE-19FA-4511-8069-84A665903433}"/>
    <cellStyle name="FTI Total w/ Currency Symbol" xfId="2665" xr:uid="{14148E99-FEA8-47C9-B69F-4656EEA2063D}"/>
    <cellStyle name="FTI Total w/ Percent" xfId="2666" xr:uid="{B946ACAF-86DB-4A6F-B3A1-C9A27CF58669}"/>
    <cellStyle name="FTI Total w/o Currency Symbol" xfId="2667" xr:uid="{3180D8BD-F0C8-4A9A-858C-7515F584CF16}"/>
    <cellStyle name="Gap" xfId="385" xr:uid="{00000000-0005-0000-0000-00009C020000}"/>
    <cellStyle name="Gap 2" xfId="989" xr:uid="{00000000-0005-0000-0000-00009D020000}"/>
    <cellStyle name="Geras" xfId="386" xr:uid="{00000000-0005-0000-0000-00009E020000}"/>
    <cellStyle name="God" xfId="387" xr:uid="{00000000-0005-0000-0000-00009F020000}"/>
    <cellStyle name="Good 2" xfId="388" xr:uid="{00000000-0005-0000-0000-0000A0020000}"/>
    <cellStyle name="Good 2 2" xfId="2669" xr:uid="{B51DF8B5-1E2F-470B-B6CA-412BD4363951}"/>
    <cellStyle name="Good 2_T1 ANSP" xfId="2668" xr:uid="{F0E5C369-D619-40A6-A403-D809D492017E}"/>
    <cellStyle name="Good 3" xfId="2670" xr:uid="{C155221A-2F82-4E3B-967F-84112DC847FA}"/>
    <cellStyle name="Greyed out" xfId="389" xr:uid="{00000000-0005-0000-0000-0000A1020000}"/>
    <cellStyle name="Gut" xfId="390" xr:uid="{00000000-0005-0000-0000-0000A2020000}"/>
    <cellStyle name="Halb" xfId="391" xr:uid="{00000000-0005-0000-0000-0000A3020000}"/>
    <cellStyle name="Halb 2" xfId="1170" xr:uid="{00000000-0005-0000-0000-0000A4020000}"/>
    <cellStyle name="Halb 3" xfId="1171" xr:uid="{00000000-0005-0000-0000-0000A5020000}"/>
    <cellStyle name="hard no" xfId="2671" xr:uid="{6C2B8587-DEA8-41C4-8473-C3D83DC02D4B}"/>
    <cellStyle name="hard no 2" xfId="2672" xr:uid="{535AD1F0-89AC-4119-98F7-34CEE75C93D2}"/>
    <cellStyle name="hard no 2 2" xfId="2673" xr:uid="{79BB42EA-FE4C-4B6E-85F7-82C8AE81B949}"/>
    <cellStyle name="hard no 3" xfId="2674" xr:uid="{F09940AB-D56C-40C0-A8DE-DCAA8F894739}"/>
    <cellStyle name="hard no 3 2" xfId="2675" xr:uid="{4FB95463-DC0C-4E09-8C0C-F52AC0EDDDDD}"/>
    <cellStyle name="hard no 4" xfId="2676" xr:uid="{380C482E-9C6B-40DB-BFE2-37CA38D07BC7}"/>
    <cellStyle name="hard no 4 2" xfId="2677" xr:uid="{5301E22C-4DB3-48E2-8B87-A1681E08BCA3}"/>
    <cellStyle name="hard no 5" xfId="2678" xr:uid="{904FB57B-9A18-41DC-8837-43573310EB31}"/>
    <cellStyle name="hard no 5 2" xfId="2679" xr:uid="{D83C29D4-5F8F-487C-8426-F706F05D09BC}"/>
    <cellStyle name="hard no 6" xfId="2680" xr:uid="{711E7181-B6A2-480F-8F6F-AE80448A497B}"/>
    <cellStyle name="hard no 6 2" xfId="2681" xr:uid="{A8BE5BA6-CC89-4276-8375-3606AEE03A40}"/>
    <cellStyle name="hard no 7" xfId="2682" xr:uid="{463654EB-3046-4173-8714-7FB6ADA0B5CC}"/>
    <cellStyle name="Hard Percent" xfId="2683" xr:uid="{CFA20EFF-4732-4A4C-A043-79349AE11561}"/>
    <cellStyle name="hardno" xfId="2684" xr:uid="{BEBD6614-C4A3-4924-B3F5-CCAE46A2F474}"/>
    <cellStyle name="Hea" xfId="392" xr:uid="{00000000-0005-0000-0000-0000A6020000}"/>
    <cellStyle name="Hea 2" xfId="1172" xr:uid="{00000000-0005-0000-0000-0000A7020000}"/>
    <cellStyle name="Hea 3" xfId="1173" xr:uid="{00000000-0005-0000-0000-0000A8020000}"/>
    <cellStyle name="Header" xfId="393" xr:uid="{00000000-0005-0000-0000-0000A9020000}"/>
    <cellStyle name="Header 1" xfId="2685" xr:uid="{A55EFC75-0946-42CB-9682-65CE5A0EF64C}"/>
    <cellStyle name="Header 1 2" xfId="2686" xr:uid="{4755E594-90B4-434B-952B-3744E62500BD}"/>
    <cellStyle name="Header 2" xfId="2687" xr:uid="{C9BFCABE-2029-40D5-A650-ADC888840729}"/>
    <cellStyle name="Header 3" xfId="2688" xr:uid="{0C285182-B48C-4E96-8C6E-2DD48913152C}"/>
    <cellStyle name="Header_090115_NATS_1674" xfId="2689" xr:uid="{4DD16D6C-0CEF-45A6-973B-FFD4FE3CD72E}"/>
    <cellStyle name="Heading" xfId="394" xr:uid="{00000000-0005-0000-0000-0000AA020000}"/>
    <cellStyle name="Heading 1 2" xfId="395" xr:uid="{00000000-0005-0000-0000-0000AB020000}"/>
    <cellStyle name="Heading 1 2 2" xfId="2691" xr:uid="{35F56D64-E6F0-4172-A2C8-C98652587A76}"/>
    <cellStyle name="Heading 1 2_T1 ANSP" xfId="2690" xr:uid="{7024B4DC-8084-4384-8F48-5B2821BA6AA3}"/>
    <cellStyle name="Heading 2 2" xfId="396" xr:uid="{00000000-0005-0000-0000-0000AC020000}"/>
    <cellStyle name="Heading 2 2 2" xfId="2693" xr:uid="{8CAFD7FA-F8D2-45A3-A337-EE528FC0E65F}"/>
    <cellStyle name="Heading 2 2_T1 ANSP" xfId="2692" xr:uid="{89E17AFB-8AEB-4B1B-BE72-E042D5882DAE}"/>
    <cellStyle name="Heading 2 3" xfId="2694" xr:uid="{F7779357-3FEE-44B9-B244-FCE496526BEA}"/>
    <cellStyle name="Heading 2 4" xfId="2695" xr:uid="{6712ADE4-A3C2-4006-9743-298256C1214C}"/>
    <cellStyle name="Heading 3 2" xfId="397" xr:uid="{00000000-0005-0000-0000-0000AD020000}"/>
    <cellStyle name="Heading 3 2 2" xfId="2697" xr:uid="{C7C5E07D-F949-4D94-B8BB-C42D01CF97A3}"/>
    <cellStyle name="Heading 3 2_T1 ANSP" xfId="2696" xr:uid="{3EAA8F2D-F7DD-41CA-9A36-CE1243F0333A}"/>
    <cellStyle name="Heading 3 3" xfId="2698" xr:uid="{1DD00154-3884-449E-994B-A2483134253C}"/>
    <cellStyle name="Heading 3 4" xfId="2699" xr:uid="{32C9FABE-5253-4B30-8A54-AF1019E0ABAD}"/>
    <cellStyle name="Heading 4 2" xfId="398" xr:uid="{00000000-0005-0000-0000-0000AE020000}"/>
    <cellStyle name="Heading 4 2 2" xfId="2701" xr:uid="{1662CE1D-0920-4DDC-963D-67120693F55D}"/>
    <cellStyle name="Heading 4 2_T1 ANSP" xfId="2700" xr:uid="{4C1029B7-7A21-4308-9435-01F9699D85DF}"/>
    <cellStyle name="Headings" xfId="2702" xr:uid="{75170108-9BC2-4A5B-9037-A629F13FB431}"/>
    <cellStyle name="Headings 2" xfId="2703" xr:uid="{98C0CA9C-6911-4F1B-AD16-6839C5AC5938}"/>
    <cellStyle name="Headings 2 2" xfId="2704" xr:uid="{84AA0A93-B58F-44EE-BE00-A2E8F850766A}"/>
    <cellStyle name="Headings 3" xfId="2705" xr:uid="{E60D1630-A2D6-4CAC-9037-DD165A2A82EF}"/>
    <cellStyle name="Headings 3 2" xfId="2706" xr:uid="{07F1361A-02F4-46AE-B295-371680DC7DA4}"/>
    <cellStyle name="Headings 4" xfId="2707" xr:uid="{84E0D42A-1021-4291-B961-EEC4BE4BD2C5}"/>
    <cellStyle name="Headings 4 2" xfId="2708" xr:uid="{9236AF29-FB27-4854-9CBE-B668D4FB5136}"/>
    <cellStyle name="Headings 5" xfId="2709" xr:uid="{3F248527-9D34-43BC-9649-AA6EB9054BDC}"/>
    <cellStyle name="Headings 5 2" xfId="2710" xr:uid="{7E1BEC0F-3FE5-46AC-A153-B696249BD7A1}"/>
    <cellStyle name="Headings 6" xfId="2711" xr:uid="{7B7213DF-1645-491E-9F6F-B86B322C5E07}"/>
    <cellStyle name="Headings 6 2" xfId="2712" xr:uid="{90BD7EF0-08D4-44FF-BF9B-4AC1A58E4C9E}"/>
    <cellStyle name="Headings 7" xfId="2713" xr:uid="{E96531A3-8F7C-412D-A36B-FFF755437F58}"/>
    <cellStyle name="HELV8BLUE" xfId="399" xr:uid="{00000000-0005-0000-0000-0000AF020000}"/>
    <cellStyle name="Hivatkozott cella 2" xfId="1174" xr:uid="{00000000-0005-0000-0000-0000B0020000}"/>
    <cellStyle name="Hoiatustekst" xfId="400" xr:uid="{00000000-0005-0000-0000-0000B1020000}"/>
    <cellStyle name="Hoiatustekst 2" xfId="1175" xr:uid="{00000000-0005-0000-0000-0000B2020000}"/>
    <cellStyle name="Hoiatustekst 3" xfId="1176" xr:uid="{00000000-0005-0000-0000-0000B3020000}"/>
    <cellStyle name="Huomautus" xfId="401" xr:uid="{00000000-0005-0000-0000-0000B4020000}"/>
    <cellStyle name="Huomautus 10" xfId="2714" xr:uid="{5D7D55A4-8397-4779-B6AC-9DEA3C6DFE6A}"/>
    <cellStyle name="Huomautus 10 2" xfId="2715" xr:uid="{95178EA8-2B19-4AD1-875D-5340E73F178B}"/>
    <cellStyle name="Huomautus 11" xfId="2716" xr:uid="{78EB63CE-FE42-4976-AAB0-DE53C6F4A0D5}"/>
    <cellStyle name="Huomautus 11 2" xfId="2717" xr:uid="{D949094B-6A70-43BD-878A-FC49C2CED795}"/>
    <cellStyle name="Huomautus 12" xfId="2718" xr:uid="{3D653B94-57EB-42A4-813E-4CDDCB9B0775}"/>
    <cellStyle name="Huomautus 12 2" xfId="2719" xr:uid="{6BCDB3D7-73C0-4C4F-A544-CE94E6EF3A80}"/>
    <cellStyle name="Huomautus 13" xfId="2720" xr:uid="{8B9B15BA-A617-46B8-A3C9-6C82A3930489}"/>
    <cellStyle name="Huomautus 13 2" xfId="2721" xr:uid="{F5A7A14C-2429-4241-8596-DB160CAC5F24}"/>
    <cellStyle name="Huomautus 14" xfId="2722" xr:uid="{46E59513-012F-4A7D-85D0-F73A495215FF}"/>
    <cellStyle name="Huomautus 14 2" xfId="2723" xr:uid="{EFCF0EFA-4713-4A73-A61B-F3D327BA7784}"/>
    <cellStyle name="Huomautus 15" xfId="2724" xr:uid="{9BB1FFAD-9DD0-46DD-9DEF-0C43B523B2B9}"/>
    <cellStyle name="Huomautus 15 2" xfId="2725" xr:uid="{5F9C09A0-949A-489D-B0BB-51AA02D69FE8}"/>
    <cellStyle name="Huomautus 16" xfId="2726" xr:uid="{8580CBD7-9627-4FAF-92B2-DAEF0EEA3882}"/>
    <cellStyle name="Huomautus 2" xfId="402" xr:uid="{00000000-0005-0000-0000-0000B5020000}"/>
    <cellStyle name="Huomautus 2 2" xfId="2727" xr:uid="{F59D9623-1464-482B-B410-353B3A5154AB}"/>
    <cellStyle name="Huomautus 2 3" xfId="2728" xr:uid="{FFAE3321-B541-4517-A3A3-95F82A56AC82}"/>
    <cellStyle name="Huomautus 3" xfId="1467" xr:uid="{00000000-0005-0000-0000-0000B6020000}"/>
    <cellStyle name="Huomautus 3 2" xfId="2729" xr:uid="{CB86D683-3296-446E-8A2E-A74B4772E105}"/>
    <cellStyle name="Huomautus 4" xfId="2730" xr:uid="{6C47C361-D6E6-45EC-8CEA-6CB430593FA4}"/>
    <cellStyle name="Huomautus 4 2" xfId="2731" xr:uid="{0A564C5E-84AA-4922-A52C-24AF068ABD55}"/>
    <cellStyle name="Huomautus 5" xfId="2732" xr:uid="{E5E13970-5124-44F6-A4D4-202F5BB9E14E}"/>
    <cellStyle name="Huomautus 5 2" xfId="2733" xr:uid="{10D89ECC-8138-4F5F-A921-D54A28EB314F}"/>
    <cellStyle name="Huomautus 6" xfId="2734" xr:uid="{AE27F61F-E4D0-4C36-96C5-B4AF3F1BAFC5}"/>
    <cellStyle name="Huomautus 6 2" xfId="2735" xr:uid="{087D4867-578C-4AF8-9D7F-1EE4CEDF6A6F}"/>
    <cellStyle name="Huomautus 7" xfId="2736" xr:uid="{0DCE8033-DA78-49AD-BB1A-867F94E78091}"/>
    <cellStyle name="Huomautus 7 2" xfId="2737" xr:uid="{400AC3E7-3624-4F73-853F-E007DD14EEC2}"/>
    <cellStyle name="Huomautus 8" xfId="2738" xr:uid="{F640B78E-4E46-41E1-9815-B4F2D0820233}"/>
    <cellStyle name="Huomautus 8 2" xfId="2739" xr:uid="{BFD337E0-D35B-4235-A68C-604EB547DC89}"/>
    <cellStyle name="Huomautus 9" xfId="2740" xr:uid="{A67D9CDE-E2AD-4DF2-8209-CEFE8B03679A}"/>
    <cellStyle name="Huomautus 9 2" xfId="2741" xr:uid="{36567F54-73B5-432F-8596-E13C21DD4CE0}"/>
    <cellStyle name="Huono" xfId="403" xr:uid="{00000000-0005-0000-0000-0000B7020000}"/>
    <cellStyle name="hvb mjhgvhgv" xfId="404" xr:uid="{00000000-0005-0000-0000-0000B8020000}"/>
    <cellStyle name="Hyperlink 2" xfId="405" xr:uid="{00000000-0005-0000-0000-0000B9020000}"/>
    <cellStyle name="Hyperlink 2 2" xfId="1292" xr:uid="{00000000-0005-0000-0000-0000BA020000}"/>
    <cellStyle name="Hyperlink 2 3" xfId="2743" xr:uid="{CB4E6313-A802-4BD9-B150-0FE975223266}"/>
    <cellStyle name="Hyperlink 2_T1 ANSP" xfId="2742" xr:uid="{DA1A926B-34D9-4BAA-AABD-0295035769DD}"/>
    <cellStyle name="Hyperlink 3" xfId="10" xr:uid="{00000000-0005-0000-0000-0000BB020000}"/>
    <cellStyle name="Hyperlink 3 2" xfId="2745" xr:uid="{38983888-C73A-4C57-86A3-404F5FFC293A}"/>
    <cellStyle name="Hyperlink 3_T1 ANSP" xfId="2744" xr:uid="{4791E89D-9F0B-464D-B83B-A9B0C2291288}"/>
    <cellStyle name="Hyvä" xfId="406" xr:uid="{00000000-0005-0000-0000-0000BC020000}"/>
    <cellStyle name="iButton" xfId="2746" xr:uid="{06721DF9-C68A-4773-8708-1D0F1B918F0A}"/>
    <cellStyle name="Incorrecto" xfId="407" xr:uid="{00000000-0005-0000-0000-0000BD020000}"/>
    <cellStyle name="Indata" xfId="408" xr:uid="{00000000-0005-0000-0000-0000BE020000}"/>
    <cellStyle name="Indata 2" xfId="1485" xr:uid="{00000000-0005-0000-0000-0000BF020000}"/>
    <cellStyle name="Indata 3" xfId="1476" xr:uid="{00000000-0005-0000-0000-0000C0020000}"/>
    <cellStyle name="Index FITT" xfId="409" xr:uid="{00000000-0005-0000-0000-0000C1020000}"/>
    <cellStyle name="Input (StyleA)" xfId="410" xr:uid="{00000000-0005-0000-0000-0000C2020000}"/>
    <cellStyle name="Input (StyleA) 2" xfId="1477" xr:uid="{00000000-0005-0000-0000-0000C3020000}"/>
    <cellStyle name="Input 1" xfId="411" xr:uid="{00000000-0005-0000-0000-0000C4020000}"/>
    <cellStyle name="Input 1 - User" xfId="1295" xr:uid="{00000000-0005-0000-0000-0000C5020000}"/>
    <cellStyle name="Input 1 - User Index" xfId="2748" xr:uid="{B8849BC8-59E5-4AF5-BCD1-907C7B7EF245}"/>
    <cellStyle name="Input 1 - User Percentage" xfId="2749" xr:uid="{0B89A00C-BD9C-4081-B0B0-687FB7396B47}"/>
    <cellStyle name="Input 1 - User_T1 ANSP" xfId="2747" xr:uid="{05891E03-5B63-4792-9F50-391F701617F8}"/>
    <cellStyle name="Input 10" xfId="2750" xr:uid="{6F251431-2D5C-49CE-B0EB-3DFC77F651FE}"/>
    <cellStyle name="Input 10 2" xfId="2751" xr:uid="{97EC1F42-F639-4BFF-B7DB-69FC9E867E03}"/>
    <cellStyle name="Input 11" xfId="2752" xr:uid="{6D98F532-A470-4314-9FC3-7C11D5BD8F7F}"/>
    <cellStyle name="Input 11 2" xfId="2753" xr:uid="{AA3772C4-7702-46C9-BFAC-5F5960EFBBC2}"/>
    <cellStyle name="Input 12" xfId="2754" xr:uid="{C3545514-80BD-4FB9-875D-634266A2B75A}"/>
    <cellStyle name="Input 12 2" xfId="2755" xr:uid="{4A497AF0-9331-4C87-81FD-1A5EBB910F7D}"/>
    <cellStyle name="Input 13" xfId="2756" xr:uid="{1B3325D4-7AFC-40E5-83A8-85D77E3E924E}"/>
    <cellStyle name="Input 13 2" xfId="2757" xr:uid="{A425C5BD-BCD2-4BF5-A055-C3F67C4730B6}"/>
    <cellStyle name="Input 14" xfId="2758" xr:uid="{BE1A6CC4-B8D4-48C2-8A6F-E9CB12591BC4}"/>
    <cellStyle name="Input 14 2" xfId="2759" xr:uid="{1C1E34A4-5AFF-4538-B256-663899579B17}"/>
    <cellStyle name="Input 15" xfId="2760" xr:uid="{EB24701E-96F7-45CB-A513-A894C2110765}"/>
    <cellStyle name="Input 15 2" xfId="2761" xr:uid="{B124D4AF-7607-46FB-9D8D-F9FB6976B840}"/>
    <cellStyle name="Input 16" xfId="2762" xr:uid="{33DEE904-FBDD-4D23-A01E-031384761891}"/>
    <cellStyle name="Input 16 2" xfId="2763" xr:uid="{E8895E5A-D8BA-4D0C-AC72-7E948CE529E1}"/>
    <cellStyle name="Input 17" xfId="2764" xr:uid="{A5F29C7C-6866-49EC-B5B2-09E65CA9702D}"/>
    <cellStyle name="Input 17 2" xfId="2765" xr:uid="{2CDDC71F-F912-477D-B44F-62FF9BD12075}"/>
    <cellStyle name="Input 18" xfId="2766" xr:uid="{9CC914E7-F49C-47A2-A43F-C01DBFD358D3}"/>
    <cellStyle name="Input 18 2" xfId="2767" xr:uid="{6D390D7E-FEBF-477F-BFF0-660DBD69DB4C}"/>
    <cellStyle name="Input 19" xfId="2768" xr:uid="{CC572F3E-3321-42AB-8C42-3C7B574BE005}"/>
    <cellStyle name="Input 19 2" xfId="2769" xr:uid="{4D98B90D-8325-4887-8A62-F603249B6B11}"/>
    <cellStyle name="Input 2" xfId="412" xr:uid="{00000000-0005-0000-0000-0000C6020000}"/>
    <cellStyle name="Input 2 - Developer" xfId="1296" xr:uid="{00000000-0005-0000-0000-0000C7020000}"/>
    <cellStyle name="Input 2 10" xfId="2771" xr:uid="{2D5953BC-7C50-40D2-92A3-488C2D6715A8}"/>
    <cellStyle name="Input 2 10 2" xfId="2772" xr:uid="{E50104F2-3435-42AE-A48E-69F9108ACB8C}"/>
    <cellStyle name="Input 2 11" xfId="2773" xr:uid="{47A7D863-6129-4A61-9E90-4F25149B1F0F}"/>
    <cellStyle name="Input 2 11 2" xfId="2774" xr:uid="{C08D10B6-1ADF-440A-BDC6-1649FC540B38}"/>
    <cellStyle name="Input 2 12" xfId="2775" xr:uid="{DA5FE8C3-A65B-4157-8D96-1C179443860E}"/>
    <cellStyle name="Input 2 12 2" xfId="2776" xr:uid="{2903EF25-C713-48D4-912F-486D88317CC5}"/>
    <cellStyle name="Input 2 13" xfId="2777" xr:uid="{7CA54078-9336-4A52-B046-EE5E6D45D3DF}"/>
    <cellStyle name="Input 2 13 2" xfId="2778" xr:uid="{C0C0F76C-C652-4E65-A13C-D5478C93E486}"/>
    <cellStyle name="Input 2 14" xfId="2779" xr:uid="{8EF8268B-593E-4B06-8BBE-EC337D91CCA3}"/>
    <cellStyle name="Input 2 14 2" xfId="2780" xr:uid="{4BF213B0-0E1A-4D28-AC6A-EB8FB9355625}"/>
    <cellStyle name="Input 2 15" xfId="2781" xr:uid="{97646F8D-7F42-47EC-807D-525967BE360D}"/>
    <cellStyle name="Input 2 15 2" xfId="2782" xr:uid="{7A9E2B50-86A4-4B04-830B-FD6CB4C33AA3}"/>
    <cellStyle name="Input 2 16" xfId="2783" xr:uid="{2B05EFF9-DE62-4ECE-A320-430ACA3FA4A3}"/>
    <cellStyle name="Input 2 16 2" xfId="2784" xr:uid="{6FFBEDDB-40BB-4651-B8A9-75A2C51A1266}"/>
    <cellStyle name="Input 2 17" xfId="2785" xr:uid="{D4BE7C42-6DE0-4E44-9EF6-D5862E7E3D14}"/>
    <cellStyle name="Input 2 17 2" xfId="2786" xr:uid="{36CACA2C-2450-43A7-BCFD-B9BD1D161AE0}"/>
    <cellStyle name="Input 2 18" xfId="2787" xr:uid="{4D9BA397-691F-463F-B702-6B1EFFF8C8D2}"/>
    <cellStyle name="Input 2 18 2" xfId="2788" xr:uid="{DA2A289E-CB73-4079-AC1A-D4792C2C0811}"/>
    <cellStyle name="Input 2 19" xfId="2789" xr:uid="{2517DA92-BE78-4441-8ABD-B7540F022115}"/>
    <cellStyle name="Input 2 19 2" xfId="2790" xr:uid="{F174E207-4E71-47E1-A312-CF1E7E14F39F}"/>
    <cellStyle name="Input 2 2" xfId="2791" xr:uid="{16EEF24C-5FEE-40F3-A0AD-B62225A37857}"/>
    <cellStyle name="Input 2 2 10" xfId="2792" xr:uid="{4E38642E-AA26-45C5-8EFF-8428DAE716C6}"/>
    <cellStyle name="Input 2 2 10 2" xfId="2793" xr:uid="{BCA42476-DF4E-4DE2-B593-1D7C66112756}"/>
    <cellStyle name="Input 2 2 11" xfId="2794" xr:uid="{05DAE38E-2770-48DE-9C9A-3568AC868A44}"/>
    <cellStyle name="Input 2 2 11 2" xfId="2795" xr:uid="{6F34BE0D-C866-4B24-B2CF-33B80DDF029D}"/>
    <cellStyle name="Input 2 2 12" xfId="2796" xr:uid="{A0ADA539-BD88-40FA-878E-9D237CFBDC72}"/>
    <cellStyle name="Input 2 2 12 2" xfId="2797" xr:uid="{FD851375-BCF9-4C29-942B-432DDD8AA447}"/>
    <cellStyle name="Input 2 2 13" xfId="2798" xr:uid="{8B2BC752-4971-40B6-BE7A-68EED8663425}"/>
    <cellStyle name="Input 2 2 13 2" xfId="2799" xr:uid="{C6E33DB5-0556-4D96-9556-FBD5EA124C45}"/>
    <cellStyle name="Input 2 2 14" xfId="2800" xr:uid="{7FE260D6-5A85-4A24-8C5E-9F3F94A428B3}"/>
    <cellStyle name="Input 2 2 14 2" xfId="2801" xr:uid="{C0B95AC5-2FE4-4F31-A332-6B43A86B6943}"/>
    <cellStyle name="Input 2 2 15" xfId="2802" xr:uid="{768B94E2-A090-4CAD-A9EA-A8B203B44904}"/>
    <cellStyle name="Input 2 2 15 2" xfId="2803" xr:uid="{6487D20C-BB81-40FA-8EF6-C913DFCB174C}"/>
    <cellStyle name="Input 2 2 16" xfId="2804" xr:uid="{E50DF152-F490-4F41-A13B-F72960DFA8DA}"/>
    <cellStyle name="Input 2 2 16 2" xfId="2805" xr:uid="{0159C654-B527-4031-8D99-020E310DCFA7}"/>
    <cellStyle name="Input 2 2 17" xfId="2806" xr:uid="{CB129FA5-0D70-4240-9890-8C0058079A1C}"/>
    <cellStyle name="Input 2 2 17 2" xfId="2807" xr:uid="{B06D8585-D769-4CFC-AB50-64934CE30229}"/>
    <cellStyle name="Input 2 2 2" xfId="2808" xr:uid="{6468F7D2-C210-47BD-88CF-D67907FCC7CD}"/>
    <cellStyle name="Input 2 2 2 10" xfId="2809" xr:uid="{7DCDEC0F-3F58-4D62-BAC8-C3E51161B089}"/>
    <cellStyle name="Input 2 2 2 10 2" xfId="2810" xr:uid="{BE8FDF3F-2F64-4779-BA28-1D0305EE6E59}"/>
    <cellStyle name="Input 2 2 2 11" xfId="2811" xr:uid="{E0212F18-B60C-4877-B67F-C0D326D0DA49}"/>
    <cellStyle name="Input 2 2 2 11 2" xfId="2812" xr:uid="{DAFEE7F7-B763-45B9-93F4-B32D2E83D04E}"/>
    <cellStyle name="Input 2 2 2 12" xfId="2813" xr:uid="{D5776F76-8536-496A-8B23-F0924F17A416}"/>
    <cellStyle name="Input 2 2 2 12 2" xfId="2814" xr:uid="{2C09F7F8-E391-442C-88B2-D79E1C3A0633}"/>
    <cellStyle name="Input 2 2 2 13" xfId="2815" xr:uid="{01991063-96CC-4E3A-82D4-2D8B94D61EF3}"/>
    <cellStyle name="Input 2 2 2 13 2" xfId="2816" xr:uid="{B55D782C-63CD-4DC4-A708-32684D76E4B4}"/>
    <cellStyle name="Input 2 2 2 14" xfId="2817" xr:uid="{095C68E2-7383-4070-B32F-4CBD7269E04C}"/>
    <cellStyle name="Input 2 2 2 14 2" xfId="2818" xr:uid="{4796FC05-15E7-4534-9ED2-DEA6D701147C}"/>
    <cellStyle name="Input 2 2 2 15" xfId="2819" xr:uid="{6A8003E1-60AD-4EB0-8986-371782106226}"/>
    <cellStyle name="Input 2 2 2 15 2" xfId="2820" xr:uid="{45E0E17C-E26B-4A3B-8CDC-7AEA69EF2405}"/>
    <cellStyle name="Input 2 2 2 2" xfId="2821" xr:uid="{31F9E8F8-EFC6-45BD-8572-C59361A377E2}"/>
    <cellStyle name="Input 2 2 2 2 2" xfId="2822" xr:uid="{D4786BD0-40D8-4897-8585-03199DBC9699}"/>
    <cellStyle name="Input 2 2 2 3" xfId="2823" xr:uid="{BB916DC8-878D-4F94-9C49-AC27D03047B7}"/>
    <cellStyle name="Input 2 2 2 3 2" xfId="2824" xr:uid="{9252BBDD-7F68-427C-9AF8-5E1CD39CB950}"/>
    <cellStyle name="Input 2 2 2 4" xfId="2825" xr:uid="{3C033241-9DC5-409E-81A3-25BFD0317205}"/>
    <cellStyle name="Input 2 2 2 4 2" xfId="2826" xr:uid="{1F20F086-F6C7-4DB9-9878-FD819B6BB6A2}"/>
    <cellStyle name="Input 2 2 2 5" xfId="2827" xr:uid="{1F0B700D-2C96-4116-9BA1-A6E33FF449B5}"/>
    <cellStyle name="Input 2 2 2 5 2" xfId="2828" xr:uid="{F1507CAF-1B20-4F94-B208-83568D8E09F4}"/>
    <cellStyle name="Input 2 2 2 6" xfId="2829" xr:uid="{4C4E2010-84D6-4F04-B097-6E84B0476189}"/>
    <cellStyle name="Input 2 2 2 6 2" xfId="2830" xr:uid="{7B8BA472-99AE-433D-835D-6A3DF60FD6EA}"/>
    <cellStyle name="Input 2 2 2 7" xfId="2831" xr:uid="{68353984-BBC5-4619-A01F-E9CB0EA8EDCA}"/>
    <cellStyle name="Input 2 2 2 7 2" xfId="2832" xr:uid="{CE918134-3E26-42CD-9020-B2D78F7767F6}"/>
    <cellStyle name="Input 2 2 2 8" xfId="2833" xr:uid="{E43E272D-771E-4295-A973-7EFC4224117B}"/>
    <cellStyle name="Input 2 2 2 8 2" xfId="2834" xr:uid="{E70F0BCF-F231-472D-924E-476ADCA22257}"/>
    <cellStyle name="Input 2 2 2 9" xfId="2835" xr:uid="{5EFB4984-AC03-4BCC-9134-E17CCFC4C0EB}"/>
    <cellStyle name="Input 2 2 2 9 2" xfId="2836" xr:uid="{07B75B49-125D-4E2D-90C8-45AA988FFDBF}"/>
    <cellStyle name="Input 2 2 3" xfId="2837" xr:uid="{2E937466-B0AB-4E9D-B5CC-1B16415404BD}"/>
    <cellStyle name="Input 2 2 3 10" xfId="2838" xr:uid="{2CD76679-9E27-46AA-A4EF-7FD8E134DAE7}"/>
    <cellStyle name="Input 2 2 3 10 2" xfId="2839" xr:uid="{70BAC50B-31C5-4C1C-8464-E790115944C8}"/>
    <cellStyle name="Input 2 2 3 11" xfId="2840" xr:uid="{33A38452-022F-4916-9D57-93CC10F4218F}"/>
    <cellStyle name="Input 2 2 3 11 2" xfId="2841" xr:uid="{A23EDC12-58BE-4BAA-9773-9A969E0CCB28}"/>
    <cellStyle name="Input 2 2 3 12" xfId="2842" xr:uid="{CC7803FB-E196-4664-BBAB-DEB33A16C5B2}"/>
    <cellStyle name="Input 2 2 3 12 2" xfId="2843" xr:uid="{7CCCA72F-7771-4CBA-9EB9-93A9B0AD60E4}"/>
    <cellStyle name="Input 2 2 3 13" xfId="2844" xr:uid="{86734B0D-4758-4E18-AEE6-DF05E92AD911}"/>
    <cellStyle name="Input 2 2 3 13 2" xfId="2845" xr:uid="{FCD650B0-0EE0-4169-BA7E-AE9E611B7F2E}"/>
    <cellStyle name="Input 2 2 3 14" xfId="2846" xr:uid="{013DF781-3795-4910-AA12-30D2A94BC083}"/>
    <cellStyle name="Input 2 2 3 14 2" xfId="2847" xr:uid="{FEB8CEE9-E48A-4570-BF8E-7B89004B5D15}"/>
    <cellStyle name="Input 2 2 3 15" xfId="2848" xr:uid="{C1745D7F-E33B-407B-8B67-4B02330E7E6B}"/>
    <cellStyle name="Input 2 2 3 15 2" xfId="2849" xr:uid="{6603BEC6-090A-44E6-8E31-736F87D1D1A3}"/>
    <cellStyle name="Input 2 2 3 2" xfId="2850" xr:uid="{0454C102-2C7E-4676-8FBD-85748A15CE3C}"/>
    <cellStyle name="Input 2 2 3 2 2" xfId="2851" xr:uid="{624605C0-2361-478E-A435-8A0C8E220A31}"/>
    <cellStyle name="Input 2 2 3 3" xfId="2852" xr:uid="{6BC5BBB8-E7D5-41FA-92E2-6BA55BDF6011}"/>
    <cellStyle name="Input 2 2 3 3 2" xfId="2853" xr:uid="{49E9DC43-D4B2-4006-9C94-DCB80A3B26BC}"/>
    <cellStyle name="Input 2 2 3 4" xfId="2854" xr:uid="{AFD75058-B5FE-4233-BF32-023405937CEC}"/>
    <cellStyle name="Input 2 2 3 4 2" xfId="2855" xr:uid="{B9985B01-A778-49E9-87A4-504AD5FABCC9}"/>
    <cellStyle name="Input 2 2 3 5" xfId="2856" xr:uid="{48FE323A-BE0E-425B-B539-7BEF59F1FD8F}"/>
    <cellStyle name="Input 2 2 3 5 2" xfId="2857" xr:uid="{0901B0B2-4FE1-4940-BFC9-0348C1358BFF}"/>
    <cellStyle name="Input 2 2 3 6" xfId="2858" xr:uid="{5F878349-2BF1-4639-B88B-6FCE7660B8DF}"/>
    <cellStyle name="Input 2 2 3 6 2" xfId="2859" xr:uid="{02838C80-C3EA-4C2E-A13B-67BF5EAA77F3}"/>
    <cellStyle name="Input 2 2 3 7" xfId="2860" xr:uid="{D55BDA98-DD5E-4BDE-A528-EE25E0737745}"/>
    <cellStyle name="Input 2 2 3 7 2" xfId="2861" xr:uid="{20861C08-A8B3-4F7E-A8EA-678940112A12}"/>
    <cellStyle name="Input 2 2 3 8" xfId="2862" xr:uid="{F7766AC9-A098-4892-BB5B-087F97A1E073}"/>
    <cellStyle name="Input 2 2 3 8 2" xfId="2863" xr:uid="{C2DA0110-4E20-488E-882C-C8604ED1A2BA}"/>
    <cellStyle name="Input 2 2 3 9" xfId="2864" xr:uid="{196D9645-8166-4A3B-96E3-45D999710C33}"/>
    <cellStyle name="Input 2 2 3 9 2" xfId="2865" xr:uid="{9FAC98AD-E0FB-4F1E-A131-245E02080D6B}"/>
    <cellStyle name="Input 2 2 4" xfId="2866" xr:uid="{5713514B-5739-4CE3-BD15-0E9D88D35AF1}"/>
    <cellStyle name="Input 2 2 4 2" xfId="2867" xr:uid="{9C036C91-F031-4E2D-81EE-5AD1C9E42BE5}"/>
    <cellStyle name="Input 2 2 5" xfId="2868" xr:uid="{0F99DD1A-A756-4F65-837F-880AD099DF37}"/>
    <cellStyle name="Input 2 2 5 2" xfId="2869" xr:uid="{CDD16B55-5E83-4677-B11D-4DBA7D719F18}"/>
    <cellStyle name="Input 2 2 6" xfId="2870" xr:uid="{AE17194F-6761-46D3-BFB2-FB5215A7A474}"/>
    <cellStyle name="Input 2 2 6 2" xfId="2871" xr:uid="{95376E8B-5F9B-4575-8096-DD96C55CD04E}"/>
    <cellStyle name="Input 2 2 7" xfId="2872" xr:uid="{A2449CEF-F342-4182-B77F-1D53B4C0535D}"/>
    <cellStyle name="Input 2 2 7 2" xfId="2873" xr:uid="{68AE1291-9E92-40E6-863E-01FB790F6FB0}"/>
    <cellStyle name="Input 2 2 8" xfId="2874" xr:uid="{18C18C2D-4DAA-40E2-93D1-F71EDC08C288}"/>
    <cellStyle name="Input 2 2 8 2" xfId="2875" xr:uid="{9C9AD94F-8786-4CD8-B66B-45A2269CE286}"/>
    <cellStyle name="Input 2 2 9" xfId="2876" xr:uid="{33842041-654D-4B11-8E65-93C4972B07F8}"/>
    <cellStyle name="Input 2 2 9 2" xfId="2877" xr:uid="{858E7A9D-9D6D-46F2-A7AF-677772F9AE2F}"/>
    <cellStyle name="Input 2 20" xfId="2878" xr:uid="{B1CECB22-8F82-4682-916A-6458D7313ECA}"/>
    <cellStyle name="Input 2 21" xfId="2879" xr:uid="{9FAA04EE-FDA8-4F48-BE25-F5F122DB67F0}"/>
    <cellStyle name="Input 2 3" xfId="2880" xr:uid="{876AF1BE-4DF7-4A5B-9251-B0D503736303}"/>
    <cellStyle name="Input 2 3 10" xfId="2881" xr:uid="{795E683F-E4C7-4239-A304-6BEBB59FFA1B}"/>
    <cellStyle name="Input 2 3 10 2" xfId="2882" xr:uid="{EA2154BD-CB11-45AE-9A04-773A901AF801}"/>
    <cellStyle name="Input 2 3 11" xfId="2883" xr:uid="{74C9FCDF-2D71-4835-9A13-C4671E9E92AB}"/>
    <cellStyle name="Input 2 3 11 2" xfId="2884" xr:uid="{15D18C2E-F034-4243-9567-4594950BBDCC}"/>
    <cellStyle name="Input 2 3 12" xfId="2885" xr:uid="{76FCDC64-F28E-4DED-ABED-FB157EF8725E}"/>
    <cellStyle name="Input 2 3 12 2" xfId="2886" xr:uid="{42433C2F-F7D9-495A-8D2F-09F5E81B93C3}"/>
    <cellStyle name="Input 2 3 13" xfId="2887" xr:uid="{54E2B133-AA54-453D-8DA2-AB59A99B0585}"/>
    <cellStyle name="Input 2 3 13 2" xfId="2888" xr:uid="{396F9B96-1039-4FA7-8435-403D3FB1D01F}"/>
    <cellStyle name="Input 2 3 14" xfId="2889" xr:uid="{49192C2D-F1DC-41A4-B770-C22FB4E7904F}"/>
    <cellStyle name="Input 2 3 14 2" xfId="2890" xr:uid="{752C1F40-C10F-4091-967B-DD90439EB764}"/>
    <cellStyle name="Input 2 3 15" xfId="2891" xr:uid="{DC7B13B8-5942-42D6-A771-0AFF24C61768}"/>
    <cellStyle name="Input 2 3 15 2" xfId="2892" xr:uid="{0207BB04-C2F1-4D92-A345-8B99A35C827D}"/>
    <cellStyle name="Input 2 3 16" xfId="2893" xr:uid="{32E1B4E5-2BBC-4B6E-B2B0-A450052087B4}"/>
    <cellStyle name="Input 2 3 16 2" xfId="2894" xr:uid="{1636792B-06C6-4D60-943C-BCA517FADCFF}"/>
    <cellStyle name="Input 2 3 17" xfId="2895" xr:uid="{90FED1B8-A01F-42A8-B212-4A8AD5ADF6B3}"/>
    <cellStyle name="Input 2 3 17 2" xfId="2896" xr:uid="{1FEF9C5F-7393-4AB7-ACC1-C99582B5F726}"/>
    <cellStyle name="Input 2 3 2" xfId="2897" xr:uid="{4F8D1086-16EC-4D38-98EB-417FBCF37B37}"/>
    <cellStyle name="Input 2 3 2 10" xfId="2898" xr:uid="{2F635062-49B3-4260-A6A5-16D0E5B0E5AE}"/>
    <cellStyle name="Input 2 3 2 10 2" xfId="2899" xr:uid="{965C01D9-CC6C-4260-B001-3D781D3A4485}"/>
    <cellStyle name="Input 2 3 2 11" xfId="2900" xr:uid="{EA6D8C30-9EC4-4BB9-9C75-48B3C3AB28A6}"/>
    <cellStyle name="Input 2 3 2 11 2" xfId="2901" xr:uid="{9C7AE531-514C-4EC6-85F6-594E883FFAA0}"/>
    <cellStyle name="Input 2 3 2 12" xfId="2902" xr:uid="{A05AB81E-8D5B-4E7F-AC66-55594AC4D786}"/>
    <cellStyle name="Input 2 3 2 12 2" xfId="2903" xr:uid="{45E9FABB-F7B7-46E5-8BD6-61537BAA1D43}"/>
    <cellStyle name="Input 2 3 2 13" xfId="2904" xr:uid="{03F7FF6E-A879-4609-BFD8-FD0A34FBC3BC}"/>
    <cellStyle name="Input 2 3 2 13 2" xfId="2905" xr:uid="{F14198E4-6AE1-4A78-97BD-896C55E1240B}"/>
    <cellStyle name="Input 2 3 2 14" xfId="2906" xr:uid="{FA19AFD0-A801-4A8A-9D5F-6031AEC518B4}"/>
    <cellStyle name="Input 2 3 2 14 2" xfId="2907" xr:uid="{C94E4DA0-FBE3-4636-AF41-569F8D63FEE6}"/>
    <cellStyle name="Input 2 3 2 15" xfId="2908" xr:uid="{13D96EB6-C69D-4F7C-9238-B6DE853FACD9}"/>
    <cellStyle name="Input 2 3 2 15 2" xfId="2909" xr:uid="{10196DC6-BA45-4322-BB5C-5F79ADC14960}"/>
    <cellStyle name="Input 2 3 2 2" xfId="2910" xr:uid="{2ACE9473-CD59-4935-B3FD-F83FCF3F6861}"/>
    <cellStyle name="Input 2 3 2 2 2" xfId="2911" xr:uid="{FC7C9CB4-F23D-4D16-A0D5-71A4EF130844}"/>
    <cellStyle name="Input 2 3 2 3" xfId="2912" xr:uid="{F6F64530-4DCA-4D0C-9A3A-8C90271625A1}"/>
    <cellStyle name="Input 2 3 2 3 2" xfId="2913" xr:uid="{4FC3E293-44B5-4570-904E-CD97270438B1}"/>
    <cellStyle name="Input 2 3 2 4" xfId="2914" xr:uid="{BFE2A22F-2495-4891-9B0A-E7681430C884}"/>
    <cellStyle name="Input 2 3 2 4 2" xfId="2915" xr:uid="{35CD4178-E443-4855-9A7D-47D017548855}"/>
    <cellStyle name="Input 2 3 2 5" xfId="2916" xr:uid="{89E6B280-1428-453C-82CB-E636F73A28CE}"/>
    <cellStyle name="Input 2 3 2 5 2" xfId="2917" xr:uid="{697AC747-F2A2-4F3A-9029-EC19C1CB02DD}"/>
    <cellStyle name="Input 2 3 2 6" xfId="2918" xr:uid="{284505B1-541E-4E62-AEAF-9379B9F6BA28}"/>
    <cellStyle name="Input 2 3 2 6 2" xfId="2919" xr:uid="{CA214270-5800-40E5-8066-4A58D5BC4918}"/>
    <cellStyle name="Input 2 3 2 7" xfId="2920" xr:uid="{57A7B9C1-64E3-4A1E-A686-CBFA9DFFFE84}"/>
    <cellStyle name="Input 2 3 2 7 2" xfId="2921" xr:uid="{22AC96DA-93DA-442C-9883-A3E9EBCBE011}"/>
    <cellStyle name="Input 2 3 2 8" xfId="2922" xr:uid="{0CD68B65-FD52-4D0F-8516-78E7621528B6}"/>
    <cellStyle name="Input 2 3 2 8 2" xfId="2923" xr:uid="{57E609D9-B277-4A3C-97F4-7DC55E091607}"/>
    <cellStyle name="Input 2 3 2 9" xfId="2924" xr:uid="{B7EB1E66-C3CF-4D99-8995-4F07C4148B7B}"/>
    <cellStyle name="Input 2 3 2 9 2" xfId="2925" xr:uid="{15AAB0E3-333A-46C7-8064-F1A78AF6BBD9}"/>
    <cellStyle name="Input 2 3 3" xfId="2926" xr:uid="{7E308F26-1DA5-46CE-BD89-378C4CD9CEAF}"/>
    <cellStyle name="Input 2 3 3 10" xfId="2927" xr:uid="{217EC2DF-BC06-42A7-9F7B-2C9C9166E5A6}"/>
    <cellStyle name="Input 2 3 3 10 2" xfId="2928" xr:uid="{218F2FA5-6A18-4CF4-8049-03571A26B0EC}"/>
    <cellStyle name="Input 2 3 3 11" xfId="2929" xr:uid="{181DF4CD-C94F-4214-8E6D-F22357EC839C}"/>
    <cellStyle name="Input 2 3 3 11 2" xfId="2930" xr:uid="{7A04674A-BB8E-4C01-871A-8BFE2714C2F8}"/>
    <cellStyle name="Input 2 3 3 12" xfId="2931" xr:uid="{A6DE2E89-C00C-4C8C-AD75-CA868DBD0EC4}"/>
    <cellStyle name="Input 2 3 3 12 2" xfId="2932" xr:uid="{418B8FA5-7CFE-45C5-8DC0-D6FD23ADBBD6}"/>
    <cellStyle name="Input 2 3 3 13" xfId="2933" xr:uid="{EE8033CE-7468-4BF6-9B13-A0C7D2982DA9}"/>
    <cellStyle name="Input 2 3 3 13 2" xfId="2934" xr:uid="{757DB7B8-B71C-4CF3-BC3E-8561A3E67C88}"/>
    <cellStyle name="Input 2 3 3 14" xfId="2935" xr:uid="{DE8DADEC-C140-4E23-B3E5-385D27EB9D7D}"/>
    <cellStyle name="Input 2 3 3 14 2" xfId="2936" xr:uid="{39050BE2-CEAC-4425-ACF2-287A2508E156}"/>
    <cellStyle name="Input 2 3 3 15" xfId="2937" xr:uid="{BEB1BA0E-DDF2-4442-847E-B606760E6A93}"/>
    <cellStyle name="Input 2 3 3 15 2" xfId="2938" xr:uid="{6B0BB46B-5C93-4719-B504-278C5380694D}"/>
    <cellStyle name="Input 2 3 3 2" xfId="2939" xr:uid="{C283F266-D1FC-433C-8F0F-E366FF93C53A}"/>
    <cellStyle name="Input 2 3 3 2 2" xfId="2940" xr:uid="{2AB8716D-33C6-4B14-9949-2ACE651AFD5C}"/>
    <cellStyle name="Input 2 3 3 3" xfId="2941" xr:uid="{22F39535-9A3C-4FC9-BFA0-AEBFE19F7A07}"/>
    <cellStyle name="Input 2 3 3 3 2" xfId="2942" xr:uid="{C5C265B3-C3B1-4DA8-AB65-D28DA4F9B294}"/>
    <cellStyle name="Input 2 3 3 4" xfId="2943" xr:uid="{9C6799AA-5B23-49A2-B8AF-DEF1F3ABF7DE}"/>
    <cellStyle name="Input 2 3 3 4 2" xfId="2944" xr:uid="{CD8343ED-9938-46D3-B7EA-213C066A2C96}"/>
    <cellStyle name="Input 2 3 3 5" xfId="2945" xr:uid="{F86D9C79-D9CC-4471-85FB-0838075BFDBE}"/>
    <cellStyle name="Input 2 3 3 5 2" xfId="2946" xr:uid="{7ADFFFEA-85D9-4454-A33D-F869B9CA13A1}"/>
    <cellStyle name="Input 2 3 3 6" xfId="2947" xr:uid="{B4E85F0F-428A-4801-9ADD-66DA0F159CD9}"/>
    <cellStyle name="Input 2 3 3 6 2" xfId="2948" xr:uid="{D676C420-64E1-4106-9C0B-9B1268F8CC8B}"/>
    <cellStyle name="Input 2 3 3 7" xfId="2949" xr:uid="{9E357717-E6B1-439E-9036-8A7C4045A876}"/>
    <cellStyle name="Input 2 3 3 7 2" xfId="2950" xr:uid="{9BCAE6E1-1E40-4CAB-BA56-2CEF74532156}"/>
    <cellStyle name="Input 2 3 3 8" xfId="2951" xr:uid="{383354A5-8ADF-4BD0-A391-3C5F2330AC1A}"/>
    <cellStyle name="Input 2 3 3 8 2" xfId="2952" xr:uid="{3CE5637A-B7F8-41AB-BFBE-FA64C2D5E545}"/>
    <cellStyle name="Input 2 3 3 9" xfId="2953" xr:uid="{6E0B039D-3777-4E29-A041-BBE9C6B0CC57}"/>
    <cellStyle name="Input 2 3 3 9 2" xfId="2954" xr:uid="{5703157A-FE3F-4F8D-9F25-096ADA4B5C76}"/>
    <cellStyle name="Input 2 3 4" xfId="2955" xr:uid="{1A1A3138-13F3-48DB-A2EF-A8F02AE282D5}"/>
    <cellStyle name="Input 2 3 4 2" xfId="2956" xr:uid="{8563C041-B4E6-40C5-8EB7-60AE975E65A0}"/>
    <cellStyle name="Input 2 3 5" xfId="2957" xr:uid="{E6D30112-EB97-4F59-B73B-8674C7DA38B2}"/>
    <cellStyle name="Input 2 3 5 2" xfId="2958" xr:uid="{64783889-3655-4916-80AE-659FD6F6975D}"/>
    <cellStyle name="Input 2 3 6" xfId="2959" xr:uid="{4AB83F14-F151-46AA-A928-54ABB8221D8F}"/>
    <cellStyle name="Input 2 3 6 2" xfId="2960" xr:uid="{D9BD4B7A-60C6-4522-9D80-B561B715900D}"/>
    <cellStyle name="Input 2 3 7" xfId="2961" xr:uid="{990B7F7E-DE4D-411E-80AA-83C80FCDAC5B}"/>
    <cellStyle name="Input 2 3 7 2" xfId="2962" xr:uid="{784E2191-2CA7-4ABF-BD6D-887FF823DEB0}"/>
    <cellStyle name="Input 2 3 8" xfId="2963" xr:uid="{12CF15F4-1CBB-434E-A85F-797E98879165}"/>
    <cellStyle name="Input 2 3 8 2" xfId="2964" xr:uid="{A815AF51-F429-4DEE-9C81-8D0F3E18D5B3}"/>
    <cellStyle name="Input 2 3 9" xfId="2965" xr:uid="{ACD78831-BA66-4AA8-AF92-C2DB88CF4E25}"/>
    <cellStyle name="Input 2 3 9 2" xfId="2966" xr:uid="{17A2E0CC-D14E-4D1F-878E-C6CB37788412}"/>
    <cellStyle name="Input 2 4" xfId="2967" xr:uid="{8A9729A3-335E-45B0-AFB7-60C493387BE2}"/>
    <cellStyle name="Input 2 4 10" xfId="2968" xr:uid="{5EA5FE8C-3F63-497E-83F4-52AE10186EEB}"/>
    <cellStyle name="Input 2 4 10 2" xfId="2969" xr:uid="{2CF58F80-A274-4F8F-829B-2CD30F4CC57E}"/>
    <cellStyle name="Input 2 4 11" xfId="2970" xr:uid="{7DD3302D-0EC1-4F17-A71F-285438E3F8DA}"/>
    <cellStyle name="Input 2 4 11 2" xfId="2971" xr:uid="{0A7D0AAA-C5EF-4C28-BEAE-57E53C61599B}"/>
    <cellStyle name="Input 2 4 12" xfId="2972" xr:uid="{F0EFACA9-A88C-42CD-905F-0EDB28C47A69}"/>
    <cellStyle name="Input 2 4 12 2" xfId="2973" xr:uid="{D0A9FE96-C3D6-4D06-A682-69731E2F0995}"/>
    <cellStyle name="Input 2 4 13" xfId="2974" xr:uid="{1FFE8345-A15C-42E5-8ED6-5478A387006D}"/>
    <cellStyle name="Input 2 4 13 2" xfId="2975" xr:uid="{DCD7F6C7-FF12-42C1-904A-22F692303A0B}"/>
    <cellStyle name="Input 2 4 14" xfId="2976" xr:uid="{83BBF538-84F9-4B09-8F62-3AEFCA6531AC}"/>
    <cellStyle name="Input 2 4 14 2" xfId="2977" xr:uid="{9959E3BC-B556-43FC-AD44-5AE79EF915CC}"/>
    <cellStyle name="Input 2 4 15" xfId="2978" xr:uid="{EBDFD16E-C4B5-471F-B4DA-946B183D61A0}"/>
    <cellStyle name="Input 2 4 15 2" xfId="2979" xr:uid="{B759E98A-1416-490F-A4C6-A6595707375D}"/>
    <cellStyle name="Input 2 4 16" xfId="2980" xr:uid="{5B521BBF-E5B5-4347-8085-42EC15C6212C}"/>
    <cellStyle name="Input 2 4 16 2" xfId="2981" xr:uid="{65F4B996-D04B-4C4E-B798-B0801355C52E}"/>
    <cellStyle name="Input 2 4 17" xfId="2982" xr:uid="{3E405D3A-622F-4401-89FF-9B5EF79A76D6}"/>
    <cellStyle name="Input 2 4 17 2" xfId="2983" xr:uid="{6CDD4365-9ADE-4C8F-A259-FE656C5EF915}"/>
    <cellStyle name="Input 2 4 2" xfId="2984" xr:uid="{127D3B93-4B39-4730-B983-8E7CD02C401F}"/>
    <cellStyle name="Input 2 4 2 10" xfId="2985" xr:uid="{C9C3D811-DBD6-4AC0-B9A8-089918D6874C}"/>
    <cellStyle name="Input 2 4 2 10 2" xfId="2986" xr:uid="{520A1F3D-8AE2-4FC9-AF93-1CBD2A804DB8}"/>
    <cellStyle name="Input 2 4 2 11" xfId="2987" xr:uid="{6F7150BC-F403-4122-A1D1-25A22CAA4861}"/>
    <cellStyle name="Input 2 4 2 11 2" xfId="2988" xr:uid="{3BF1AC44-ADC9-4D65-BC42-167407733BBE}"/>
    <cellStyle name="Input 2 4 2 12" xfId="2989" xr:uid="{1DBEA1A0-210F-484B-A8CE-679A559592BC}"/>
    <cellStyle name="Input 2 4 2 12 2" xfId="2990" xr:uid="{056CD32C-7074-4624-A7A6-DC7733F8C174}"/>
    <cellStyle name="Input 2 4 2 13" xfId="2991" xr:uid="{4C41966F-6A54-49B4-B3AD-E04013DD8E39}"/>
    <cellStyle name="Input 2 4 2 13 2" xfId="2992" xr:uid="{790F0724-81A7-4B7F-9593-1BD11655DC8B}"/>
    <cellStyle name="Input 2 4 2 14" xfId="2993" xr:uid="{3065CE96-F3A9-41AA-A8EB-19736A603FEA}"/>
    <cellStyle name="Input 2 4 2 14 2" xfId="2994" xr:uid="{6EFFCDB5-888B-4222-91EB-0582655877FD}"/>
    <cellStyle name="Input 2 4 2 15" xfId="2995" xr:uid="{8D92614F-CEC6-4351-8430-48235BFBC38F}"/>
    <cellStyle name="Input 2 4 2 15 2" xfId="2996" xr:uid="{9DEEBA99-EE87-4B61-96E5-F53CA5BC4859}"/>
    <cellStyle name="Input 2 4 2 2" xfId="2997" xr:uid="{DCD257A9-3F9E-44AF-AAD7-6A2C1556D4BA}"/>
    <cellStyle name="Input 2 4 2 2 2" xfId="2998" xr:uid="{A6D35F18-0252-4D9F-A648-F3BDA4B1657E}"/>
    <cellStyle name="Input 2 4 2 3" xfId="2999" xr:uid="{0A543D64-AC10-475E-9F5C-0F96E0C321DA}"/>
    <cellStyle name="Input 2 4 2 3 2" xfId="3000" xr:uid="{1BC1F91E-686B-46BE-AAA8-F9ABB60F4868}"/>
    <cellStyle name="Input 2 4 2 4" xfId="3001" xr:uid="{FDBBE53C-E790-430F-AF8D-FD28F01172D9}"/>
    <cellStyle name="Input 2 4 2 4 2" xfId="3002" xr:uid="{D19A32E8-F296-45A2-94D8-2748F685B084}"/>
    <cellStyle name="Input 2 4 2 5" xfId="3003" xr:uid="{377C04CE-8E4B-40FB-BBD6-D836E0D8C844}"/>
    <cellStyle name="Input 2 4 2 5 2" xfId="3004" xr:uid="{58F8D33A-6E02-49D9-8BE4-6B40B27DA414}"/>
    <cellStyle name="Input 2 4 2 6" xfId="3005" xr:uid="{EA78DE48-6ED9-4FA5-B5DC-52E563A7C505}"/>
    <cellStyle name="Input 2 4 2 6 2" xfId="3006" xr:uid="{0C094804-4EBC-4465-88F1-44CBDA08B9D7}"/>
    <cellStyle name="Input 2 4 2 7" xfId="3007" xr:uid="{93243FD2-18CE-4E07-A07B-73EE05F36D4F}"/>
    <cellStyle name="Input 2 4 2 7 2" xfId="3008" xr:uid="{321FC4D6-F432-4B33-A972-55D1976C8741}"/>
    <cellStyle name="Input 2 4 2 8" xfId="3009" xr:uid="{793E9A7E-CCCC-4EA0-8B6F-84F6EDA14339}"/>
    <cellStyle name="Input 2 4 2 8 2" xfId="3010" xr:uid="{D774EFC9-B236-4EBC-B490-DA020E92372F}"/>
    <cellStyle name="Input 2 4 2 9" xfId="3011" xr:uid="{9490B89C-BE07-4D18-8F2F-FBBB49519544}"/>
    <cellStyle name="Input 2 4 2 9 2" xfId="3012" xr:uid="{27F362D1-E37B-4C93-B860-06FE88DED589}"/>
    <cellStyle name="Input 2 4 3" xfId="3013" xr:uid="{2A4BB8DB-A995-43F2-8747-D6DC6F1A78C0}"/>
    <cellStyle name="Input 2 4 3 10" xfId="3014" xr:uid="{5D1EADCB-A27D-4B78-BBB6-90CAB06B41BA}"/>
    <cellStyle name="Input 2 4 3 10 2" xfId="3015" xr:uid="{2A4AC0CE-BB46-49DD-A195-8E3692C6A823}"/>
    <cellStyle name="Input 2 4 3 11" xfId="3016" xr:uid="{550B492F-E56D-4AA9-A1F4-C6F609D4F3F4}"/>
    <cellStyle name="Input 2 4 3 11 2" xfId="3017" xr:uid="{F3B42F15-4CA1-4A9A-A574-6D9CD0C0319F}"/>
    <cellStyle name="Input 2 4 3 12" xfId="3018" xr:uid="{8A33CCE5-2B76-4706-85AD-30B08144FB6D}"/>
    <cellStyle name="Input 2 4 3 12 2" xfId="3019" xr:uid="{AEF891B9-FEA9-4F60-9435-7A6CE6D823C6}"/>
    <cellStyle name="Input 2 4 3 13" xfId="3020" xr:uid="{725C1029-097A-4287-8FC5-AC4DD3807EFA}"/>
    <cellStyle name="Input 2 4 3 13 2" xfId="3021" xr:uid="{982B7EAB-849D-444D-A090-A42136406DFC}"/>
    <cellStyle name="Input 2 4 3 14" xfId="3022" xr:uid="{082231A4-246A-49EF-97DA-280FB1EB9046}"/>
    <cellStyle name="Input 2 4 3 14 2" xfId="3023" xr:uid="{E7099768-915A-4FF5-AF8C-8072322B2048}"/>
    <cellStyle name="Input 2 4 3 15" xfId="3024" xr:uid="{E83F05D5-04B9-48DF-A085-BEFD9FD57787}"/>
    <cellStyle name="Input 2 4 3 15 2" xfId="3025" xr:uid="{BB42B442-1B9A-4844-BD77-725A2D0F0436}"/>
    <cellStyle name="Input 2 4 3 2" xfId="3026" xr:uid="{7B2D0941-C728-440B-BE5C-09A28D1F314F}"/>
    <cellStyle name="Input 2 4 3 2 2" xfId="3027" xr:uid="{2DECF5A6-327C-45D7-AF4E-094DAEB0628C}"/>
    <cellStyle name="Input 2 4 3 3" xfId="3028" xr:uid="{1BEE6830-EA34-48C8-9603-A108EF90BB13}"/>
    <cellStyle name="Input 2 4 3 3 2" xfId="3029" xr:uid="{65B72A67-0A88-4C29-A5BC-B0389BDAA477}"/>
    <cellStyle name="Input 2 4 3 4" xfId="3030" xr:uid="{5707845E-5C27-4DDF-98A7-D8991E1D97CF}"/>
    <cellStyle name="Input 2 4 3 4 2" xfId="3031" xr:uid="{02C938A0-78E7-4D2C-B6EF-DFBCC14262BC}"/>
    <cellStyle name="Input 2 4 3 5" xfId="3032" xr:uid="{02B87326-A995-42BB-8446-0E64F82F9EC7}"/>
    <cellStyle name="Input 2 4 3 5 2" xfId="3033" xr:uid="{882280F6-7F9E-4C39-974A-9EDDDB065CDF}"/>
    <cellStyle name="Input 2 4 3 6" xfId="3034" xr:uid="{0DE03FF2-8664-417E-BFBF-94EB3375D092}"/>
    <cellStyle name="Input 2 4 3 6 2" xfId="3035" xr:uid="{870B8C3C-12CA-4329-9FE2-3DB9AC586809}"/>
    <cellStyle name="Input 2 4 3 7" xfId="3036" xr:uid="{ADA6927B-A072-4E41-8256-4A4B2798FB24}"/>
    <cellStyle name="Input 2 4 3 7 2" xfId="3037" xr:uid="{C666A38A-88CD-4ADF-AE57-1C0375CB0550}"/>
    <cellStyle name="Input 2 4 3 8" xfId="3038" xr:uid="{021ED5DF-730C-43AA-A983-A7560548C8EA}"/>
    <cellStyle name="Input 2 4 3 8 2" xfId="3039" xr:uid="{A0D24560-DFE1-4700-AB71-A14E4FDC1EE7}"/>
    <cellStyle name="Input 2 4 3 9" xfId="3040" xr:uid="{E8190CB6-7EF7-4FB8-91AB-9EF7A579D0E1}"/>
    <cellStyle name="Input 2 4 3 9 2" xfId="3041" xr:uid="{4DA98B20-FF14-4A1E-A9B4-8F9804E58082}"/>
    <cellStyle name="Input 2 4 4" xfId="3042" xr:uid="{0BD552F0-0EF4-4460-8C74-F380F98622A1}"/>
    <cellStyle name="Input 2 4 4 2" xfId="3043" xr:uid="{3B7E42A9-D412-43FF-8F26-FCEDD50B4AAD}"/>
    <cellStyle name="Input 2 4 5" xfId="3044" xr:uid="{961892CE-19AA-4F92-B944-7F8DFEA930E9}"/>
    <cellStyle name="Input 2 4 5 2" xfId="3045" xr:uid="{4CB7CFD9-92D3-4769-B6D6-8DF30F1D264D}"/>
    <cellStyle name="Input 2 4 6" xfId="3046" xr:uid="{51F3DDD5-F823-41EB-BB16-ECF89B2873F5}"/>
    <cellStyle name="Input 2 4 6 2" xfId="3047" xr:uid="{20A93DF4-6C5E-41AE-B3F6-57FFC503646D}"/>
    <cellStyle name="Input 2 4 7" xfId="3048" xr:uid="{46436649-FAED-4D21-85DA-352A66D4775D}"/>
    <cellStyle name="Input 2 4 7 2" xfId="3049" xr:uid="{25D87F18-F99D-4FC7-820B-4E36958CDAB7}"/>
    <cellStyle name="Input 2 4 8" xfId="3050" xr:uid="{2BCBBEC7-6B71-4A5B-A1C3-3355C4917970}"/>
    <cellStyle name="Input 2 4 8 2" xfId="3051" xr:uid="{DBD30260-7EEC-445D-B928-4E6E2EC59A87}"/>
    <cellStyle name="Input 2 4 9" xfId="3052" xr:uid="{868EE003-E29E-48A9-B71C-2F01A8F557F9}"/>
    <cellStyle name="Input 2 4 9 2" xfId="3053" xr:uid="{CF220D0E-68B2-4372-A818-490A5D359AB8}"/>
    <cellStyle name="Input 2 5" xfId="3054" xr:uid="{0B517F78-9D32-4A35-A738-0547DA8954D0}"/>
    <cellStyle name="Input 2 5 2" xfId="3055" xr:uid="{0F7DAAE4-5182-4BEA-B809-DCE30E3EA35B}"/>
    <cellStyle name="Input 2 6" xfId="3056" xr:uid="{D21D9EE9-B04A-40F8-AC9C-9432083175C8}"/>
    <cellStyle name="Input 2 6 2" xfId="3057" xr:uid="{4ABD980D-4B2F-4B72-9235-B87E23A21A4F}"/>
    <cellStyle name="Input 2 7" xfId="3058" xr:uid="{861452F6-4315-4E9B-ADF7-2401CFD34709}"/>
    <cellStyle name="Input 2 7 2" xfId="3059" xr:uid="{9F8E9FCA-98F4-4FB1-8694-E8E758A15423}"/>
    <cellStyle name="Input 2 8" xfId="3060" xr:uid="{D822BF0E-9DA4-42A7-968D-49929A1C58BE}"/>
    <cellStyle name="Input 2 8 2" xfId="3061" xr:uid="{5E792100-A0A9-4F60-BE79-63DD61B6A104}"/>
    <cellStyle name="Input 2 9" xfId="3062" xr:uid="{6BC2654E-5B98-4045-86D4-ED5EB6F551D8}"/>
    <cellStyle name="Input 2 9 2" xfId="3063" xr:uid="{F2722DD0-A33A-49ED-8218-B18184CF79D5}"/>
    <cellStyle name="Input 2_T1 ANSP" xfId="2770" xr:uid="{0894EBC6-12BF-43B1-8C40-EF93BD3878F8}"/>
    <cellStyle name="Input 20" xfId="3064" xr:uid="{1D8C7F66-A5C5-42AB-B99A-2E422624316C}"/>
    <cellStyle name="Input 20 2" xfId="3065" xr:uid="{DCB1ADBC-1D0B-4187-89F3-46EE73455405}"/>
    <cellStyle name="Input 21" xfId="3066" xr:uid="{EFFF39B5-5A35-40A7-86B3-CCC8A0F9529E}"/>
    <cellStyle name="Input 21 2" xfId="3067" xr:uid="{5A96545A-F8C8-42EC-8773-687BC275CA15}"/>
    <cellStyle name="Input 22" xfId="3068" xr:uid="{8A94B62D-831B-4A90-B29A-2C5181780920}"/>
    <cellStyle name="Input 23" xfId="3069" xr:uid="{F1987AB2-8BE5-4248-8C83-D06643EA3FF3}"/>
    <cellStyle name="Input 3" xfId="413" xr:uid="{00000000-0005-0000-0000-0000C8020000}"/>
    <cellStyle name="Input 3 - Macro" xfId="3071" xr:uid="{3041344A-E361-4DC9-8982-2CD2E7D156D7}"/>
    <cellStyle name="Input 3 10" xfId="3072" xr:uid="{B757D33A-0DD0-4392-9E87-D6C3313D439D}"/>
    <cellStyle name="Input 3 10 2" xfId="3073" xr:uid="{EA8EE5C5-3E05-4A14-8246-05E87C86AE6A}"/>
    <cellStyle name="Input 3 11" xfId="3074" xr:uid="{D61034F0-C1F6-40FF-A2CD-D38C2BC1124E}"/>
    <cellStyle name="Input 3 11 2" xfId="3075" xr:uid="{A755E63F-9DC8-4995-B0DB-FAB4504AD31F}"/>
    <cellStyle name="Input 3 12" xfId="3076" xr:uid="{CDE6F044-A6F9-4C5D-BA8F-D5D34B3C28F3}"/>
    <cellStyle name="Input 3 12 2" xfId="3077" xr:uid="{CC2A7784-1C0F-4277-9143-6A5AB6A69A26}"/>
    <cellStyle name="Input 3 13" xfId="3078" xr:uid="{368B348F-F421-4585-9BA1-18A54B279054}"/>
    <cellStyle name="Input 3 13 2" xfId="3079" xr:uid="{F3638046-F34B-4D48-AB20-0C0004AC967B}"/>
    <cellStyle name="Input 3 14" xfId="3080" xr:uid="{0AD4DFE5-00E9-4735-B0E0-041E6DC9E0A5}"/>
    <cellStyle name="Input 3 14 2" xfId="3081" xr:uid="{109AED61-8044-4814-A53C-8AB73BA96047}"/>
    <cellStyle name="Input 3 15" xfId="3082" xr:uid="{9F90D4E7-BFB2-4861-B86E-99E37ED3908B}"/>
    <cellStyle name="Input 3 15 2" xfId="3083" xr:uid="{63D2CC2B-EE98-40C9-B739-478677F06FF0}"/>
    <cellStyle name="Input 3 16" xfId="3084" xr:uid="{279326AD-D2CC-4E24-8421-52A3CEC9272B}"/>
    <cellStyle name="Input 3 16 2" xfId="3085" xr:uid="{85A3CA38-609C-4D17-94B1-E29A713506E0}"/>
    <cellStyle name="Input 3 17" xfId="3086" xr:uid="{498113BE-49EC-4750-A6A8-AD372F139AA9}"/>
    <cellStyle name="Input 3 17 2" xfId="3087" xr:uid="{0834D241-315E-49F3-A90F-F6F880EFA82C}"/>
    <cellStyle name="Input 3 18" xfId="3088" xr:uid="{EBD4ED14-357E-4341-9847-FE8F7288F121}"/>
    <cellStyle name="Input 3 18 2" xfId="3089" xr:uid="{F3E5DE3E-9667-4C9D-8978-04D9731F4B96}"/>
    <cellStyle name="Input 3 19" xfId="3090" xr:uid="{8059A705-F6D0-404B-9E0A-96C6B1C48EC0}"/>
    <cellStyle name="Input 3 2" xfId="3091" xr:uid="{B72805D1-2D8C-4A0F-9ADC-215AF453F444}"/>
    <cellStyle name="Input 3 2 10" xfId="3092" xr:uid="{070591CB-528B-4B5D-94C0-C478B59BB889}"/>
    <cellStyle name="Input 3 2 10 2" xfId="3093" xr:uid="{5CB59971-4BB4-4E28-9465-C2FBC901577B}"/>
    <cellStyle name="Input 3 2 11" xfId="3094" xr:uid="{F3CEF5F7-3E1D-4960-9AAE-25027CBD535F}"/>
    <cellStyle name="Input 3 2 11 2" xfId="3095" xr:uid="{12724648-4B28-4296-85CE-8BFB7C5DCE7F}"/>
    <cellStyle name="Input 3 2 12" xfId="3096" xr:uid="{849721DB-5427-4C20-90CC-E37CE7C3EC2B}"/>
    <cellStyle name="Input 3 2 12 2" xfId="3097" xr:uid="{D00E3B37-C0D4-439F-8DEC-CD607E9906D2}"/>
    <cellStyle name="Input 3 2 13" xfId="3098" xr:uid="{5C8FF41C-6713-4A5C-924B-82B318FFA73D}"/>
    <cellStyle name="Input 3 2 13 2" xfId="3099" xr:uid="{54B3E963-7517-426B-89A8-978252BC9890}"/>
    <cellStyle name="Input 3 2 14" xfId="3100" xr:uid="{42BFC350-1400-4B2E-9AE7-CD21972B985F}"/>
    <cellStyle name="Input 3 2 14 2" xfId="3101" xr:uid="{82A663A2-9249-4675-83A2-C5888A23C9A4}"/>
    <cellStyle name="Input 3 2 15" xfId="3102" xr:uid="{D41B7D9B-8D68-4942-83FE-BD27F3261FF4}"/>
    <cellStyle name="Input 3 2 15 2" xfId="3103" xr:uid="{275CEA9B-C073-41FF-8F66-D2199B5D1DC6}"/>
    <cellStyle name="Input 3 2 2" xfId="3104" xr:uid="{7728A4BA-0D41-4806-8150-8086CE465F4C}"/>
    <cellStyle name="Input 3 2 2 2" xfId="3105" xr:uid="{CDCCA81A-18F2-40BE-A283-E356BC3C705A}"/>
    <cellStyle name="Input 3 2 3" xfId="3106" xr:uid="{D5427893-9F1B-493B-BB97-E32A9160D0E4}"/>
    <cellStyle name="Input 3 2 3 2" xfId="3107" xr:uid="{F2F4DB6A-05FB-4F3F-A732-B816DA9088D5}"/>
    <cellStyle name="Input 3 2 4" xfId="3108" xr:uid="{2EB60655-FA28-4C0D-BDDF-B303C8CD23AA}"/>
    <cellStyle name="Input 3 2 4 2" xfId="3109" xr:uid="{4782F5C4-BC9A-4DA1-864F-1230A6EEF9AF}"/>
    <cellStyle name="Input 3 2 5" xfId="3110" xr:uid="{E9B05F98-275A-42B7-8094-F352D3240BDD}"/>
    <cellStyle name="Input 3 2 5 2" xfId="3111" xr:uid="{9B8D25DD-E518-4B7B-874D-58CA978CDEDD}"/>
    <cellStyle name="Input 3 2 6" xfId="3112" xr:uid="{60EB3D5B-E78C-48FD-B0A8-3DE8B74AE5CA}"/>
    <cellStyle name="Input 3 2 6 2" xfId="3113" xr:uid="{034427BA-B091-4A42-ABAF-6A1C91D1BFB5}"/>
    <cellStyle name="Input 3 2 7" xfId="3114" xr:uid="{A31E5353-8EAD-4892-A8FD-DB8F3A787B79}"/>
    <cellStyle name="Input 3 2 7 2" xfId="3115" xr:uid="{0C4E714A-DF54-49D0-A540-A8C9F29CD1D8}"/>
    <cellStyle name="Input 3 2 8" xfId="3116" xr:uid="{BC5DA3D9-F356-4715-93D9-E3126A523B45}"/>
    <cellStyle name="Input 3 2 8 2" xfId="3117" xr:uid="{7633F874-F955-45CA-8483-2C0D7150BEC3}"/>
    <cellStyle name="Input 3 2 9" xfId="3118" xr:uid="{00949486-16F3-4C31-A9F3-2B74F13261A7}"/>
    <cellStyle name="Input 3 2 9 2" xfId="3119" xr:uid="{1943C83E-ADFE-4C6F-BD17-4CB01D4BD0B9}"/>
    <cellStyle name="Input 3 20" xfId="3120" xr:uid="{750D29E5-9E9E-464E-9E62-CF893F146CBA}"/>
    <cellStyle name="Input 3 3" xfId="3121" xr:uid="{8BC76783-F6F4-4F6C-88E5-7DDC28735320}"/>
    <cellStyle name="Input 3 3 10" xfId="3122" xr:uid="{05C17B0A-9291-428E-B5C5-5642C3B7B791}"/>
    <cellStyle name="Input 3 3 10 2" xfId="3123" xr:uid="{36D72A3F-65E7-4C15-8A19-D91F19B80872}"/>
    <cellStyle name="Input 3 3 11" xfId="3124" xr:uid="{6520FF74-13AA-4F77-919B-F410ED337C48}"/>
    <cellStyle name="Input 3 3 11 2" xfId="3125" xr:uid="{165C3839-BE20-443F-9E37-397F6408D2FB}"/>
    <cellStyle name="Input 3 3 12" xfId="3126" xr:uid="{53FB79CC-19D6-4886-A923-4BCB43977D90}"/>
    <cellStyle name="Input 3 3 12 2" xfId="3127" xr:uid="{78CAE1C2-699A-4461-AC60-53BE76386199}"/>
    <cellStyle name="Input 3 3 13" xfId="3128" xr:uid="{2A14BE18-32F2-420A-87BD-A3A678D53D44}"/>
    <cellStyle name="Input 3 3 13 2" xfId="3129" xr:uid="{B3580001-E122-4CA3-8FC7-62928336A06E}"/>
    <cellStyle name="Input 3 3 14" xfId="3130" xr:uid="{CB4FDA7E-8D6D-44B1-839D-EBDCC301E2D7}"/>
    <cellStyle name="Input 3 3 14 2" xfId="3131" xr:uid="{BAF4B4A1-1C78-49EF-91AE-06464985CF2F}"/>
    <cellStyle name="Input 3 3 15" xfId="3132" xr:uid="{20C2E781-684D-40CD-BB88-C34EA30FAE7F}"/>
    <cellStyle name="Input 3 3 15 2" xfId="3133" xr:uid="{93C959CB-32C6-4A2D-8F8B-6231018E2FD5}"/>
    <cellStyle name="Input 3 3 2" xfId="3134" xr:uid="{9927B79B-463A-422C-B6CF-CF837D9B9E33}"/>
    <cellStyle name="Input 3 3 2 2" xfId="3135" xr:uid="{046E52E5-9402-4AB4-9050-27E5B81F4D6B}"/>
    <cellStyle name="Input 3 3 3" xfId="3136" xr:uid="{60B4ADB3-A7F7-4C36-90E0-BE2815E50917}"/>
    <cellStyle name="Input 3 3 3 2" xfId="3137" xr:uid="{196B1EBD-B8DF-4FD9-837D-3993AA935C86}"/>
    <cellStyle name="Input 3 3 4" xfId="3138" xr:uid="{D1D21744-1156-4A2C-9828-68E73FC6A878}"/>
    <cellStyle name="Input 3 3 4 2" xfId="3139" xr:uid="{3DB1C371-4FB1-4764-875A-3FA1941F3CDA}"/>
    <cellStyle name="Input 3 3 5" xfId="3140" xr:uid="{5CA24177-817F-45A8-B700-0AA4DBD3C12C}"/>
    <cellStyle name="Input 3 3 5 2" xfId="3141" xr:uid="{8A6DA385-EEEE-48A0-8CA1-C130EBDC4473}"/>
    <cellStyle name="Input 3 3 6" xfId="3142" xr:uid="{BACB17AD-1EC6-46DF-ACE3-CDCEC23B2419}"/>
    <cellStyle name="Input 3 3 6 2" xfId="3143" xr:uid="{F76F718A-CEB5-4CDD-AAFF-FCD4B24C8D51}"/>
    <cellStyle name="Input 3 3 7" xfId="3144" xr:uid="{9244B534-8A1A-4B97-9889-4B805C9C5D70}"/>
    <cellStyle name="Input 3 3 7 2" xfId="3145" xr:uid="{CF062C54-9516-4A6B-A9E8-219A318103BE}"/>
    <cellStyle name="Input 3 3 8" xfId="3146" xr:uid="{58A50884-F56B-4BDC-92D3-85218516F3C6}"/>
    <cellStyle name="Input 3 3 8 2" xfId="3147" xr:uid="{2DE11BA8-3BB5-4142-8E18-F44CDE381AEF}"/>
    <cellStyle name="Input 3 3 9" xfId="3148" xr:uid="{7A4919DC-6845-4AE6-A2C9-099CFA511F42}"/>
    <cellStyle name="Input 3 3 9 2" xfId="3149" xr:uid="{33ECD18F-E140-4FE4-879F-EA9B7CF362F4}"/>
    <cellStyle name="Input 3 4" xfId="3150" xr:uid="{9A340A0B-5DC0-4A9D-AC05-590CEF7D2196}"/>
    <cellStyle name="Input 3 4 2" xfId="3151" xr:uid="{8F703145-0F4C-4237-926F-27692233AAED}"/>
    <cellStyle name="Input 3 5" xfId="3152" xr:uid="{2379166B-8B0D-4A28-B980-EA8232EBD2F3}"/>
    <cellStyle name="Input 3 5 2" xfId="3153" xr:uid="{499AFFAE-282D-4C47-BC1C-CF69BBED1DB4}"/>
    <cellStyle name="Input 3 6" xfId="3154" xr:uid="{15403D21-4930-4F02-B5F0-DDC5FA3F8B62}"/>
    <cellStyle name="Input 3 6 2" xfId="3155" xr:uid="{639E8F90-4E18-499F-98D5-C91493D15F7E}"/>
    <cellStyle name="Input 3 7" xfId="3156" xr:uid="{D54DC2C0-EC35-4A9F-8C41-71725DB77B42}"/>
    <cellStyle name="Input 3 7 2" xfId="3157" xr:uid="{B64678BB-33EA-4980-8C65-FBA8061C0621}"/>
    <cellStyle name="Input 3 8" xfId="3158" xr:uid="{CB55D12F-FED9-440E-B836-4396D931AEB3}"/>
    <cellStyle name="Input 3 8 2" xfId="3159" xr:uid="{166A72A3-0CA3-4D10-A431-85858815C1A0}"/>
    <cellStyle name="Input 3 9" xfId="3160" xr:uid="{6FED6908-FDBF-483C-A429-44D22D90C2FB}"/>
    <cellStyle name="Input 3 9 2" xfId="3161" xr:uid="{7D67791D-AF15-41E1-8998-90C25CEE1290}"/>
    <cellStyle name="Input 3_T1 ANSP" xfId="3070" xr:uid="{9D66CCFE-7657-4CB9-BE4C-11A2E47C5BC6}"/>
    <cellStyle name="Input 4" xfId="414" xr:uid="{00000000-0005-0000-0000-0000C9020000}"/>
    <cellStyle name="Input 4 10" xfId="3163" xr:uid="{6BBB06B2-FD1B-44C8-8F10-27A58181EB7F}"/>
    <cellStyle name="Input 4 2" xfId="3164" xr:uid="{BA976852-3F46-4EEA-9C1F-E90BB1F36B76}"/>
    <cellStyle name="Input 4 2 10" xfId="3165" xr:uid="{672C78DB-7792-462C-BD55-9EB0DCE5831C}"/>
    <cellStyle name="Input 4 2 10 2" xfId="3166" xr:uid="{2DEE9579-7642-481C-95A0-6E978D87A108}"/>
    <cellStyle name="Input 4 2 11" xfId="3167" xr:uid="{880C0193-88C7-423B-B6A5-7295E4BD3016}"/>
    <cellStyle name="Input 4 2 11 2" xfId="3168" xr:uid="{8929C27A-BCD1-43B9-9AEE-25C1BC3756E1}"/>
    <cellStyle name="Input 4 2 12" xfId="3169" xr:uid="{43310113-5BD0-47F4-B4AD-BEE14C444CE4}"/>
    <cellStyle name="Input 4 2 12 2" xfId="3170" xr:uid="{138AC538-E87E-426E-AFF1-2119FFCBFC0D}"/>
    <cellStyle name="Input 4 2 13" xfId="3171" xr:uid="{C8434EF3-2B8D-41FD-8908-CB374ADFF2DE}"/>
    <cellStyle name="Input 4 2 13 2" xfId="3172" xr:uid="{DFB728F0-96E8-47EE-9C31-1B1BA5D79C98}"/>
    <cellStyle name="Input 4 2 14" xfId="3173" xr:uid="{83671A76-A991-4924-81C0-5555132B3FAE}"/>
    <cellStyle name="Input 4 2 14 2" xfId="3174" xr:uid="{4FC631B1-CAC0-46A6-991A-5FBA70E4963F}"/>
    <cellStyle name="Input 4 2 15" xfId="3175" xr:uid="{F884247A-5FAD-427D-A76E-13135BEE5364}"/>
    <cellStyle name="Input 4 2 15 2" xfId="3176" xr:uid="{29F740DD-7A19-4110-8A73-0EDD8818F9F5}"/>
    <cellStyle name="Input 4 2 2" xfId="3177" xr:uid="{AB06ACCA-9285-4388-9871-AA2DF87B47A3}"/>
    <cellStyle name="Input 4 2 2 2" xfId="3178" xr:uid="{BA1A6435-A541-4A06-949C-F791C10006E3}"/>
    <cellStyle name="Input 4 2 3" xfId="3179" xr:uid="{D618E6DD-4131-4B21-9F86-4ED5297F7948}"/>
    <cellStyle name="Input 4 2 3 2" xfId="3180" xr:uid="{DE92263E-F71A-4A33-AAB1-80FC0164422B}"/>
    <cellStyle name="Input 4 2 4" xfId="3181" xr:uid="{B9B4DB0A-6112-4151-95D3-79422355FFD4}"/>
    <cellStyle name="Input 4 2 4 2" xfId="3182" xr:uid="{D983B022-0395-4474-AE5D-AF7D6B4C62B4}"/>
    <cellStyle name="Input 4 2 5" xfId="3183" xr:uid="{292D0B64-83C4-4A12-B2CB-D56BB6A7105C}"/>
    <cellStyle name="Input 4 2 5 2" xfId="3184" xr:uid="{6B006A73-AE59-45F5-B5A3-C3E16693F545}"/>
    <cellStyle name="Input 4 2 6" xfId="3185" xr:uid="{372A2070-FCBC-40F6-B491-3FD237F6401C}"/>
    <cellStyle name="Input 4 2 6 2" xfId="3186" xr:uid="{3FD62570-99F5-4358-B0D1-99AE982D41FD}"/>
    <cellStyle name="Input 4 2 7" xfId="3187" xr:uid="{099FE0E8-1262-490D-8BC3-7F4B61BA12E7}"/>
    <cellStyle name="Input 4 2 7 2" xfId="3188" xr:uid="{21BF012D-2F56-4210-8901-FC7D862B5407}"/>
    <cellStyle name="Input 4 2 8" xfId="3189" xr:uid="{0104369F-ECD6-4C43-A42C-57AA4954D53E}"/>
    <cellStyle name="Input 4 2 8 2" xfId="3190" xr:uid="{561AC64C-D25C-4DA1-A91F-7877F9F6BB78}"/>
    <cellStyle name="Input 4 2 9" xfId="3191" xr:uid="{2BB4F635-3488-47A1-B8C2-B69FB821A617}"/>
    <cellStyle name="Input 4 2 9 2" xfId="3192" xr:uid="{7AB51721-1B81-4E9F-9908-A22EAAEB5DCC}"/>
    <cellStyle name="Input 4 3" xfId="3193" xr:uid="{114258FB-7958-430C-B897-6BF5274DBF1C}"/>
    <cellStyle name="Input 4 3 10" xfId="3194" xr:uid="{D0526FE2-B30F-42C7-BCD0-F08C5D4FA301}"/>
    <cellStyle name="Input 4 3 10 2" xfId="3195" xr:uid="{AFFD4BA5-2257-45E8-B3E6-7A66BFC906A0}"/>
    <cellStyle name="Input 4 3 11" xfId="3196" xr:uid="{90B28753-F67A-4D49-9854-1EF0F5B52494}"/>
    <cellStyle name="Input 4 3 11 2" xfId="3197" xr:uid="{74A36A82-65BD-463C-B223-3367599E54D6}"/>
    <cellStyle name="Input 4 3 12" xfId="3198" xr:uid="{D00ADE13-1F4D-458A-A4ED-5B7007109BE9}"/>
    <cellStyle name="Input 4 3 12 2" xfId="3199" xr:uid="{77BBF873-6CCF-418A-B7A0-A2665255D28C}"/>
    <cellStyle name="Input 4 3 13" xfId="3200" xr:uid="{EC0098E5-6079-4C11-A204-9A03A3226957}"/>
    <cellStyle name="Input 4 3 13 2" xfId="3201" xr:uid="{924042D7-95FF-4D12-A7BD-ABC0499DBA8D}"/>
    <cellStyle name="Input 4 3 14" xfId="3202" xr:uid="{4A58B1DD-6079-47A9-B298-69ED34A4C08D}"/>
    <cellStyle name="Input 4 3 14 2" xfId="3203" xr:uid="{8D7537FC-8D01-48AD-89EA-EEB2ECDFA736}"/>
    <cellStyle name="Input 4 3 15" xfId="3204" xr:uid="{BD792059-0ACE-45D4-8FBE-31C7A19B125A}"/>
    <cellStyle name="Input 4 3 15 2" xfId="3205" xr:uid="{9611D5F8-9FE6-45F9-B643-3C5AEBB46F6E}"/>
    <cellStyle name="Input 4 3 2" xfId="3206" xr:uid="{BC73E08C-F2BF-444A-8AAB-D4BCBD150D7A}"/>
    <cellStyle name="Input 4 3 2 2" xfId="3207" xr:uid="{DBD6C72E-8B20-492B-B645-8503855D2D3D}"/>
    <cellStyle name="Input 4 3 3" xfId="3208" xr:uid="{0AD925F2-4B2A-4019-A933-1EFDF5250627}"/>
    <cellStyle name="Input 4 3 3 2" xfId="3209" xr:uid="{5C129971-4737-4C3B-BA3E-787A10D56AD0}"/>
    <cellStyle name="Input 4 3 4" xfId="3210" xr:uid="{729D73CF-E450-483E-9F1E-475BA641216D}"/>
    <cellStyle name="Input 4 3 4 2" xfId="3211" xr:uid="{E9A736D6-68B3-4A7A-B241-FF864DE7083D}"/>
    <cellStyle name="Input 4 3 5" xfId="3212" xr:uid="{D1CBC75E-EF9F-4755-B98F-8188C958C41A}"/>
    <cellStyle name="Input 4 3 5 2" xfId="3213" xr:uid="{8E88B397-CC19-40FB-86D3-5F119693C284}"/>
    <cellStyle name="Input 4 3 6" xfId="3214" xr:uid="{E10E32CA-2717-4EC0-B446-E5C2F1322979}"/>
    <cellStyle name="Input 4 3 6 2" xfId="3215" xr:uid="{0D911E4C-2842-4D97-B6B4-5094507E3213}"/>
    <cellStyle name="Input 4 3 7" xfId="3216" xr:uid="{84DC9DED-C031-4FF9-821E-FD7C721C918A}"/>
    <cellStyle name="Input 4 3 7 2" xfId="3217" xr:uid="{A34CC17C-9BCE-4581-B9FD-4FA6D64F75BE}"/>
    <cellStyle name="Input 4 3 8" xfId="3218" xr:uid="{431FC518-E1A9-44F7-A381-D7013FF7B345}"/>
    <cellStyle name="Input 4 3 8 2" xfId="3219" xr:uid="{613BB889-CCE5-4959-9C35-7491C3AC450A}"/>
    <cellStyle name="Input 4 3 9" xfId="3220" xr:uid="{062A8617-4543-4AD3-B6AC-D4DDE7D1F54D}"/>
    <cellStyle name="Input 4 3 9 2" xfId="3221" xr:uid="{D7EC2E80-0389-4B9B-BD7D-06845088D36F}"/>
    <cellStyle name="Input 4 4" xfId="3222" xr:uid="{B2CCF939-049A-4A53-976B-4698B7CE0522}"/>
    <cellStyle name="Input 4 4 2" xfId="3223" xr:uid="{796E1F73-429A-4C77-84B8-BE184BFE3C71}"/>
    <cellStyle name="Input 4 5" xfId="3224" xr:uid="{A70EAD68-4C1E-4AC5-AF10-29D919354C78}"/>
    <cellStyle name="Input 4 5 2" xfId="3225" xr:uid="{CAC2AE68-442A-4527-BDE8-922AA85B98DB}"/>
    <cellStyle name="Input 4 6" xfId="3226" xr:uid="{D1D6C4D9-A772-49E2-86BA-84BEAC6928AE}"/>
    <cellStyle name="Input 4 6 2" xfId="3227" xr:uid="{CC0E26AC-FEDE-4BA8-8EFD-1815FB7D05DF}"/>
    <cellStyle name="Input 4 7" xfId="3228" xr:uid="{CF6FBFC9-304E-45A5-9236-FF80743B62EC}"/>
    <cellStyle name="Input 4 7 2" xfId="3229" xr:uid="{2981AD0A-E8AD-4054-A86E-44543E605A88}"/>
    <cellStyle name="Input 4 8" xfId="3230" xr:uid="{642FE094-EAEB-4940-852F-B3AC6AD7003E}"/>
    <cellStyle name="Input 4 8 2" xfId="3231" xr:uid="{D19EA64D-CC2B-4EBB-B2B3-33CC7D5D5629}"/>
    <cellStyle name="Input 4 9" xfId="3232" xr:uid="{99BFE10B-A673-40ED-8DB0-B67FFDB0F15E}"/>
    <cellStyle name="Input 4_T1 ANSP" xfId="3162" xr:uid="{1979B002-CE3B-4D23-9B68-339552D5B364}"/>
    <cellStyle name="Input 5" xfId="415" xr:uid="{00000000-0005-0000-0000-0000CA020000}"/>
    <cellStyle name="Input 5 10" xfId="3234" xr:uid="{C4FD4BBC-4D33-4275-825B-4E863D58F6DB}"/>
    <cellStyle name="Input 5 2" xfId="3235" xr:uid="{96305764-CC7B-44D2-99A4-7EF06AA94E71}"/>
    <cellStyle name="Input 5 2 10" xfId="3236" xr:uid="{8A6B218F-777E-4A7B-8E55-A802A8B622A9}"/>
    <cellStyle name="Input 5 2 10 2" xfId="3237" xr:uid="{732B372A-2BC9-4779-A802-BD1908F6A3CE}"/>
    <cellStyle name="Input 5 2 11" xfId="3238" xr:uid="{98F519EA-DDFC-4592-BA76-105937AE8E45}"/>
    <cellStyle name="Input 5 2 11 2" xfId="3239" xr:uid="{D3307977-4156-41CE-8FE9-DB042B1B04A8}"/>
    <cellStyle name="Input 5 2 12" xfId="3240" xr:uid="{A98E7C3C-5549-444F-8AE4-CEAD733EB8A5}"/>
    <cellStyle name="Input 5 2 12 2" xfId="3241" xr:uid="{2C8A1261-0839-417F-804F-763B10E035D5}"/>
    <cellStyle name="Input 5 2 13" xfId="3242" xr:uid="{8F84864B-47D6-430E-9534-E56F790F87A6}"/>
    <cellStyle name="Input 5 2 13 2" xfId="3243" xr:uid="{B33818F7-89EF-4691-9831-369A1588864F}"/>
    <cellStyle name="Input 5 2 14" xfId="3244" xr:uid="{748C5920-1748-45A8-A5CE-4E1180B4629F}"/>
    <cellStyle name="Input 5 2 14 2" xfId="3245" xr:uid="{7E078DFB-FAF3-4E35-A5A7-24FDC2EE4654}"/>
    <cellStyle name="Input 5 2 15" xfId="3246" xr:uid="{13499CE6-9802-425F-AEE2-CE6018B67F69}"/>
    <cellStyle name="Input 5 2 15 2" xfId="3247" xr:uid="{9E57B647-9CCC-4126-855F-CA9232ADF3B7}"/>
    <cellStyle name="Input 5 2 2" xfId="3248" xr:uid="{7C3A7A86-4ABE-41F8-B451-30B3080E5EE4}"/>
    <cellStyle name="Input 5 2 2 2" xfId="3249" xr:uid="{89E301C7-287A-4C52-83DA-EF128D2DD380}"/>
    <cellStyle name="Input 5 2 3" xfId="3250" xr:uid="{D4D53304-14F6-4F02-9B1A-DB13F37B9960}"/>
    <cellStyle name="Input 5 2 3 2" xfId="3251" xr:uid="{503F3ECF-0D68-4F10-A371-F7F690AB284A}"/>
    <cellStyle name="Input 5 2 4" xfId="3252" xr:uid="{DFC586A1-0449-423D-87C7-C3123DF34C73}"/>
    <cellStyle name="Input 5 2 4 2" xfId="3253" xr:uid="{6887A160-5D46-42FC-83F4-7CB40623C0E2}"/>
    <cellStyle name="Input 5 2 5" xfId="3254" xr:uid="{B2D71E1B-8AD3-483D-ACEC-8114750D8D4A}"/>
    <cellStyle name="Input 5 2 5 2" xfId="3255" xr:uid="{DAEF600E-2416-4090-A805-13DB3C02E2EF}"/>
    <cellStyle name="Input 5 2 6" xfId="3256" xr:uid="{F6672258-22B2-4858-9C22-6CE73210E388}"/>
    <cellStyle name="Input 5 2 6 2" xfId="3257" xr:uid="{4B02B4F9-24AB-41A0-BCBD-C458F6F8FF89}"/>
    <cellStyle name="Input 5 2 7" xfId="3258" xr:uid="{1CFF7ED0-C80C-4FA8-970B-1A8E4F99CE6C}"/>
    <cellStyle name="Input 5 2 7 2" xfId="3259" xr:uid="{35A86C8A-6BB1-40F9-8DD2-DACC22454CF5}"/>
    <cellStyle name="Input 5 2 8" xfId="3260" xr:uid="{B5581DC3-8E51-4C3A-8BB3-18CCD56FCDF3}"/>
    <cellStyle name="Input 5 2 8 2" xfId="3261" xr:uid="{64D1E521-4B5C-4E36-905A-2BED125DD4A0}"/>
    <cellStyle name="Input 5 2 9" xfId="3262" xr:uid="{7EC6057E-0325-4334-850E-A00625ED2E7E}"/>
    <cellStyle name="Input 5 2 9 2" xfId="3263" xr:uid="{8D07CE17-07DE-443F-9BC9-AD7354BA3858}"/>
    <cellStyle name="Input 5 3" xfId="3264" xr:uid="{EFD520A0-8DCC-4B78-BB41-F31B12E27AC8}"/>
    <cellStyle name="Input 5 3 10" xfId="3265" xr:uid="{A9A27DB1-4EEE-480F-9122-498EF6DEAF4B}"/>
    <cellStyle name="Input 5 3 10 2" xfId="3266" xr:uid="{88D52779-AC05-45F9-AE47-59706EA07A69}"/>
    <cellStyle name="Input 5 3 11" xfId="3267" xr:uid="{9C227E92-6117-4B93-90A0-D09DC1BAA1A4}"/>
    <cellStyle name="Input 5 3 11 2" xfId="3268" xr:uid="{CD57F9E3-96F0-41E5-A12F-817B9D07BBB6}"/>
    <cellStyle name="Input 5 3 12" xfId="3269" xr:uid="{449A7B10-2A7D-44BD-91C8-B1C71CB7FD87}"/>
    <cellStyle name="Input 5 3 12 2" xfId="3270" xr:uid="{7CCF4BB0-47F3-4B17-8AB8-4813C95A0058}"/>
    <cellStyle name="Input 5 3 13" xfId="3271" xr:uid="{0E58686B-74F6-4068-B25A-3B832871CC6B}"/>
    <cellStyle name="Input 5 3 13 2" xfId="3272" xr:uid="{353F5693-F14E-4310-866C-33B96385F2F4}"/>
    <cellStyle name="Input 5 3 14" xfId="3273" xr:uid="{2B39AEEB-290E-4081-8D16-B08697D99D7D}"/>
    <cellStyle name="Input 5 3 14 2" xfId="3274" xr:uid="{CD8571BC-4E47-42D0-8E47-A23E3F29B715}"/>
    <cellStyle name="Input 5 3 15" xfId="3275" xr:uid="{41CE58C9-1AB1-4B32-9E49-A0DCDCC7983B}"/>
    <cellStyle name="Input 5 3 15 2" xfId="3276" xr:uid="{C3D2E206-FCF8-4CAD-AD06-616705EED4CA}"/>
    <cellStyle name="Input 5 3 2" xfId="3277" xr:uid="{8445FDE0-F905-49B1-BB97-5959318D6B70}"/>
    <cellStyle name="Input 5 3 2 2" xfId="3278" xr:uid="{ADF7E221-7BAA-4113-BAC0-57A628077D7A}"/>
    <cellStyle name="Input 5 3 3" xfId="3279" xr:uid="{42BE0002-36B2-46D7-B260-D66B0AA71595}"/>
    <cellStyle name="Input 5 3 3 2" xfId="3280" xr:uid="{FAC5CD97-BFEA-4E16-A703-89DF65C9D8A3}"/>
    <cellStyle name="Input 5 3 4" xfId="3281" xr:uid="{B446D95A-8BFF-4FB8-9621-2A5F4797BD62}"/>
    <cellStyle name="Input 5 3 4 2" xfId="3282" xr:uid="{3CE5F82C-6632-4C10-8193-C8486769619D}"/>
    <cellStyle name="Input 5 3 5" xfId="3283" xr:uid="{74D5D153-0044-4063-8FB3-E5837DE05BA1}"/>
    <cellStyle name="Input 5 3 5 2" xfId="3284" xr:uid="{D25ABE5A-2106-4B23-8023-2B1905165BCC}"/>
    <cellStyle name="Input 5 3 6" xfId="3285" xr:uid="{856062BA-CB20-47AA-BEEF-7E726A4C7D0B}"/>
    <cellStyle name="Input 5 3 6 2" xfId="3286" xr:uid="{3E6CE98C-C9BA-4733-836D-E328DA1A8E8D}"/>
    <cellStyle name="Input 5 3 7" xfId="3287" xr:uid="{158FCA8A-3715-4F11-9855-71EBB7C82CCD}"/>
    <cellStyle name="Input 5 3 7 2" xfId="3288" xr:uid="{405EFB5C-1A60-4956-9D89-EB6A3A9B3BCE}"/>
    <cellStyle name="Input 5 3 8" xfId="3289" xr:uid="{58E83465-4059-424C-8E59-C36E206E8A97}"/>
    <cellStyle name="Input 5 3 8 2" xfId="3290" xr:uid="{CA17B781-50FA-4D8B-BAEE-F664AA0AD0B7}"/>
    <cellStyle name="Input 5 3 9" xfId="3291" xr:uid="{43C2F598-3CDF-475D-8EE5-28712537D63B}"/>
    <cellStyle name="Input 5 3 9 2" xfId="3292" xr:uid="{6D9C9C1D-D588-4B82-A537-0CCC47C63117}"/>
    <cellStyle name="Input 5 4" xfId="3293" xr:uid="{807A8948-EBAD-4226-9FA6-D2D1D351366F}"/>
    <cellStyle name="Input 5 4 2" xfId="3294" xr:uid="{919C6287-C8B8-41E0-9BC1-D19AEB03A8BA}"/>
    <cellStyle name="Input 5 5" xfId="3295" xr:uid="{8C0351E3-5A9F-4CD7-AEA5-B624106B9E2B}"/>
    <cellStyle name="Input 5 5 2" xfId="3296" xr:uid="{94D188A4-F1D8-4D02-8BD6-EDB582F6D278}"/>
    <cellStyle name="Input 5 6" xfId="3297" xr:uid="{0B5A5192-B046-424B-B676-6D19D959D489}"/>
    <cellStyle name="Input 5 6 2" xfId="3298" xr:uid="{63540538-3A62-4FA1-91CE-3E44621F50F5}"/>
    <cellStyle name="Input 5 7" xfId="3299" xr:uid="{1CFC3B85-7A40-4E47-83FB-38B3D660DF5B}"/>
    <cellStyle name="Input 5 7 2" xfId="3300" xr:uid="{B85FF544-A1BE-4125-AF9E-9AE21879796F}"/>
    <cellStyle name="Input 5 8" xfId="3301" xr:uid="{CC39C5E8-34E4-4DCC-95F9-C47B8F2BC055}"/>
    <cellStyle name="Input 5 8 2" xfId="3302" xr:uid="{2A6490FC-46CF-4808-ACD1-65DE5CB3C086}"/>
    <cellStyle name="Input 5 9" xfId="3303" xr:uid="{C4011005-D372-4B65-A70D-9B533E782F93}"/>
    <cellStyle name="Input 5_T1 ANSP" xfId="3233" xr:uid="{DA645C77-B84B-4B40-AA84-FFF75D12B6AC}"/>
    <cellStyle name="Input 6" xfId="416" xr:uid="{00000000-0005-0000-0000-0000CB020000}"/>
    <cellStyle name="Input 6 2" xfId="3305" xr:uid="{94D9B35B-1D6C-4839-BB3C-597EE64781A0}"/>
    <cellStyle name="Input 6 2 2" xfId="3306" xr:uid="{F8E801F7-ECB4-4DC0-AF06-BB5C148461B6}"/>
    <cellStyle name="Input 6 3" xfId="3307" xr:uid="{853A2940-1E57-44A1-8D4F-C3D4B95A75C4}"/>
    <cellStyle name="Input 6 3 2" xfId="3308" xr:uid="{405C1C68-52B0-43B7-8ED1-51E51210226B}"/>
    <cellStyle name="Input 6 4" xfId="3309" xr:uid="{DCD45E91-D58A-407B-801D-DE2051928004}"/>
    <cellStyle name="Input 6 4 2" xfId="3310" xr:uid="{713D6FAA-899E-4B33-B76E-E657C70B160A}"/>
    <cellStyle name="Input 6 5" xfId="3311" xr:uid="{FF642193-FD5F-4C74-9D52-8C162823359A}"/>
    <cellStyle name="Input 6 5 2" xfId="3312" xr:uid="{164CAFC0-A528-491F-9B26-D68B1844AB62}"/>
    <cellStyle name="Input 6 6" xfId="3313" xr:uid="{9D31B38C-2098-4413-AAB6-250C6D50915D}"/>
    <cellStyle name="Input 6 6 2" xfId="3314" xr:uid="{122FF999-E793-4145-81C6-84208F3F3D62}"/>
    <cellStyle name="Input 6 7" xfId="3315" xr:uid="{B68D6027-702B-404C-83A5-213AB68C4C7B}"/>
    <cellStyle name="Input 6 8" xfId="3316" xr:uid="{E2872FA5-2FEE-47D2-B6BA-CDDFA2B074D5}"/>
    <cellStyle name="Input 6_T1 ANSP" xfId="3304" xr:uid="{25C8AAA0-57CB-4DDD-A2D9-1CE848CF909C}"/>
    <cellStyle name="Input 7" xfId="3317" xr:uid="{09F73E43-45FC-4E82-99AD-738E8A2B8E61}"/>
    <cellStyle name="Input 7 2" xfId="3318" xr:uid="{4A1A03B1-27B1-4A95-A137-319241BD4DAE}"/>
    <cellStyle name="Input 8" xfId="3319" xr:uid="{A07E1412-A7CD-42B5-9C98-2FE958987E18}"/>
    <cellStyle name="Input 8 2" xfId="3320" xr:uid="{D97E8912-EF0B-4082-A64C-AC3C49E85534}"/>
    <cellStyle name="Input 9" xfId="3321" xr:uid="{FC4415F8-D506-4637-BE3D-BDF1D2AF333C}"/>
    <cellStyle name="Input 9 2" xfId="3322" xr:uid="{8A7F337D-C68C-4A87-B33B-100E304297D0}"/>
    <cellStyle name="Input Cell" xfId="417" xr:uid="{00000000-0005-0000-0000-0000CC020000}"/>
    <cellStyle name="Input Cell 2" xfId="1486" xr:uid="{00000000-0005-0000-0000-0000CD020000}"/>
    <cellStyle name="Input Cell 3" xfId="1478" xr:uid="{00000000-0005-0000-0000-0000CE020000}"/>
    <cellStyle name="Input Heading 2" xfId="3323" xr:uid="{F2084726-04CC-4A38-A08D-1CAC394F6084}"/>
    <cellStyle name="Input Opening" xfId="3324" xr:uid="{95E6E372-9E15-419A-A342-8F63FEE43C3F}"/>
    <cellStyle name="InputBlueFont" xfId="3325" xr:uid="{A4A4D940-5BD3-4F03-9493-8045037BCB33}"/>
    <cellStyle name="Insatisfaisant" xfId="418" xr:uid="{00000000-0005-0000-0000-0000CF020000}"/>
    <cellStyle name="Insatisfaisant 2" xfId="1177" xr:uid="{00000000-0005-0000-0000-0000D0020000}"/>
    <cellStyle name="Instructions" xfId="419" xr:uid="{00000000-0005-0000-0000-0000D1020000}"/>
    <cellStyle name="Instructions 2" xfId="3327" xr:uid="{DB6EFAF4-AFC8-41FE-88DA-9FDAD5BBD288}"/>
    <cellStyle name="Instructions_T1 ANSP" xfId="3326" xr:uid="{ED8AF283-24F3-435E-87AD-E3C00D6D68D1}"/>
    <cellStyle name="Įspėjimo tekstas" xfId="420" xr:uid="{00000000-0005-0000-0000-0000D2020000}"/>
    <cellStyle name="Išvestis" xfId="421" xr:uid="{00000000-0005-0000-0000-0000D3020000}"/>
    <cellStyle name="Išvestis 2" xfId="1488" xr:uid="{00000000-0005-0000-0000-0000D4020000}"/>
    <cellStyle name="Išvestis 3" xfId="1479" xr:uid="{00000000-0005-0000-0000-0000D5020000}"/>
    <cellStyle name="Įvestis" xfId="422" xr:uid="{00000000-0005-0000-0000-0000D6020000}"/>
    <cellStyle name="Įvestis 2" xfId="1489" xr:uid="{00000000-0005-0000-0000-0000D7020000}"/>
    <cellStyle name="Įvestis 3" xfId="1480" xr:uid="{00000000-0005-0000-0000-0000D8020000}"/>
    <cellStyle name="Jegyzet 2" xfId="1178" xr:uid="{00000000-0005-0000-0000-0000D9020000}"/>
    <cellStyle name="Jelölőszín (1) 2" xfId="1179" xr:uid="{00000000-0005-0000-0000-0000DA020000}"/>
    <cellStyle name="Jelölőszín (2) 2" xfId="1180" xr:uid="{00000000-0005-0000-0000-0000DB020000}"/>
    <cellStyle name="Jelölőszín (3) 2" xfId="1181" xr:uid="{00000000-0005-0000-0000-0000DC020000}"/>
    <cellStyle name="Jelölőszín (4) 2" xfId="1182" xr:uid="{00000000-0005-0000-0000-0000DD020000}"/>
    <cellStyle name="Jelölőszín (5) 2" xfId="1183" xr:uid="{00000000-0005-0000-0000-0000DE020000}"/>
    <cellStyle name="Jelölőszín (6) 2" xfId="1184" xr:uid="{00000000-0005-0000-0000-0000DF020000}"/>
    <cellStyle name="Jó 2" xfId="1185" xr:uid="{00000000-0005-0000-0000-0000E0020000}"/>
    <cellStyle name="Kimenet 2" xfId="1186" xr:uid="{00000000-0005-0000-0000-0000E1020000}"/>
    <cellStyle name="Kokku" xfId="423" xr:uid="{00000000-0005-0000-0000-0000E2020000}"/>
    <cellStyle name="Kokku 2" xfId="1187" xr:uid="{00000000-0005-0000-0000-0000E3020000}"/>
    <cellStyle name="Kokku 2 2" xfId="1490" xr:uid="{00000000-0005-0000-0000-0000E4020000}"/>
    <cellStyle name="Kokku 3" xfId="1188" xr:uid="{00000000-0005-0000-0000-0000E5020000}"/>
    <cellStyle name="Komma 2" xfId="424" xr:uid="{00000000-0005-0000-0000-0000E6020000}"/>
    <cellStyle name="Komma 2 2" xfId="990" xr:uid="{00000000-0005-0000-0000-0000E7020000}"/>
    <cellStyle name="Komma 2 2 2" xfId="1317" xr:uid="{00000000-0005-0000-0000-0000E8020000}"/>
    <cellStyle name="Komma 2 2 2 2" xfId="24831" xr:uid="{2C3F8375-1B8F-4FDD-868A-EA202E3653D3}"/>
    <cellStyle name="Komma 2 2 3" xfId="1386" xr:uid="{00000000-0005-0000-0000-0000E9020000}"/>
    <cellStyle name="Komma 2 2 3 2" xfId="24900" xr:uid="{9A9BBA4E-73A7-44B3-9085-811E0DA065FB}"/>
    <cellStyle name="Komma 2 2 4" xfId="24761" xr:uid="{063B6441-E19C-4A98-A89D-7B9C47EABFAB}"/>
    <cellStyle name="Komma 3" xfId="425" xr:uid="{00000000-0005-0000-0000-0000EA020000}"/>
    <cellStyle name="Komma 3 2" xfId="991" xr:uid="{00000000-0005-0000-0000-0000EB020000}"/>
    <cellStyle name="Komma 3 2 2" xfId="1318" xr:uid="{00000000-0005-0000-0000-0000EC020000}"/>
    <cellStyle name="Komma 3 2 2 2" xfId="24832" xr:uid="{2A418D1B-1312-409B-B4B3-41D136E9F5EA}"/>
    <cellStyle name="Komma 3 2 3" xfId="1387" xr:uid="{00000000-0005-0000-0000-0000ED020000}"/>
    <cellStyle name="Komma 3 2 3 2" xfId="24901" xr:uid="{B408C0DC-D98D-49B0-BCC1-8CB4B494DB68}"/>
    <cellStyle name="Komma 3 2 4" xfId="24762" xr:uid="{AC6E2B37-D034-40DF-9771-7B3BD140CB09}"/>
    <cellStyle name="Komma 4" xfId="426" xr:uid="{00000000-0005-0000-0000-0000EE020000}"/>
    <cellStyle name="Komma 4 2" xfId="992" xr:uid="{00000000-0005-0000-0000-0000EF020000}"/>
    <cellStyle name="Komma 4 2 2" xfId="1319" xr:uid="{00000000-0005-0000-0000-0000F0020000}"/>
    <cellStyle name="Komma 4 2 2 2" xfId="24833" xr:uid="{E75229E9-A777-4B9F-A42A-51D87B77DE55}"/>
    <cellStyle name="Komma 4 2 3" xfId="1388" xr:uid="{00000000-0005-0000-0000-0000F1020000}"/>
    <cellStyle name="Komma 4 2 3 2" xfId="24902" xr:uid="{1B3195C4-A2FD-4EA0-9C8E-1CF3504815EE}"/>
    <cellStyle name="Komma 4 2 4" xfId="24763" xr:uid="{A98C1B2D-0749-4578-9681-26C95CAE0425}"/>
    <cellStyle name="Kontrollcell" xfId="427" xr:uid="{00000000-0005-0000-0000-0000F2020000}"/>
    <cellStyle name="Kontroller celle" xfId="428" xr:uid="{00000000-0005-0000-0000-0000F3020000}"/>
    <cellStyle name="Kontrolli lahtrit" xfId="429" xr:uid="{00000000-0005-0000-0000-0000F4020000}"/>
    <cellStyle name="Kontrolli lahtrit 2" xfId="1189" xr:uid="{00000000-0005-0000-0000-0000F5020000}"/>
    <cellStyle name="Kontrolli lahtrit 3" xfId="1190" xr:uid="{00000000-0005-0000-0000-0000F6020000}"/>
    <cellStyle name="KPMG Heading 1" xfId="430" xr:uid="{00000000-0005-0000-0000-0000F7020000}"/>
    <cellStyle name="KPMG Heading 2" xfId="431" xr:uid="{00000000-0005-0000-0000-0000F8020000}"/>
    <cellStyle name="KPMG Heading 3" xfId="432" xr:uid="{00000000-0005-0000-0000-0000F9020000}"/>
    <cellStyle name="KPMG Heading 4" xfId="433" xr:uid="{00000000-0005-0000-0000-0000FA020000}"/>
    <cellStyle name="KPMG Normal" xfId="434" xr:uid="{00000000-0005-0000-0000-0000FB020000}"/>
    <cellStyle name="KPMG Normal Text" xfId="435" xr:uid="{00000000-0005-0000-0000-0000FC020000}"/>
    <cellStyle name="Label" xfId="3328" xr:uid="{ED567814-F8C6-4945-968B-32CA19DA775B}"/>
    <cellStyle name="Label 2" xfId="3329" xr:uid="{8110606C-5A9E-4F1C-8E29-275D314FC815}"/>
    <cellStyle name="Lable_1" xfId="436" xr:uid="{00000000-0005-0000-0000-0000FD020000}"/>
    <cellStyle name="Länkad cell" xfId="437" xr:uid="{00000000-0005-0000-0000-0000FE020000}"/>
    <cellStyle name="Large" xfId="438" xr:uid="{00000000-0005-0000-0000-0000FF020000}"/>
    <cellStyle name="Laskenta" xfId="439" xr:uid="{00000000-0005-0000-0000-000000030000}"/>
    <cellStyle name="Laskenta 10" xfId="3330" xr:uid="{811E6360-07FF-4DCE-B47F-4E1946B9112F}"/>
    <cellStyle name="Laskenta 10 2" xfId="3331" xr:uid="{408ABB6E-2CBF-4481-AFF6-66F7A8FFB6B0}"/>
    <cellStyle name="Laskenta 11" xfId="3332" xr:uid="{59B6C1C2-BDEE-41D1-AB1B-F36D843B32DD}"/>
    <cellStyle name="Laskenta 11 2" xfId="3333" xr:uid="{0B28079D-7E61-4D58-B1EE-5F39748E6241}"/>
    <cellStyle name="Laskenta 12" xfId="3334" xr:uid="{250D999A-4C00-44DD-ADC3-2F765DB852EB}"/>
    <cellStyle name="Laskenta 12 2" xfId="3335" xr:uid="{350C8F04-E258-4DC0-B892-1F3AB3B793C9}"/>
    <cellStyle name="Laskenta 13" xfId="3336" xr:uid="{C1AF9D77-D7EC-49F9-A353-EB2FDC296555}"/>
    <cellStyle name="Laskenta 13 2" xfId="3337" xr:uid="{DDF756AF-EB0E-4525-BAEC-EB3D6BFF394F}"/>
    <cellStyle name="Laskenta 14" xfId="3338" xr:uid="{3178F208-2E3A-47A7-BD3C-82F440B053B6}"/>
    <cellStyle name="Laskenta 14 2" xfId="3339" xr:uid="{726F20EA-9900-4E81-B2B3-ADA9CDDD490D}"/>
    <cellStyle name="Laskenta 15" xfId="3340" xr:uid="{00BE2F1E-4EC1-4305-AA17-75583374E303}"/>
    <cellStyle name="Laskenta 15 2" xfId="3341" xr:uid="{104A6C88-19DC-4D73-8B37-A2ADF2F1C878}"/>
    <cellStyle name="Laskenta 16" xfId="3342" xr:uid="{59282D4E-400D-4452-A59C-917C4D1C0609}"/>
    <cellStyle name="Laskenta 2" xfId="1492" xr:uid="{00000000-0005-0000-0000-000001030000}"/>
    <cellStyle name="Laskenta 2 2" xfId="3343" xr:uid="{62E099A6-6204-4563-A88E-4BCEC7C48F59}"/>
    <cellStyle name="Laskenta 3" xfId="1482" xr:uid="{00000000-0005-0000-0000-000002030000}"/>
    <cellStyle name="Laskenta 3 2" xfId="3344" xr:uid="{00A3620A-0462-4F89-94EE-A13C420B5A00}"/>
    <cellStyle name="Laskenta 4" xfId="3345" xr:uid="{6D85E6CB-DEFB-4578-8428-CC3CA7BD45F1}"/>
    <cellStyle name="Laskenta 4 2" xfId="3346" xr:uid="{BB14D1FC-73C7-40DA-9FD7-D6B40CD48555}"/>
    <cellStyle name="Laskenta 5" xfId="3347" xr:uid="{869DE266-E9CD-448C-A6AB-689DFF38CD8E}"/>
    <cellStyle name="Laskenta 5 2" xfId="3348" xr:uid="{EB4C208A-75DC-43ED-BC54-C489C2502CAA}"/>
    <cellStyle name="Laskenta 6" xfId="3349" xr:uid="{07EE76E6-714D-45D1-8A0A-2C18971855E8}"/>
    <cellStyle name="Laskenta 6 2" xfId="3350" xr:uid="{312DE482-5D13-4C03-B5DA-FBFAD7FD3BD5}"/>
    <cellStyle name="Laskenta 7" xfId="3351" xr:uid="{EBC2CCC8-FF6B-4A08-9156-452E3DEA8A56}"/>
    <cellStyle name="Laskenta 7 2" xfId="3352" xr:uid="{A93C7D39-9C13-41AC-964A-34D797BE57BB}"/>
    <cellStyle name="Laskenta 8" xfId="3353" xr:uid="{D3876EB7-66E8-469B-B58F-D4436C3DAEB8}"/>
    <cellStyle name="Laskenta 8 2" xfId="3354" xr:uid="{491EEF73-8A61-4C7A-BF6A-1DC0D6F9078E}"/>
    <cellStyle name="Laskenta 9" xfId="3355" xr:uid="{CCC2454C-8C6C-47C1-980E-E2F5732B0259}"/>
    <cellStyle name="Laskenta 9 2" xfId="3356" xr:uid="{42EC3075-94A6-44F3-B23A-9C472B374A66}"/>
    <cellStyle name="Lingitud lahter" xfId="440" xr:uid="{00000000-0005-0000-0000-000003030000}"/>
    <cellStyle name="Lingitud lahter 2" xfId="1191" xr:uid="{00000000-0005-0000-0000-000004030000}"/>
    <cellStyle name="Lingitud lahter 3" xfId="1192" xr:uid="{00000000-0005-0000-0000-000005030000}"/>
    <cellStyle name="Link_addon" xfId="3357" xr:uid="{BF3DEF95-EEED-4C5C-91BF-340A89650B58}"/>
    <cellStyle name="Linked Cell 2" xfId="441" xr:uid="{00000000-0005-0000-0000-000006030000}"/>
    <cellStyle name="Linked Cell 2 2" xfId="3359" xr:uid="{75A3AA82-1698-4D50-A60C-9E5AE53616D5}"/>
    <cellStyle name="Linked Cell 2_T1 ANSP" xfId="3358" xr:uid="{F2615F01-1156-4E87-8464-E926CD158344}"/>
    <cellStyle name="Linked Cell 3" xfId="3360" xr:uid="{32B02DFD-B04F-4994-A08E-F827C2059B53}"/>
    <cellStyle name="Linkitetty solu" xfId="442" xr:uid="{00000000-0005-0000-0000-000007030000}"/>
    <cellStyle name="Lookup References" xfId="443" xr:uid="{00000000-0005-0000-0000-000008030000}"/>
    <cellStyle name="Magyarázó szöveg 2" xfId="1193" xr:uid="{00000000-0005-0000-0000-000009030000}"/>
    <cellStyle name="Major heading" xfId="3361" xr:uid="{029DA178-3639-4381-89C0-22F3A378219D}"/>
    <cellStyle name="Markeringsfarve1" xfId="444" xr:uid="{00000000-0005-0000-0000-00000A030000}"/>
    <cellStyle name="Markeringsfarve2" xfId="445" xr:uid="{00000000-0005-0000-0000-00000B030000}"/>
    <cellStyle name="Markeringsfarve3" xfId="446" xr:uid="{00000000-0005-0000-0000-00000C030000}"/>
    <cellStyle name="Markeringsfarve4" xfId="447" xr:uid="{00000000-0005-0000-0000-00000D030000}"/>
    <cellStyle name="Markeringsfarve5" xfId="448" xr:uid="{00000000-0005-0000-0000-00000E030000}"/>
    <cellStyle name="Markeringsfarve6" xfId="449" xr:uid="{00000000-0005-0000-0000-00000F030000}"/>
    <cellStyle name="Märkus" xfId="450" xr:uid="{00000000-0005-0000-0000-000010030000}"/>
    <cellStyle name="Märkus 2" xfId="1194" xr:uid="{00000000-0005-0000-0000-000011030000}"/>
    <cellStyle name="Märkus 2 2" xfId="1494" xr:uid="{00000000-0005-0000-0000-000012030000}"/>
    <cellStyle name="Märkus 3" xfId="1195" xr:uid="{00000000-0005-0000-0000-000013030000}"/>
    <cellStyle name="Mary 1" xfId="3362" xr:uid="{A309DC7C-FC19-447F-BAEF-9330FB366754}"/>
    <cellStyle name="Medium" xfId="451" xr:uid="{00000000-0005-0000-0000-000014030000}"/>
    <cellStyle name="Migliaia (0)_Brazil" xfId="452" xr:uid="{00000000-0005-0000-0000-000015030000}"/>
    <cellStyle name="Migliaia [0] 2" xfId="453" xr:uid="{00000000-0005-0000-0000-000016030000}"/>
    <cellStyle name="Migliaia [0] 2 2" xfId="454" xr:uid="{00000000-0005-0000-0000-000017030000}"/>
    <cellStyle name="Migliaia [0] 2 2 2" xfId="994" xr:uid="{00000000-0005-0000-0000-000018030000}"/>
    <cellStyle name="Migliaia [0] 2 2 2 2" xfId="1321" xr:uid="{00000000-0005-0000-0000-000019030000}"/>
    <cellStyle name="Migliaia [0] 2 2 2 2 2" xfId="24835" xr:uid="{8CEEDDCD-63B4-48C0-80C2-43DFE95227B8}"/>
    <cellStyle name="Migliaia [0] 2 2 2 3" xfId="1390" xr:uid="{00000000-0005-0000-0000-00001A030000}"/>
    <cellStyle name="Migliaia [0] 2 2 2 3 2" xfId="24904" xr:uid="{097F4A8E-5225-4A88-B691-75776F715C75}"/>
    <cellStyle name="Migliaia [0] 2 2 2 4" xfId="24765" xr:uid="{FE925CF7-B61E-472A-AD88-1268A9441EE4}"/>
    <cellStyle name="Migliaia [0] 2 3" xfId="993" xr:uid="{00000000-0005-0000-0000-00001B030000}"/>
    <cellStyle name="Migliaia [0] 2 3 2" xfId="1320" xr:uid="{00000000-0005-0000-0000-00001C030000}"/>
    <cellStyle name="Migliaia [0] 2 3 2 2" xfId="24834" xr:uid="{9EBBA8DE-E925-4B36-818E-6A79959B5457}"/>
    <cellStyle name="Migliaia [0] 2 3 3" xfId="1389" xr:uid="{00000000-0005-0000-0000-00001D030000}"/>
    <cellStyle name="Migliaia [0] 2 3 3 2" xfId="24903" xr:uid="{417AC64F-E80E-4882-AF57-2317A17953E0}"/>
    <cellStyle name="Migliaia [0] 2 3 4" xfId="24764" xr:uid="{76528960-618E-473F-A8B4-A54FC401B782}"/>
    <cellStyle name="Migliaia [0] 3" xfId="455" xr:uid="{00000000-0005-0000-0000-00001E030000}"/>
    <cellStyle name="Migliaia [0] 3 2" xfId="456" xr:uid="{00000000-0005-0000-0000-00001F030000}"/>
    <cellStyle name="Migliaia [0] 3 2 2" xfId="996" xr:uid="{00000000-0005-0000-0000-000020030000}"/>
    <cellStyle name="Migliaia [0] 3 2 2 2" xfId="1323" xr:uid="{00000000-0005-0000-0000-000021030000}"/>
    <cellStyle name="Migliaia [0] 3 2 2 2 2" xfId="24837" xr:uid="{0650B033-F7DA-47B2-8F18-AE98C2442465}"/>
    <cellStyle name="Migliaia [0] 3 2 2 3" xfId="1392" xr:uid="{00000000-0005-0000-0000-000022030000}"/>
    <cellStyle name="Migliaia [0] 3 2 2 3 2" xfId="24906" xr:uid="{8ABB5833-B5A0-4ED0-A6F1-A05615ADF357}"/>
    <cellStyle name="Migliaia [0] 3 2 2 4" xfId="24767" xr:uid="{C6B40F2D-E503-4342-9F26-5D0A6EDE11C6}"/>
    <cellStyle name="Migliaia [0] 3 3" xfId="995" xr:uid="{00000000-0005-0000-0000-000023030000}"/>
    <cellStyle name="Migliaia [0] 3 3 2" xfId="1322" xr:uid="{00000000-0005-0000-0000-000024030000}"/>
    <cellStyle name="Migliaia [0] 3 3 2 2" xfId="24836" xr:uid="{00A8FA00-9E80-47C1-B6B1-C042DB02A6D2}"/>
    <cellStyle name="Migliaia [0] 3 3 3" xfId="1391" xr:uid="{00000000-0005-0000-0000-000025030000}"/>
    <cellStyle name="Migliaia [0] 3 3 3 2" xfId="24905" xr:uid="{27125DD8-8DA2-4898-929B-9CA88CC8E5A7}"/>
    <cellStyle name="Migliaia [0] 3 3 4" xfId="24766" xr:uid="{C7E55566-46B7-416E-BCEC-EA81F70248D4}"/>
    <cellStyle name="Migliaia [0] 4" xfId="457" xr:uid="{00000000-0005-0000-0000-000026030000}"/>
    <cellStyle name="Migliaia [0] 4 2" xfId="458" xr:uid="{00000000-0005-0000-0000-000027030000}"/>
    <cellStyle name="Migliaia [0] 4 2 2" xfId="998" xr:uid="{00000000-0005-0000-0000-000028030000}"/>
    <cellStyle name="Migliaia [0] 4 2 2 2" xfId="1325" xr:uid="{00000000-0005-0000-0000-000029030000}"/>
    <cellStyle name="Migliaia [0] 4 2 2 2 2" xfId="24839" xr:uid="{9499EE98-D0FB-4645-AA41-D86D71AACCA1}"/>
    <cellStyle name="Migliaia [0] 4 2 2 3" xfId="1394" xr:uid="{00000000-0005-0000-0000-00002A030000}"/>
    <cellStyle name="Migliaia [0] 4 2 2 3 2" xfId="24908" xr:uid="{4238B64E-559D-42F9-8EBE-95DC27891A98}"/>
    <cellStyle name="Migliaia [0] 4 2 2 4" xfId="24769" xr:uid="{2B786DA2-BFAD-44E9-9329-EB925ED134F8}"/>
    <cellStyle name="Migliaia [0] 4 3" xfId="997" xr:uid="{00000000-0005-0000-0000-00002B030000}"/>
    <cellStyle name="Migliaia [0] 4 3 2" xfId="1324" xr:uid="{00000000-0005-0000-0000-00002C030000}"/>
    <cellStyle name="Migliaia [0] 4 3 2 2" xfId="24838" xr:uid="{D324FD18-5076-4B3A-81A4-EB136D26BB2C}"/>
    <cellStyle name="Migliaia [0] 4 3 3" xfId="1393" xr:uid="{00000000-0005-0000-0000-00002D030000}"/>
    <cellStyle name="Migliaia [0] 4 3 3 2" xfId="24907" xr:uid="{E20F7BCE-684C-474C-A7E1-8A1087A83423}"/>
    <cellStyle name="Migliaia [0] 4 3 4" xfId="24768" xr:uid="{DFF20E34-1550-4428-8D07-69A28F4D8D8B}"/>
    <cellStyle name="Migliaia [0] 5" xfId="459" xr:uid="{00000000-0005-0000-0000-00002E030000}"/>
    <cellStyle name="Migliaia [0] 5 2" xfId="460" xr:uid="{00000000-0005-0000-0000-00002F030000}"/>
    <cellStyle name="Migliaia [0] 5 2 2" xfId="1000" xr:uid="{00000000-0005-0000-0000-000030030000}"/>
    <cellStyle name="Migliaia [0] 5 2 2 2" xfId="1327" xr:uid="{00000000-0005-0000-0000-000031030000}"/>
    <cellStyle name="Migliaia [0] 5 2 2 2 2" xfId="24841" xr:uid="{C29CFA7A-D134-49CF-8382-CB51C6423A2E}"/>
    <cellStyle name="Migliaia [0] 5 2 2 3" xfId="1396" xr:uid="{00000000-0005-0000-0000-000032030000}"/>
    <cellStyle name="Migliaia [0] 5 2 2 3 2" xfId="24910" xr:uid="{D70EC193-BAEC-4159-8C48-3C0BBFD73714}"/>
    <cellStyle name="Migliaia [0] 5 2 2 4" xfId="24771" xr:uid="{4ECB453D-5194-4B52-8D37-0501234320CF}"/>
    <cellStyle name="Migliaia [0] 5 3" xfId="999" xr:uid="{00000000-0005-0000-0000-000033030000}"/>
    <cellStyle name="Migliaia [0] 5 3 2" xfId="1326" xr:uid="{00000000-0005-0000-0000-000034030000}"/>
    <cellStyle name="Migliaia [0] 5 3 2 2" xfId="24840" xr:uid="{59533251-B47B-45EC-897F-E27B05E5E992}"/>
    <cellStyle name="Migliaia [0] 5 3 3" xfId="1395" xr:uid="{00000000-0005-0000-0000-000035030000}"/>
    <cellStyle name="Migliaia [0] 5 3 3 2" xfId="24909" xr:uid="{D2BEA2CC-E12D-4B5D-8C28-E63E7745509C}"/>
    <cellStyle name="Migliaia [0] 5 3 4" xfId="24770" xr:uid="{7494D3EF-595A-4A90-A672-D1666C2ABAF9}"/>
    <cellStyle name="Migliaia [0] 6" xfId="461" xr:uid="{00000000-0005-0000-0000-000036030000}"/>
    <cellStyle name="Migliaia [0] 6 2" xfId="1001" xr:uid="{00000000-0005-0000-0000-000037030000}"/>
    <cellStyle name="Migliaia [0] 6 2 2" xfId="1328" xr:uid="{00000000-0005-0000-0000-000038030000}"/>
    <cellStyle name="Migliaia [0] 6 2 2 2" xfId="24842" xr:uid="{8F423B22-9A22-4CDA-A2BB-566F38C198AE}"/>
    <cellStyle name="Migliaia [0] 6 2 3" xfId="1397" xr:uid="{00000000-0005-0000-0000-000039030000}"/>
    <cellStyle name="Migliaia [0] 6 2 3 2" xfId="24911" xr:uid="{272B79C9-92D1-4667-A67C-FBDD5D17C305}"/>
    <cellStyle name="Migliaia [0] 6 2 4" xfId="24772" xr:uid="{D554864D-2508-4AE0-988C-477CA4892D08}"/>
    <cellStyle name="Migliaia [0] 7" xfId="462" xr:uid="{00000000-0005-0000-0000-00003A030000}"/>
    <cellStyle name="Migliaia [0] 7 2" xfId="1002" xr:uid="{00000000-0005-0000-0000-00003B030000}"/>
    <cellStyle name="Migliaia [0] 7 2 2" xfId="1329" xr:uid="{00000000-0005-0000-0000-00003C030000}"/>
    <cellStyle name="Migliaia [0] 7 2 2 2" xfId="24843" xr:uid="{5FBFCDA4-1888-4EBF-95E0-0A082FADD50B}"/>
    <cellStyle name="Migliaia [0] 7 2 3" xfId="1398" xr:uid="{00000000-0005-0000-0000-00003D030000}"/>
    <cellStyle name="Migliaia [0] 7 2 3 2" xfId="24912" xr:uid="{E2035F57-92F3-4A41-A439-70DF4F3B4D61}"/>
    <cellStyle name="Migliaia [0] 7 2 4" xfId="24773" xr:uid="{5211A240-441F-4C23-B48D-9690E0888E12}"/>
    <cellStyle name="Migliaia 10" xfId="463" xr:uid="{00000000-0005-0000-0000-00003E030000}"/>
    <cellStyle name="Migliaia 10 2" xfId="1003" xr:uid="{00000000-0005-0000-0000-00003F030000}"/>
    <cellStyle name="Migliaia 10 2 2" xfId="1330" xr:uid="{00000000-0005-0000-0000-000040030000}"/>
    <cellStyle name="Migliaia 10 2 2 2" xfId="24844" xr:uid="{6E40232F-848A-431D-8CFB-B3D6AE01200B}"/>
    <cellStyle name="Migliaia 10 2 3" xfId="1399" xr:uid="{00000000-0005-0000-0000-000041030000}"/>
    <cellStyle name="Migliaia 10 2 3 2" xfId="24913" xr:uid="{200B68AA-E82D-44A4-A07B-DC8A2E0F59AD}"/>
    <cellStyle name="Migliaia 10 2 4" xfId="24774" xr:uid="{F0CCD877-B317-4580-8157-0BABFC31C8B2}"/>
    <cellStyle name="Migliaia 11" xfId="464" xr:uid="{00000000-0005-0000-0000-000042030000}"/>
    <cellStyle name="Migliaia 11 2" xfId="1004" xr:uid="{00000000-0005-0000-0000-000043030000}"/>
    <cellStyle name="Migliaia 11 2 2" xfId="1331" xr:uid="{00000000-0005-0000-0000-000044030000}"/>
    <cellStyle name="Migliaia 11 2 2 2" xfId="24845" xr:uid="{E7D0A42B-91AF-41AD-B46C-D52A98F565E7}"/>
    <cellStyle name="Migliaia 11 2 3" xfId="1400" xr:uid="{00000000-0005-0000-0000-000045030000}"/>
    <cellStyle name="Migliaia 11 2 3 2" xfId="24914" xr:uid="{85273D72-3124-41CF-9F43-A9594EA91125}"/>
    <cellStyle name="Migliaia 11 2 4" xfId="24775" xr:uid="{A53EFE5E-A2D2-4F67-907A-99A47E39C95D}"/>
    <cellStyle name="Migliaia 12" xfId="465" xr:uid="{00000000-0005-0000-0000-000046030000}"/>
    <cellStyle name="Migliaia 12 2" xfId="1005" xr:uid="{00000000-0005-0000-0000-000047030000}"/>
    <cellStyle name="Migliaia 12 2 2" xfId="1332" xr:uid="{00000000-0005-0000-0000-000048030000}"/>
    <cellStyle name="Migliaia 12 2 2 2" xfId="24846" xr:uid="{C057D66E-CC6C-4069-B6D9-AF297ADD7863}"/>
    <cellStyle name="Migliaia 12 2 3" xfId="1401" xr:uid="{00000000-0005-0000-0000-000049030000}"/>
    <cellStyle name="Migliaia 12 2 3 2" xfId="24915" xr:uid="{2B58DBE2-1075-495E-BE7B-B05273C5D184}"/>
    <cellStyle name="Migliaia 12 2 4" xfId="24776" xr:uid="{4F8F8904-31DD-4038-9B1F-51D750C52D34}"/>
    <cellStyle name="Migliaia 13" xfId="466" xr:uid="{00000000-0005-0000-0000-00004A030000}"/>
    <cellStyle name="Migliaia 13 2" xfId="1006" xr:uid="{00000000-0005-0000-0000-00004B030000}"/>
    <cellStyle name="Migliaia 13 2 2" xfId="1333" xr:uid="{00000000-0005-0000-0000-00004C030000}"/>
    <cellStyle name="Migliaia 13 2 2 2" xfId="24847" xr:uid="{F4FC4C11-6EDA-43BD-9671-65AD42C13449}"/>
    <cellStyle name="Migliaia 13 2 3" xfId="1402" xr:uid="{00000000-0005-0000-0000-00004D030000}"/>
    <cellStyle name="Migliaia 13 2 3 2" xfId="24916" xr:uid="{A1F96928-6991-46B2-9730-B68FE2B132C1}"/>
    <cellStyle name="Migliaia 13 2 4" xfId="24777" xr:uid="{11B7B439-A96D-49E4-B930-A8694077B7B0}"/>
    <cellStyle name="Migliaia 14" xfId="467" xr:uid="{00000000-0005-0000-0000-00004E030000}"/>
    <cellStyle name="Migliaia 14 2" xfId="1007" xr:uid="{00000000-0005-0000-0000-00004F030000}"/>
    <cellStyle name="Migliaia 14 2 2" xfId="1334" xr:uid="{00000000-0005-0000-0000-000050030000}"/>
    <cellStyle name="Migliaia 14 2 2 2" xfId="24848" xr:uid="{33625A13-3EF6-48C6-8449-245E47F66254}"/>
    <cellStyle name="Migliaia 14 2 3" xfId="1403" xr:uid="{00000000-0005-0000-0000-000051030000}"/>
    <cellStyle name="Migliaia 14 2 3 2" xfId="24917" xr:uid="{C950E704-AFAA-4302-9EFA-906FC1DC09F4}"/>
    <cellStyle name="Migliaia 14 2 4" xfId="24778" xr:uid="{10C1FC07-2906-4103-9EBA-62EE2DD44817}"/>
    <cellStyle name="Migliaia 15" xfId="468" xr:uid="{00000000-0005-0000-0000-000052030000}"/>
    <cellStyle name="Migliaia 15 2" xfId="1008" xr:uid="{00000000-0005-0000-0000-000053030000}"/>
    <cellStyle name="Migliaia 15 2 2" xfId="1335" xr:uid="{00000000-0005-0000-0000-000054030000}"/>
    <cellStyle name="Migliaia 15 2 2 2" xfId="24849" xr:uid="{91F2D3E0-F77E-46ED-BA07-56704EF9ABA0}"/>
    <cellStyle name="Migliaia 15 2 3" xfId="1404" xr:uid="{00000000-0005-0000-0000-000055030000}"/>
    <cellStyle name="Migliaia 15 2 3 2" xfId="24918" xr:uid="{3BD12883-1C6B-4CED-9A8F-7C1321F114D3}"/>
    <cellStyle name="Migliaia 15 2 4" xfId="24779" xr:uid="{CC98EE12-553A-40E1-BE02-A63967968BEC}"/>
    <cellStyle name="Migliaia 16" xfId="469" xr:uid="{00000000-0005-0000-0000-000056030000}"/>
    <cellStyle name="Migliaia 16 2" xfId="1009" xr:uid="{00000000-0005-0000-0000-000057030000}"/>
    <cellStyle name="Migliaia 16 2 2" xfId="1336" xr:uid="{00000000-0005-0000-0000-000058030000}"/>
    <cellStyle name="Migliaia 16 2 2 2" xfId="24850" xr:uid="{BD38A189-4F49-4B60-AD03-41E2C4546500}"/>
    <cellStyle name="Migliaia 16 2 3" xfId="1405" xr:uid="{00000000-0005-0000-0000-000059030000}"/>
    <cellStyle name="Migliaia 16 2 3 2" xfId="24919" xr:uid="{12E744D7-0552-4454-965E-7407F5BD27D1}"/>
    <cellStyle name="Migliaia 16 2 4" xfId="24780" xr:uid="{4E23FEAF-5EA2-4739-B0EC-5947ACCCCE9A}"/>
    <cellStyle name="Migliaia 17" xfId="470" xr:uid="{00000000-0005-0000-0000-00005A030000}"/>
    <cellStyle name="Migliaia 17 2" xfId="1010" xr:uid="{00000000-0005-0000-0000-00005B030000}"/>
    <cellStyle name="Migliaia 17 2 2" xfId="1337" xr:uid="{00000000-0005-0000-0000-00005C030000}"/>
    <cellStyle name="Migliaia 17 2 2 2" xfId="24851" xr:uid="{9FFD6177-74C4-443F-A0D9-C9C093880A6A}"/>
    <cellStyle name="Migliaia 17 2 3" xfId="1406" xr:uid="{00000000-0005-0000-0000-00005D030000}"/>
    <cellStyle name="Migliaia 17 2 3 2" xfId="24920" xr:uid="{65A6C5B7-0577-4C70-8F39-2B3EB5702082}"/>
    <cellStyle name="Migliaia 17 2 4" xfId="24781" xr:uid="{196199C8-45B9-442E-9121-BD7DDDE68BAD}"/>
    <cellStyle name="Migliaia 18" xfId="471" xr:uid="{00000000-0005-0000-0000-00005E030000}"/>
    <cellStyle name="Migliaia 18 2" xfId="1011" xr:uid="{00000000-0005-0000-0000-00005F030000}"/>
    <cellStyle name="Migliaia 18 2 2" xfId="1338" xr:uid="{00000000-0005-0000-0000-000060030000}"/>
    <cellStyle name="Migliaia 18 2 2 2" xfId="24852" xr:uid="{C3035506-4E57-4B7D-87EC-6EE61832D857}"/>
    <cellStyle name="Migliaia 18 2 3" xfId="1407" xr:uid="{00000000-0005-0000-0000-000061030000}"/>
    <cellStyle name="Migliaia 18 2 3 2" xfId="24921" xr:uid="{7B04ABCC-36F2-41DC-9E81-58DDD41D25E3}"/>
    <cellStyle name="Migliaia 18 2 4" xfId="24782" xr:uid="{65A42DA0-B1F5-42BA-8CC8-EC947A93A668}"/>
    <cellStyle name="Migliaia 19" xfId="472" xr:uid="{00000000-0005-0000-0000-000062030000}"/>
    <cellStyle name="Migliaia 19 2" xfId="1012" xr:uid="{00000000-0005-0000-0000-000063030000}"/>
    <cellStyle name="Migliaia 19 2 2" xfId="1339" xr:uid="{00000000-0005-0000-0000-000064030000}"/>
    <cellStyle name="Migliaia 19 2 2 2" xfId="24853" xr:uid="{60B0C1F6-1CD4-41D2-B5D7-5CCB20EC42DE}"/>
    <cellStyle name="Migliaia 19 2 3" xfId="1408" xr:uid="{00000000-0005-0000-0000-000065030000}"/>
    <cellStyle name="Migliaia 19 2 3 2" xfId="24922" xr:uid="{D7FF70E9-FA98-4023-9D4F-406068675257}"/>
    <cellStyle name="Migliaia 19 2 4" xfId="24783" xr:uid="{BADA70A7-1917-4A31-9A99-94125720770D}"/>
    <cellStyle name="Migliaia 2" xfId="473" xr:uid="{00000000-0005-0000-0000-000066030000}"/>
    <cellStyle name="Migliaia 2 2" xfId="474" xr:uid="{00000000-0005-0000-0000-000067030000}"/>
    <cellStyle name="Migliaia 2 2 2" xfId="1014" xr:uid="{00000000-0005-0000-0000-000068030000}"/>
    <cellStyle name="Migliaia 2 2 2 2" xfId="1341" xr:uid="{00000000-0005-0000-0000-000069030000}"/>
    <cellStyle name="Migliaia 2 2 2 2 2" xfId="24855" xr:uid="{5E39A130-B7D9-492B-B7D7-43FBEF279ECC}"/>
    <cellStyle name="Migliaia 2 2 2 3" xfId="1410" xr:uid="{00000000-0005-0000-0000-00006A030000}"/>
    <cellStyle name="Migliaia 2 2 2 3 2" xfId="24924" xr:uid="{4B2CAC97-A8B3-4E54-9DB9-6180FA17E643}"/>
    <cellStyle name="Migliaia 2 2 2 4" xfId="24785" xr:uid="{C4AA504C-4275-4E38-BDD0-3B441DD8F364}"/>
    <cellStyle name="Migliaia 2 3" xfId="1013" xr:uid="{00000000-0005-0000-0000-00006B030000}"/>
    <cellStyle name="Migliaia 2 3 2" xfId="1340" xr:uid="{00000000-0005-0000-0000-00006C030000}"/>
    <cellStyle name="Migliaia 2 3 2 2" xfId="24854" xr:uid="{E813F54A-7907-4F0A-A95F-034A4BA4ADBB}"/>
    <cellStyle name="Migliaia 2 3 3" xfId="1409" xr:uid="{00000000-0005-0000-0000-00006D030000}"/>
    <cellStyle name="Migliaia 2 3 3 2" xfId="24923" xr:uid="{0BDF88A5-96C2-49A2-B48A-ABA58FB546B4}"/>
    <cellStyle name="Migliaia 2 3 4" xfId="24784" xr:uid="{3C7D2C16-F538-4FAD-AD24-FA8AEEEE18BB}"/>
    <cellStyle name="Migliaia 20" xfId="475" xr:uid="{00000000-0005-0000-0000-00006E030000}"/>
    <cellStyle name="Migliaia 20 2" xfId="1015" xr:uid="{00000000-0005-0000-0000-00006F030000}"/>
    <cellStyle name="Migliaia 20 2 2" xfId="1342" xr:uid="{00000000-0005-0000-0000-000070030000}"/>
    <cellStyle name="Migliaia 20 2 2 2" xfId="24856" xr:uid="{AD019E43-3DF1-4444-8D96-422C20DE54F0}"/>
    <cellStyle name="Migliaia 20 2 3" xfId="1411" xr:uid="{00000000-0005-0000-0000-000071030000}"/>
    <cellStyle name="Migliaia 20 2 3 2" xfId="24925" xr:uid="{2F2686D2-A7C8-4922-9989-F79E5F9F5E4F}"/>
    <cellStyle name="Migliaia 20 2 4" xfId="24786" xr:uid="{0C91FBDB-84A3-44CB-900A-B12104D90B7F}"/>
    <cellStyle name="Migliaia 21" xfId="476" xr:uid="{00000000-0005-0000-0000-000072030000}"/>
    <cellStyle name="Migliaia 21 2" xfId="1016" xr:uid="{00000000-0005-0000-0000-000073030000}"/>
    <cellStyle name="Migliaia 21 2 2" xfId="1343" xr:uid="{00000000-0005-0000-0000-000074030000}"/>
    <cellStyle name="Migliaia 21 2 2 2" xfId="24857" xr:uid="{4D339E23-DACD-492E-9519-62151AA27057}"/>
    <cellStyle name="Migliaia 21 2 3" xfId="1412" xr:uid="{00000000-0005-0000-0000-000075030000}"/>
    <cellStyle name="Migliaia 21 2 3 2" xfId="24926" xr:uid="{A8509FDD-792A-45BD-8E3B-49019081A533}"/>
    <cellStyle name="Migliaia 21 2 4" xfId="24787" xr:uid="{FA7FDFA4-E0A5-4927-9E4D-6465273295AA}"/>
    <cellStyle name="Migliaia 22" xfId="477" xr:uid="{00000000-0005-0000-0000-000076030000}"/>
    <cellStyle name="Migliaia 22 2" xfId="1017" xr:uid="{00000000-0005-0000-0000-000077030000}"/>
    <cellStyle name="Migliaia 22 2 2" xfId="1344" xr:uid="{00000000-0005-0000-0000-000078030000}"/>
    <cellStyle name="Migliaia 22 2 2 2" xfId="24858" xr:uid="{1FDCD952-D679-48DA-A3F7-0891D117E9EC}"/>
    <cellStyle name="Migliaia 22 2 3" xfId="1413" xr:uid="{00000000-0005-0000-0000-000079030000}"/>
    <cellStyle name="Migliaia 22 2 3 2" xfId="24927" xr:uid="{A8070A7B-9661-4685-A262-7B1D67E968C0}"/>
    <cellStyle name="Migliaia 22 2 4" xfId="24788" xr:uid="{DCFD0AA4-FB76-4682-B222-4D14E342EB19}"/>
    <cellStyle name="Migliaia 23" xfId="478" xr:uid="{00000000-0005-0000-0000-00007A030000}"/>
    <cellStyle name="Migliaia 23 2" xfId="1018" xr:uid="{00000000-0005-0000-0000-00007B030000}"/>
    <cellStyle name="Migliaia 23 2 2" xfId="1345" xr:uid="{00000000-0005-0000-0000-00007C030000}"/>
    <cellStyle name="Migliaia 23 2 2 2" xfId="24859" xr:uid="{5B0BD5B3-D455-4672-8D4E-CF37FE25886C}"/>
    <cellStyle name="Migliaia 23 2 3" xfId="1414" xr:uid="{00000000-0005-0000-0000-00007D030000}"/>
    <cellStyle name="Migliaia 23 2 3 2" xfId="24928" xr:uid="{EF6F6490-A59B-4776-98E3-E2FF31BA61B8}"/>
    <cellStyle name="Migliaia 23 2 4" xfId="24789" xr:uid="{CE4FEFBA-8EB3-4221-9F6F-3582A7F9298C}"/>
    <cellStyle name="Migliaia 24" xfId="479" xr:uid="{00000000-0005-0000-0000-00007E030000}"/>
    <cellStyle name="Migliaia 24 2" xfId="1019" xr:uid="{00000000-0005-0000-0000-00007F030000}"/>
    <cellStyle name="Migliaia 24 2 2" xfId="1346" xr:uid="{00000000-0005-0000-0000-000080030000}"/>
    <cellStyle name="Migliaia 24 2 2 2" xfId="24860" xr:uid="{62AC5DDE-158C-4061-ADEE-37F19F6B7351}"/>
    <cellStyle name="Migliaia 24 2 3" xfId="1415" xr:uid="{00000000-0005-0000-0000-000081030000}"/>
    <cellStyle name="Migliaia 24 2 3 2" xfId="24929" xr:uid="{509BFC5C-98CB-4077-B325-49976C8A0230}"/>
    <cellStyle name="Migliaia 24 2 4" xfId="24790" xr:uid="{8294C4BF-3C4E-4BD6-8323-0D7F30134F85}"/>
    <cellStyle name="Migliaia 25" xfId="480" xr:uid="{00000000-0005-0000-0000-000082030000}"/>
    <cellStyle name="Migliaia 25 2" xfId="1020" xr:uid="{00000000-0005-0000-0000-000083030000}"/>
    <cellStyle name="Migliaia 25 2 2" xfId="1347" xr:uid="{00000000-0005-0000-0000-000084030000}"/>
    <cellStyle name="Migliaia 25 2 2 2" xfId="24861" xr:uid="{40573EB5-246B-42C0-9F57-675306278FDF}"/>
    <cellStyle name="Migliaia 25 2 3" xfId="1416" xr:uid="{00000000-0005-0000-0000-000085030000}"/>
    <cellStyle name="Migliaia 25 2 3 2" xfId="24930" xr:uid="{FEB9D571-C0C1-40DB-B55D-77634DAE3741}"/>
    <cellStyle name="Migliaia 25 2 4" xfId="24791" xr:uid="{D69EE7A8-262B-4967-A9A1-4B15A975B22D}"/>
    <cellStyle name="Migliaia 26" xfId="481" xr:uid="{00000000-0005-0000-0000-000086030000}"/>
    <cellStyle name="Migliaia 26 2" xfId="1021" xr:uid="{00000000-0005-0000-0000-000087030000}"/>
    <cellStyle name="Migliaia 26 2 2" xfId="1348" xr:uid="{00000000-0005-0000-0000-000088030000}"/>
    <cellStyle name="Migliaia 26 2 2 2" xfId="24862" xr:uid="{322CFCDC-75AD-432A-96C9-69797C63968B}"/>
    <cellStyle name="Migliaia 26 2 3" xfId="1417" xr:uid="{00000000-0005-0000-0000-000089030000}"/>
    <cellStyle name="Migliaia 26 2 3 2" xfId="24931" xr:uid="{C0EEE69B-9844-4582-BA4A-5104D4DEC39D}"/>
    <cellStyle name="Migliaia 26 2 4" xfId="24792" xr:uid="{695C828C-B200-4CED-A7A4-E3456B50BA84}"/>
    <cellStyle name="Migliaia 27" xfId="482" xr:uid="{00000000-0005-0000-0000-00008A030000}"/>
    <cellStyle name="Migliaia 27 2" xfId="1022" xr:uid="{00000000-0005-0000-0000-00008B030000}"/>
    <cellStyle name="Migliaia 27 2 2" xfId="1349" xr:uid="{00000000-0005-0000-0000-00008C030000}"/>
    <cellStyle name="Migliaia 27 2 2 2" xfId="24863" xr:uid="{21B10D0C-11D5-4D43-844B-3C0CCF5CE7F7}"/>
    <cellStyle name="Migliaia 27 2 3" xfId="1418" xr:uid="{00000000-0005-0000-0000-00008D030000}"/>
    <cellStyle name="Migliaia 27 2 3 2" xfId="24932" xr:uid="{16275596-7050-40EC-87FF-DB93F89D8794}"/>
    <cellStyle name="Migliaia 27 2 4" xfId="24793" xr:uid="{0392F0C6-A22D-40DA-AE23-824AD52F0D3E}"/>
    <cellStyle name="Migliaia 28" xfId="483" xr:uid="{00000000-0005-0000-0000-00008E030000}"/>
    <cellStyle name="Migliaia 28 2" xfId="1023" xr:uid="{00000000-0005-0000-0000-00008F030000}"/>
    <cellStyle name="Migliaia 28 2 2" xfId="1350" xr:uid="{00000000-0005-0000-0000-000090030000}"/>
    <cellStyle name="Migliaia 28 2 2 2" xfId="24864" xr:uid="{16FC1CD1-6A40-424C-82E0-95DDBD73D8CF}"/>
    <cellStyle name="Migliaia 28 2 3" xfId="1419" xr:uid="{00000000-0005-0000-0000-000091030000}"/>
    <cellStyle name="Migliaia 28 2 3 2" xfId="24933" xr:uid="{797F4F84-CB29-4A98-B4DC-E4A6501293A7}"/>
    <cellStyle name="Migliaia 28 2 4" xfId="24794" xr:uid="{21145160-152F-4565-A160-568187E5ECFA}"/>
    <cellStyle name="Migliaia 29" xfId="484" xr:uid="{00000000-0005-0000-0000-000092030000}"/>
    <cellStyle name="Migliaia 29 2" xfId="1024" xr:uid="{00000000-0005-0000-0000-000093030000}"/>
    <cellStyle name="Migliaia 29 2 2" xfId="1351" xr:uid="{00000000-0005-0000-0000-000094030000}"/>
    <cellStyle name="Migliaia 29 2 2 2" xfId="24865" xr:uid="{C95A27C9-12FE-4AFE-9527-5CD8794596C6}"/>
    <cellStyle name="Migliaia 29 2 3" xfId="1420" xr:uid="{00000000-0005-0000-0000-000095030000}"/>
    <cellStyle name="Migliaia 29 2 3 2" xfId="24934" xr:uid="{3F10A2FD-2A3A-42A9-BA0E-485AD4FC60BC}"/>
    <cellStyle name="Migliaia 29 2 4" xfId="24795" xr:uid="{E9EBC2EC-BE98-4AB3-9031-FD3031AB10F2}"/>
    <cellStyle name="Migliaia 29 3" xfId="1300" xr:uid="{00000000-0005-0000-0000-000096030000}"/>
    <cellStyle name="Migliaia 29 3 2" xfId="24814" xr:uid="{B8D55014-FFC9-4FBC-BBFE-EC9912994602}"/>
    <cellStyle name="Migliaia 29 4" xfId="1370" xr:uid="{00000000-0005-0000-0000-000097030000}"/>
    <cellStyle name="Migliaia 29 4 2" xfId="24884" xr:uid="{9A1246A7-D584-4112-BC38-043BECD814A8}"/>
    <cellStyle name="Migliaia 29 5" xfId="24744" xr:uid="{5E4ACA4C-B177-4DB6-8DB7-B818C508A1A6}"/>
    <cellStyle name="Migliaia 3" xfId="485" xr:uid="{00000000-0005-0000-0000-000098030000}"/>
    <cellStyle name="Migliaia 3 2" xfId="486" xr:uid="{00000000-0005-0000-0000-000099030000}"/>
    <cellStyle name="Migliaia 3 2 2" xfId="1026" xr:uid="{00000000-0005-0000-0000-00009A030000}"/>
    <cellStyle name="Migliaia 3 2 2 2" xfId="1353" xr:uid="{00000000-0005-0000-0000-00009B030000}"/>
    <cellStyle name="Migliaia 3 2 2 2 2" xfId="24867" xr:uid="{6F4E4570-98B7-434E-8645-4033210954BA}"/>
    <cellStyle name="Migliaia 3 2 2 3" xfId="1422" xr:uid="{00000000-0005-0000-0000-00009C030000}"/>
    <cellStyle name="Migliaia 3 2 2 3 2" xfId="24936" xr:uid="{4780A416-8F0F-4C13-ADDD-13ED35D67633}"/>
    <cellStyle name="Migliaia 3 2 2 4" xfId="24797" xr:uid="{EE396968-A2B4-4B9D-A670-0D9FAEC4163E}"/>
    <cellStyle name="Migliaia 3 3" xfId="1025" xr:uid="{00000000-0005-0000-0000-00009D030000}"/>
    <cellStyle name="Migliaia 3 3 2" xfId="1352" xr:uid="{00000000-0005-0000-0000-00009E030000}"/>
    <cellStyle name="Migliaia 3 3 2 2" xfId="24866" xr:uid="{22DB15DB-C080-4186-81F9-B440E47AEC8F}"/>
    <cellStyle name="Migliaia 3 3 3" xfId="1421" xr:uid="{00000000-0005-0000-0000-00009F030000}"/>
    <cellStyle name="Migliaia 3 3 3 2" xfId="24935" xr:uid="{7E6CA7B3-23F7-4742-9F22-A1360D79ED92}"/>
    <cellStyle name="Migliaia 3 3 4" xfId="24796" xr:uid="{5B2C1217-D1A9-4BDF-A113-BE3B44BEC864}"/>
    <cellStyle name="Migliaia 30" xfId="487" xr:uid="{00000000-0005-0000-0000-0000A0030000}"/>
    <cellStyle name="Migliaia 30 2" xfId="1027" xr:uid="{00000000-0005-0000-0000-0000A1030000}"/>
    <cellStyle name="Migliaia 30 2 2" xfId="1354" xr:uid="{00000000-0005-0000-0000-0000A2030000}"/>
    <cellStyle name="Migliaia 30 2 2 2" xfId="24868" xr:uid="{21831865-F284-42E4-BB2C-DB4270D8F9F1}"/>
    <cellStyle name="Migliaia 30 2 3" xfId="1423" xr:uid="{00000000-0005-0000-0000-0000A3030000}"/>
    <cellStyle name="Migliaia 30 2 3 2" xfId="24937" xr:uid="{119D3390-5804-401D-847C-CB69405A65D8}"/>
    <cellStyle name="Migliaia 30 2 4" xfId="24798" xr:uid="{5216A0CA-ACCA-4F8D-9DA0-22094BBAD8B5}"/>
    <cellStyle name="Migliaia 30 3" xfId="1301" xr:uid="{00000000-0005-0000-0000-0000A4030000}"/>
    <cellStyle name="Migliaia 30 3 2" xfId="24815" xr:uid="{6C374556-F1C7-46B7-B96D-6E48FF38312E}"/>
    <cellStyle name="Migliaia 30 4" xfId="1371" xr:uid="{00000000-0005-0000-0000-0000A5030000}"/>
    <cellStyle name="Migliaia 30 4 2" xfId="24885" xr:uid="{FEF5294F-25EE-418B-8CF0-0B9197290900}"/>
    <cellStyle name="Migliaia 30 5" xfId="24745" xr:uid="{8445067C-1DB8-468E-9443-C07607323474}"/>
    <cellStyle name="Migliaia 31" xfId="488" xr:uid="{00000000-0005-0000-0000-0000A6030000}"/>
    <cellStyle name="Migliaia 31 2" xfId="1028" xr:uid="{00000000-0005-0000-0000-0000A7030000}"/>
    <cellStyle name="Migliaia 31 2 2" xfId="1355" xr:uid="{00000000-0005-0000-0000-0000A8030000}"/>
    <cellStyle name="Migliaia 31 2 2 2" xfId="24869" xr:uid="{01AB7237-057D-4346-8199-F28003F6C648}"/>
    <cellStyle name="Migliaia 31 2 3" xfId="1424" xr:uid="{00000000-0005-0000-0000-0000A9030000}"/>
    <cellStyle name="Migliaia 31 2 3 2" xfId="24938" xr:uid="{AED9DAEC-05ED-4644-8A86-D9F4722F87D1}"/>
    <cellStyle name="Migliaia 31 2 4" xfId="24799" xr:uid="{B54BF09B-38E8-4FBA-A2EF-FAA352E8E6BF}"/>
    <cellStyle name="Migliaia 32" xfId="489" xr:uid="{00000000-0005-0000-0000-0000AA030000}"/>
    <cellStyle name="Migliaia 32 2" xfId="1029" xr:uid="{00000000-0005-0000-0000-0000AB030000}"/>
    <cellStyle name="Migliaia 32 2 2" xfId="1356" xr:uid="{00000000-0005-0000-0000-0000AC030000}"/>
    <cellStyle name="Migliaia 32 2 2 2" xfId="24870" xr:uid="{CAE1D5C5-DCBC-430D-B395-13B7DD796BE7}"/>
    <cellStyle name="Migliaia 32 2 3" xfId="1425" xr:uid="{00000000-0005-0000-0000-0000AD030000}"/>
    <cellStyle name="Migliaia 32 2 3 2" xfId="24939" xr:uid="{75157367-D15A-4286-8E5A-710B8B94BEFE}"/>
    <cellStyle name="Migliaia 32 2 4" xfId="24800" xr:uid="{8886DDFB-8967-46BB-BE8F-51F731E3114E}"/>
    <cellStyle name="Migliaia 33" xfId="490" xr:uid="{00000000-0005-0000-0000-0000AE030000}"/>
    <cellStyle name="Migliaia 33 2" xfId="1030" xr:uid="{00000000-0005-0000-0000-0000AF030000}"/>
    <cellStyle name="Migliaia 33 2 2" xfId="1357" xr:uid="{00000000-0005-0000-0000-0000B0030000}"/>
    <cellStyle name="Migliaia 33 2 2 2" xfId="24871" xr:uid="{A842B685-38C6-42C2-9CC8-2F048D0BF973}"/>
    <cellStyle name="Migliaia 33 2 3" xfId="1426" xr:uid="{00000000-0005-0000-0000-0000B1030000}"/>
    <cellStyle name="Migliaia 33 2 3 2" xfId="24940" xr:uid="{D5FA406E-155B-434C-84A4-D4A57A700B59}"/>
    <cellStyle name="Migliaia 33 2 4" xfId="24801" xr:uid="{2441AC32-DF42-4262-8F00-14A6C51AF5C8}"/>
    <cellStyle name="Migliaia 4" xfId="491" xr:uid="{00000000-0005-0000-0000-0000B2030000}"/>
    <cellStyle name="Migliaia 4 2" xfId="1031" xr:uid="{00000000-0005-0000-0000-0000B3030000}"/>
    <cellStyle name="Migliaia 4 2 2" xfId="1358" xr:uid="{00000000-0005-0000-0000-0000B4030000}"/>
    <cellStyle name="Migliaia 4 2 2 2" xfId="24872" xr:uid="{5D534121-C986-4C7B-8372-1994C98EBFA8}"/>
    <cellStyle name="Migliaia 4 2 3" xfId="1427" xr:uid="{00000000-0005-0000-0000-0000B5030000}"/>
    <cellStyle name="Migliaia 4 2 3 2" xfId="24941" xr:uid="{FAAA8BC0-9E43-4318-8478-7CC3BF0E2C3D}"/>
    <cellStyle name="Migliaia 4 2 4" xfId="24802" xr:uid="{0BD48608-03B0-43A7-AB55-8C2AA9AC354F}"/>
    <cellStyle name="Migliaia 5" xfId="492" xr:uid="{00000000-0005-0000-0000-0000B6030000}"/>
    <cellStyle name="Migliaia 5 2" xfId="1032" xr:uid="{00000000-0005-0000-0000-0000B7030000}"/>
    <cellStyle name="Migliaia 5 2 2" xfId="1359" xr:uid="{00000000-0005-0000-0000-0000B8030000}"/>
    <cellStyle name="Migliaia 5 2 2 2" xfId="24873" xr:uid="{945FBD1A-E868-42DC-8737-F02531EE255C}"/>
    <cellStyle name="Migliaia 5 2 3" xfId="1428" xr:uid="{00000000-0005-0000-0000-0000B9030000}"/>
    <cellStyle name="Migliaia 5 2 3 2" xfId="24942" xr:uid="{BE4A6344-2AC2-4EEB-827E-D0DF1EF20768}"/>
    <cellStyle name="Migliaia 5 2 4" xfId="24803" xr:uid="{29866CF1-7EBA-40DE-9B0D-1E680419FD47}"/>
    <cellStyle name="Migliaia 6" xfId="493" xr:uid="{00000000-0005-0000-0000-0000BA030000}"/>
    <cellStyle name="Migliaia 6 2" xfId="1033" xr:uid="{00000000-0005-0000-0000-0000BB030000}"/>
    <cellStyle name="Migliaia 6 2 2" xfId="1360" xr:uid="{00000000-0005-0000-0000-0000BC030000}"/>
    <cellStyle name="Migliaia 6 2 2 2" xfId="24874" xr:uid="{F85DFA50-766E-448E-AD21-8454B0E193F0}"/>
    <cellStyle name="Migliaia 6 2 3" xfId="1429" xr:uid="{00000000-0005-0000-0000-0000BD030000}"/>
    <cellStyle name="Migliaia 6 2 3 2" xfId="24943" xr:uid="{65183E43-C9CC-454A-AD9D-E1BAAC2EB851}"/>
    <cellStyle name="Migliaia 6 2 4" xfId="24804" xr:uid="{85DCAFF7-70BC-4C4C-92C2-32CE7CC2289D}"/>
    <cellStyle name="Migliaia 6 3" xfId="1196" xr:uid="{00000000-0005-0000-0000-0000BE030000}"/>
    <cellStyle name="Migliaia 7" xfId="494" xr:uid="{00000000-0005-0000-0000-0000BF030000}"/>
    <cellStyle name="Migliaia 7 2" xfId="1034" xr:uid="{00000000-0005-0000-0000-0000C0030000}"/>
    <cellStyle name="Migliaia 7 2 2" xfId="1361" xr:uid="{00000000-0005-0000-0000-0000C1030000}"/>
    <cellStyle name="Migliaia 7 2 2 2" xfId="24875" xr:uid="{A448018F-714C-49B0-8F64-405252723F49}"/>
    <cellStyle name="Migliaia 7 2 3" xfId="1430" xr:uid="{00000000-0005-0000-0000-0000C2030000}"/>
    <cellStyle name="Migliaia 7 2 3 2" xfId="24944" xr:uid="{DB07F1DD-C41C-4C80-B5DC-35DDF43FF612}"/>
    <cellStyle name="Migliaia 7 2 4" xfId="24805" xr:uid="{6BB478FB-77DF-4BE8-BE0F-0859DC179E3A}"/>
    <cellStyle name="Migliaia 8" xfId="495" xr:uid="{00000000-0005-0000-0000-0000C3030000}"/>
    <cellStyle name="Migliaia 8 2" xfId="1035" xr:uid="{00000000-0005-0000-0000-0000C4030000}"/>
    <cellStyle name="Migliaia 8 2 2" xfId="1362" xr:uid="{00000000-0005-0000-0000-0000C5030000}"/>
    <cellStyle name="Migliaia 8 2 2 2" xfId="24876" xr:uid="{74126EC2-E80A-4087-B014-AE6CDF002E4C}"/>
    <cellStyle name="Migliaia 8 2 3" xfId="1431" xr:uid="{00000000-0005-0000-0000-0000C6030000}"/>
    <cellStyle name="Migliaia 8 2 3 2" xfId="24945" xr:uid="{83D51461-BACF-4BCF-9447-58518DD5948B}"/>
    <cellStyle name="Migliaia 8 2 4" xfId="24806" xr:uid="{183712F3-3B9C-4125-AAC7-9C729110C981}"/>
    <cellStyle name="Migliaia 9" xfId="496" xr:uid="{00000000-0005-0000-0000-0000C7030000}"/>
    <cellStyle name="Migliaia 9 2" xfId="1036" xr:uid="{00000000-0005-0000-0000-0000C8030000}"/>
    <cellStyle name="Migliaia 9 2 2" xfId="1363" xr:uid="{00000000-0005-0000-0000-0000C9030000}"/>
    <cellStyle name="Migliaia 9 2 2 2" xfId="24877" xr:uid="{3ADA29DF-4089-4F26-A3AD-3243A982F194}"/>
    <cellStyle name="Migliaia 9 2 3" xfId="1432" xr:uid="{00000000-0005-0000-0000-0000CA030000}"/>
    <cellStyle name="Migliaia 9 2 3 2" xfId="24946" xr:uid="{3B986147-93C6-444C-B14C-F465E5E0BEF3}"/>
    <cellStyle name="Migliaia 9 2 4" xfId="24807" xr:uid="{EDB383FB-44F5-4E78-95D3-B1721A82FDD4}"/>
    <cellStyle name="Milliers [0]_FNMA tasse2" xfId="497" xr:uid="{00000000-0005-0000-0000-0000CB030000}"/>
    <cellStyle name="Milliers 2" xfId="1197" xr:uid="{00000000-0005-0000-0000-0000CC030000}"/>
    <cellStyle name="Milliers_FNMA tasse2" xfId="498" xr:uid="{00000000-0005-0000-0000-0000CD030000}"/>
    <cellStyle name="million" xfId="3363" xr:uid="{6EAA811D-15D2-4222-B2D8-DCF3EA520F7B}"/>
    <cellStyle name="Millions" xfId="3364" xr:uid="{6B1D4F2E-7692-4E86-829B-762CA9BAD5DC}"/>
    <cellStyle name="Minor heading" xfId="3365" xr:uid="{FD0109B5-AD46-4926-82BB-7A59415DED3B}"/>
    <cellStyle name="Modelling Reference" xfId="3366" xr:uid="{D60918FE-916A-41E1-9CC3-7B8F1FB27BED}"/>
    <cellStyle name="Modelling References" xfId="499" xr:uid="{00000000-0005-0000-0000-0000CE030000}"/>
    <cellStyle name="Monétaire [0]_FNMA tasse2" xfId="500" xr:uid="{00000000-0005-0000-0000-0000CF030000}"/>
    <cellStyle name="Monétaire_FNMA tasse2" xfId="501" xr:uid="{00000000-0005-0000-0000-0000D0030000}"/>
    <cellStyle name="Multiple" xfId="3367" xr:uid="{31B5205B-BD88-4E43-93E5-33213280474F}"/>
    <cellStyle name="Name Range Tag" xfId="3368" xr:uid="{15490B59-010E-449D-986A-2B47D4C865F9}"/>
    <cellStyle name="Named Range" xfId="502" xr:uid="{00000000-0005-0000-0000-0000D1030000}"/>
    <cellStyle name="Named Range 2" xfId="3369" xr:uid="{941C398B-9654-406C-A58B-79399D036C5F}"/>
    <cellStyle name="Named Range Tag" xfId="503" xr:uid="{00000000-0005-0000-0000-0000D2030000}"/>
    <cellStyle name="Named Range_Book2" xfId="504" xr:uid="{00000000-0005-0000-0000-0000D3030000}"/>
    <cellStyle name="Neutraali" xfId="505" xr:uid="{00000000-0005-0000-0000-0000D4030000}"/>
    <cellStyle name="Neutraalne" xfId="506" xr:uid="{00000000-0005-0000-0000-0000D5030000}"/>
    <cellStyle name="Neutraalne 2" xfId="1198" xr:uid="{00000000-0005-0000-0000-0000D6030000}"/>
    <cellStyle name="Neutraalne 3" xfId="1199" xr:uid="{00000000-0005-0000-0000-0000D7030000}"/>
    <cellStyle name="Neutral 2" xfId="507" xr:uid="{00000000-0005-0000-0000-0000D8030000}"/>
    <cellStyle name="Neutral 2 2" xfId="3371" xr:uid="{C5790278-BE67-411F-B6B8-8BBDAB7E6421}"/>
    <cellStyle name="Neutral 2_T1 ANSP" xfId="3370" xr:uid="{A87FAE6D-00E8-4C8C-897C-0E4A6F73D88D}"/>
    <cellStyle name="Neutral 3" xfId="852" xr:uid="{00000000-0005-0000-0000-0000D9030000}"/>
    <cellStyle name="Neutral 3 2" xfId="3373" xr:uid="{6539B3EC-E335-4E3E-ABB2-07C1680CDB74}"/>
    <cellStyle name="Neutral 3_T1 ANSP" xfId="3372" xr:uid="{7CBB0D80-E58E-4978-8320-E6001494095C}"/>
    <cellStyle name="Neutralus" xfId="508" xr:uid="{00000000-0005-0000-0000-0000DA030000}"/>
    <cellStyle name="Neutre" xfId="509" xr:uid="{00000000-0005-0000-0000-0000DB030000}"/>
    <cellStyle name="Neutre 2" xfId="1200" xr:uid="{00000000-0005-0000-0000-0000DC030000}"/>
    <cellStyle name="No Input" xfId="3374" xr:uid="{B3B31FE9-DABC-42C2-BB34-0F6306D82D94}"/>
    <cellStyle name="Normaali 2" xfId="510" xr:uid="{00000000-0005-0000-0000-0000DD030000}"/>
    <cellStyle name="Normaali 2 2" xfId="511" xr:uid="{00000000-0005-0000-0000-0000DE030000}"/>
    <cellStyle name="Normaali_Layo9704" xfId="3375" xr:uid="{F664FE3D-231E-4E9E-BCEC-A22E05833834}"/>
    <cellStyle name="Normal" xfId="0" builtinId="0"/>
    <cellStyle name="Normal - Style1" xfId="512" xr:uid="{00000000-0005-0000-0000-0000E0030000}"/>
    <cellStyle name="Normal 10" xfId="12" xr:uid="{00000000-0005-0000-0000-0000E1030000}"/>
    <cellStyle name="Normal 10 2" xfId="850" xr:uid="{00000000-0005-0000-0000-0000E2030000}"/>
    <cellStyle name="Normal 10 3" xfId="3377" xr:uid="{E30B3FCC-8284-4868-A50B-4FF17B9C8A03}"/>
    <cellStyle name="Normal 10_T1 ANSP" xfId="3376" xr:uid="{B4F04ED2-6B64-484C-A1C5-95ED2707F9B7}"/>
    <cellStyle name="Normal 108" xfId="3378" xr:uid="{1EE7F091-9A18-4561-8137-BE1CF34952B9}"/>
    <cellStyle name="Normal 11" xfId="513" xr:uid="{00000000-0005-0000-0000-0000E3030000}"/>
    <cellStyle name="Normal 11 2" xfId="1037" xr:uid="{00000000-0005-0000-0000-0000E4030000}"/>
    <cellStyle name="Normal 11 3" xfId="1289" xr:uid="{00000000-0005-0000-0000-0000E5030000}"/>
    <cellStyle name="Normal 11 4" xfId="3380" xr:uid="{AB6E19E9-7DB9-424F-AE45-6C9E13BDA8F7}"/>
    <cellStyle name="Normal 11_T1 ANSP" xfId="3379" xr:uid="{E49CEFAF-BDBF-4CF2-A2F5-BA7FD0A315DB}"/>
    <cellStyle name="Normal 12" xfId="514" xr:uid="{00000000-0005-0000-0000-0000E6030000}"/>
    <cellStyle name="Normal 12 2" xfId="1038" xr:uid="{00000000-0005-0000-0000-0000E7030000}"/>
    <cellStyle name="Normal 12 2 2" xfId="3383" xr:uid="{EB0DC44C-15E8-4B48-A388-1519802C939D}"/>
    <cellStyle name="Normal 12 2 3" xfId="3384" xr:uid="{00FD110E-CA0F-4D8A-AD32-6B415F19CB0A}"/>
    <cellStyle name="Normal 12 2_T1 ANSP" xfId="3382" xr:uid="{F694B0F4-2627-4C36-8D9E-B77FAF104EBD}"/>
    <cellStyle name="Normal 12 3" xfId="3385" xr:uid="{F355F0F1-F774-447A-A522-717212E25187}"/>
    <cellStyle name="Normal 12 4" xfId="3386" xr:uid="{C01E2966-89F4-4664-B1D1-10E9F8EA93B0}"/>
    <cellStyle name="Normal 12_T1 ANSP" xfId="3381" xr:uid="{3C6482AE-A7C2-48B0-B44B-0E1C7A178477}"/>
    <cellStyle name="Normal 13" xfId="515" xr:uid="{00000000-0005-0000-0000-0000E8030000}"/>
    <cellStyle name="Normal 13 2" xfId="1039" xr:uid="{00000000-0005-0000-0000-0000E9030000}"/>
    <cellStyle name="Normal 13 2 2" xfId="3389" xr:uid="{274281BA-EC2D-4CEB-983B-3F8ED3DDE671}"/>
    <cellStyle name="Normal 13 2 3" xfId="3390" xr:uid="{4D23C03E-90E0-40CA-809D-108FDB854D3E}"/>
    <cellStyle name="Normal 13 2_T1 ANSP" xfId="3388" xr:uid="{E476DF35-58A4-40C3-B33B-13CB95476EB9}"/>
    <cellStyle name="Normal 13 3" xfId="3391" xr:uid="{E27496A0-99AE-41DA-8733-3A45D0657029}"/>
    <cellStyle name="Normal 13 4" xfId="3392" xr:uid="{211A857B-EBA3-4003-86B1-81AFDDA92486}"/>
    <cellStyle name="Normal 13_T1 ANSP" xfId="3387" xr:uid="{F7DBD5EB-82BB-44EE-BCCD-F2A18B0D4C20}"/>
    <cellStyle name="Normal 14" xfId="516" xr:uid="{00000000-0005-0000-0000-0000EA030000}"/>
    <cellStyle name="Normal 14 2" xfId="1040" xr:uid="{00000000-0005-0000-0000-0000EB030000}"/>
    <cellStyle name="Normal 14 2 2" xfId="3395" xr:uid="{79E8B59E-8B60-461A-9283-F03BEB5F592E}"/>
    <cellStyle name="Normal 14 2_T1 ANSP" xfId="3394" xr:uid="{45D8F6E8-C43A-463B-B74C-B98C3E70941A}"/>
    <cellStyle name="Normal 14 3" xfId="1601" xr:uid="{00000000-0005-0000-0000-0000EC030000}"/>
    <cellStyle name="Normal 14_T1 ANSP" xfId="3393" xr:uid="{973C8430-C5A7-4FEA-90C8-8597AA4BEB6D}"/>
    <cellStyle name="Normal 15" xfId="11" xr:uid="{00000000-0005-0000-0000-0000ED030000}"/>
    <cellStyle name="Normal 15 2" xfId="3397" xr:uid="{ED72582C-51F9-4D9A-88D0-21DB75522DE1}"/>
    <cellStyle name="Normal 15_T1 ANSP" xfId="3396" xr:uid="{0F403141-021C-4DCF-B747-AEAD5CCAB4B5}"/>
    <cellStyle name="Normal 16" xfId="9" xr:uid="{00000000-0005-0000-0000-0000EE030000}"/>
    <cellStyle name="Normal 16 2" xfId="1293" xr:uid="{00000000-0005-0000-0000-0000EF030000}"/>
    <cellStyle name="Normal 17" xfId="517" xr:uid="{00000000-0005-0000-0000-0000F0030000}"/>
    <cellStyle name="Normal 17 2" xfId="3399" xr:uid="{8F0464D1-5041-4FF8-BD03-CABB2C05481B}"/>
    <cellStyle name="Normal 17_T1 ANSP" xfId="3398" xr:uid="{5ECFDDA7-30C2-433A-BE7B-E096C6235400}"/>
    <cellStyle name="Normal 18" xfId="851" xr:uid="{00000000-0005-0000-0000-0000F1030000}"/>
    <cellStyle name="Normal 19" xfId="853" xr:uid="{00000000-0005-0000-0000-0000F2030000}"/>
    <cellStyle name="Normal 19 2" xfId="1090" xr:uid="{00000000-0005-0000-0000-0000F3030000}"/>
    <cellStyle name="Normal 2" xfId="518" xr:uid="{00000000-0005-0000-0000-0000F4030000}"/>
    <cellStyle name="Normál 2" xfId="1201" xr:uid="{00000000-0005-0000-0000-0000F5030000}"/>
    <cellStyle name="Normal 2 2" xfId="519" xr:uid="{00000000-0005-0000-0000-0000F6030000}"/>
    <cellStyle name="Normal 2 2 2" xfId="1202" xr:uid="{00000000-0005-0000-0000-0000F7030000}"/>
    <cellStyle name="Normal 2 2 3" xfId="1203" xr:uid="{00000000-0005-0000-0000-0000F8030000}"/>
    <cellStyle name="Normal 2 2 4" xfId="3402" xr:uid="{C138C401-0421-49A4-AF2F-48EA41E94DA3}"/>
    <cellStyle name="Normal 2 2 5" xfId="3403" xr:uid="{D980F2D6-D0D0-4C52-9F62-1F88CA425352}"/>
    <cellStyle name="Normal 2 2 6" xfId="3404" xr:uid="{62C204B9-3CFF-4432-B8CF-3CDBF8245004}"/>
    <cellStyle name="Normal 2 2 7" xfId="3405" xr:uid="{D9C60498-4C23-45AE-8475-CA581C7FA5AC}"/>
    <cellStyle name="Normal 2 2_T1 ANSP" xfId="3401" xr:uid="{94B7A673-8D13-4C24-A4D9-49F243792977}"/>
    <cellStyle name="Normal 2 3" xfId="520" xr:uid="{00000000-0005-0000-0000-0000F9030000}"/>
    <cellStyle name="Normal 2 3 2" xfId="521" xr:uid="{00000000-0005-0000-0000-0000FA030000}"/>
    <cellStyle name="Normal 2 3 2 2" xfId="522" xr:uid="{00000000-0005-0000-0000-0000FB030000}"/>
    <cellStyle name="Normal 2 3 2 2 2" xfId="523" xr:uid="{00000000-0005-0000-0000-0000FC030000}"/>
    <cellStyle name="Normal 2 3 2 3" xfId="17" xr:uid="{00000000-0005-0000-0000-0000FD030000}"/>
    <cellStyle name="Normal 2 3 2 3 2" xfId="524" xr:uid="{00000000-0005-0000-0000-0000FE030000}"/>
    <cellStyle name="Normal 2 3 3" xfId="525" xr:uid="{00000000-0005-0000-0000-0000FF030000}"/>
    <cellStyle name="Normal 2 3 3 2" xfId="1041" xr:uid="{00000000-0005-0000-0000-000000040000}"/>
    <cellStyle name="Normal 2 3 4" xfId="3407" xr:uid="{906969EA-D7AE-4F78-9807-F624DFD5C643}"/>
    <cellStyle name="Normal 2 3 5" xfId="3408" xr:uid="{B9B70034-E134-4AA9-AF3C-48F4488512CF}"/>
    <cellStyle name="Normal 2 3_T1 ANSP" xfId="3406" xr:uid="{BDD16383-D7F8-4CA9-B977-58DAF11FCC91}"/>
    <cellStyle name="Normal 2 4" xfId="526" xr:uid="{00000000-0005-0000-0000-000001040000}"/>
    <cellStyle name="Normal 2 5" xfId="527" xr:uid="{00000000-0005-0000-0000-000002040000}"/>
    <cellStyle name="Normal 2 6" xfId="1285" xr:uid="{00000000-0005-0000-0000-000003040000}"/>
    <cellStyle name="Normal 2 7" xfId="1446" xr:uid="{00000000-0005-0000-0000-000004040000}"/>
    <cellStyle name="Normal 2 8" xfId="3409" xr:uid="{26840889-9183-471A-913B-B4909A5E8C84}"/>
    <cellStyle name="Normal 2_T1 ANSP" xfId="3400" xr:uid="{0A308DDB-5F90-4183-96B5-76B075144DC6}"/>
    <cellStyle name="Normal 20" xfId="1204" xr:uid="{00000000-0005-0000-0000-000005040000}"/>
    <cellStyle name="Normal 21" xfId="1205" xr:uid="{00000000-0005-0000-0000-000006040000}"/>
    <cellStyle name="Normal 22" xfId="1206" xr:uid="{00000000-0005-0000-0000-000007040000}"/>
    <cellStyle name="Normal 23" xfId="1207" xr:uid="{00000000-0005-0000-0000-000008040000}"/>
    <cellStyle name="Normal 24" xfId="1208" xr:uid="{00000000-0005-0000-0000-000009040000}"/>
    <cellStyle name="Normal 25" xfId="1209" xr:uid="{00000000-0005-0000-0000-00000A040000}"/>
    <cellStyle name="Normal 26" xfId="1210" xr:uid="{00000000-0005-0000-0000-00000B040000}"/>
    <cellStyle name="Normal 27" xfId="1211" xr:uid="{00000000-0005-0000-0000-00000C040000}"/>
    <cellStyle name="Normal 28" xfId="1212" xr:uid="{00000000-0005-0000-0000-00000D040000}"/>
    <cellStyle name="Normal 29" xfId="1213" xr:uid="{00000000-0005-0000-0000-00000E040000}"/>
    <cellStyle name="Normal 3" xfId="528" xr:uid="{00000000-0005-0000-0000-00000F040000}"/>
    <cellStyle name="Normál 3" xfId="1214" xr:uid="{00000000-0005-0000-0000-000010040000}"/>
    <cellStyle name="Normal 3 2" xfId="529" xr:uid="{00000000-0005-0000-0000-000011040000}"/>
    <cellStyle name="Normal 3 2 2" xfId="3413" xr:uid="{A9492CF5-7F89-4927-954B-A43F65FE6427}"/>
    <cellStyle name="Normal 3 2_T1 ANSP" xfId="3412" xr:uid="{D408B3BD-4C17-45BF-9E49-8442A133177B}"/>
    <cellStyle name="Normal 3 3" xfId="530" xr:uid="{00000000-0005-0000-0000-000012040000}"/>
    <cellStyle name="Normal 3 3 2" xfId="3415" xr:uid="{CEE841A7-99B8-48EA-AD19-16197F749AB3}"/>
    <cellStyle name="Normal 3 3_T1 ANSP" xfId="3414" xr:uid="{A04BD513-A73C-4F06-A20E-3E89CC212797}"/>
    <cellStyle name="Normal 3 4" xfId="1215" xr:uid="{00000000-0005-0000-0000-000013040000}"/>
    <cellStyle name="Normal 3 5" xfId="1447" xr:uid="{00000000-0005-0000-0000-000014040000}"/>
    <cellStyle name="Normal 3_T1 ANSP" xfId="3410" xr:uid="{F588A09C-175F-408E-89F2-39D2F50CC4E8}"/>
    <cellStyle name="Normál 3_T1 ANSP" xfId="3411" xr:uid="{1177A4B6-81AF-4CD0-9F7B-93E094426912}"/>
    <cellStyle name="Normal 30" xfId="3416" xr:uid="{2C053D6E-EEEF-4036-915F-DCB3B0C14C5A}"/>
    <cellStyle name="Normal 31" xfId="3417" xr:uid="{E27709BC-8C18-4151-A65F-FFA6FB45D6BC}"/>
    <cellStyle name="Normal 31 2" xfId="25017" xr:uid="{3973EDBE-90EF-4013-A8C3-D5BEB3577706}"/>
    <cellStyle name="Normal 32" xfId="3418" xr:uid="{5D9EF2E4-090E-4AF2-8AE4-42FFCF3824DF}"/>
    <cellStyle name="Normal 32 2" xfId="3419" xr:uid="{93A72EFC-FC58-4D73-8210-A0A0906A2AE4}"/>
    <cellStyle name="Normal 33" xfId="3420" xr:uid="{D382B61B-8712-4EE2-950D-9795D2A63557}"/>
    <cellStyle name="Normal 34" xfId="3421" xr:uid="{45F05EFD-ED66-4D0F-9C27-F81072871950}"/>
    <cellStyle name="Normal 35" xfId="3422" xr:uid="{AB33A6FF-07E5-48CE-AE07-843B0ECA698F}"/>
    <cellStyle name="Normal 36" xfId="3423" xr:uid="{05164057-281C-480B-B7DF-FE72195F6092}"/>
    <cellStyle name="Normal 37" xfId="3424" xr:uid="{DB5F9F0B-B0CB-4CF3-80E8-12D93B635415}"/>
    <cellStyle name="Normal 38" xfId="3425" xr:uid="{F637133A-059C-43B0-9F60-2CBA0E6D5EC0}"/>
    <cellStyle name="Normal 39" xfId="3426" xr:uid="{68255C5D-D2FC-434C-8B81-7CFBD8AC1253}"/>
    <cellStyle name="Normal 39 2" xfId="25018" xr:uid="{84BDB39E-D015-4A23-A1DD-ACC27E41CA30}"/>
    <cellStyle name="Normal 4" xfId="531" xr:uid="{00000000-0005-0000-0000-000015040000}"/>
    <cellStyle name="Normál 4" xfId="1275" xr:uid="{00000000-0005-0000-0000-000016040000}"/>
    <cellStyle name="Normal 4 2" xfId="532" xr:uid="{00000000-0005-0000-0000-000017040000}"/>
    <cellStyle name="Normal 4 3" xfId="1216" xr:uid="{00000000-0005-0000-0000-000018040000}"/>
    <cellStyle name="Normal 4 4" xfId="1448" xr:uid="{00000000-0005-0000-0000-000019040000}"/>
    <cellStyle name="Normal 4_T1 ANSP" xfId="3427" xr:uid="{7C1F1F06-187B-448A-AA87-FA2E8297849E}"/>
    <cellStyle name="Normál 4_T1 ANSP" xfId="3428" xr:uid="{8F40025D-D5D2-471B-B63B-003BCA9DF9C4}"/>
    <cellStyle name="Normal 40" xfId="3429" xr:uid="{9BD57CA0-7AEA-4B95-BE4F-27D4C4E63A1D}"/>
    <cellStyle name="Normal 41" xfId="3430" xr:uid="{10A3B426-E6DC-4B0A-AC8E-8F1C13637495}"/>
    <cellStyle name="Normal 42" xfId="3431" xr:uid="{B70472B6-F561-4003-86E7-AADA72890EE0}"/>
    <cellStyle name="Normal 43" xfId="3432" xr:uid="{CF602B6D-0914-42E7-9DA4-925265DBDAE4}"/>
    <cellStyle name="Normal 44" xfId="3433" xr:uid="{BF4F6F1C-6B06-48CE-A3F6-BC0C852062E3}"/>
    <cellStyle name="Normal 45" xfId="3434" xr:uid="{A0425F6C-1B41-4762-8CC6-C0138554BA04}"/>
    <cellStyle name="Normal 45 2" xfId="3435" xr:uid="{443B8FF3-B28B-4D84-A270-6AC394608C70}"/>
    <cellStyle name="Normal 46" xfId="3436" xr:uid="{DB13BB3C-6551-4590-A98A-4A5AC0475592}"/>
    <cellStyle name="Normal 47" xfId="3437" xr:uid="{C10F5F9D-A7FF-4446-A0BF-D3FFDD31183E}"/>
    <cellStyle name="Normal 48" xfId="3438" xr:uid="{94E625BB-9001-4803-BEA5-6C45E3B460DF}"/>
    <cellStyle name="Normal 49" xfId="1437" xr:uid="{00000000-0005-0000-0000-00001A040000}"/>
    <cellStyle name="Normal 5" xfId="533" xr:uid="{00000000-0005-0000-0000-00001B040000}"/>
    <cellStyle name="Normál 5" xfId="1276" xr:uid="{00000000-0005-0000-0000-00001C040000}"/>
    <cellStyle name="Normal 5 2" xfId="1042" xr:uid="{00000000-0005-0000-0000-00001D040000}"/>
    <cellStyle name="Normal 5 3" xfId="1217" xr:uid="{00000000-0005-0000-0000-00001E040000}"/>
    <cellStyle name="Normal 5 4" xfId="1449" xr:uid="{00000000-0005-0000-0000-00001F040000}"/>
    <cellStyle name="Normal 5 5" xfId="25019" xr:uid="{A4EC1596-2C97-4C84-B36B-893DE61B727F}"/>
    <cellStyle name="Normal 5_T1 ANSP" xfId="3439" xr:uid="{61AD5F9B-C123-4741-B5C5-2184E7FECEF0}"/>
    <cellStyle name="Normál 5_T1 ANSP" xfId="3440" xr:uid="{CD2C4B34-D20B-4E07-A4F5-6D04C917C331}"/>
    <cellStyle name="Normal 50" xfId="3441" xr:uid="{78A5191B-EF44-4EB3-8329-B76FBC8432BB}"/>
    <cellStyle name="Normal 51" xfId="3442" xr:uid="{ADE304C4-EF8E-4DBD-937F-C8F785ED7C5F}"/>
    <cellStyle name="Normal 52" xfId="3443" xr:uid="{AC4C822E-6E63-4EEF-818D-2D91C3BD0438}"/>
    <cellStyle name="Normal 53" xfId="3444" xr:uid="{4098CCF6-A118-4BE9-B73E-B1AFAECFED58}"/>
    <cellStyle name="Normal 54" xfId="3445" xr:uid="{0FB81BEA-29E7-4B87-B90F-C02D93994F8D}"/>
    <cellStyle name="Normal 55" xfId="3446" xr:uid="{F455FCF0-B809-40B0-9CC7-2CCD59E26AC3}"/>
    <cellStyle name="Normal 56" xfId="3447" xr:uid="{EB938991-E241-41DB-99C7-E35815D171AC}"/>
    <cellStyle name="Normal 57" xfId="3448" xr:uid="{613A56DA-7F46-43D3-AF90-6F1E9AFBEDA2}"/>
    <cellStyle name="Normal 58" xfId="3449" xr:uid="{04E0F093-595A-46E3-8DD1-382546C3F1BD}"/>
    <cellStyle name="Normal 6" xfId="534" xr:uid="{00000000-0005-0000-0000-000020040000}"/>
    <cellStyle name="Normál 6" xfId="1277" xr:uid="{00000000-0005-0000-0000-000021040000}"/>
    <cellStyle name="Normal 6 2" xfId="1043" xr:uid="{00000000-0005-0000-0000-000022040000}"/>
    <cellStyle name="Normal 6 2 2" xfId="3453" xr:uid="{654E5D77-3476-4FFA-9772-117AD13F4D09}"/>
    <cellStyle name="Normal 6 2 2 2" xfId="3454" xr:uid="{090474EC-7E9F-4F8F-AC91-437E90C22386}"/>
    <cellStyle name="Normal 6 2 3" xfId="3455" xr:uid="{71B62FD5-31DF-47BC-920E-3B5337F804BC}"/>
    <cellStyle name="Normal 6 2 4" xfId="3456" xr:uid="{C5A57D1A-B0A6-4EE3-9FF2-D835A270AB84}"/>
    <cellStyle name="Normal 6 2_T1 ANSP" xfId="3452" xr:uid="{A82059AE-E32B-4CFA-B1D1-54F0DB9FD29A}"/>
    <cellStyle name="Normal 6 3" xfId="3457" xr:uid="{FB952F2E-5D80-4B82-8565-9079A200BAB1}"/>
    <cellStyle name="Normal 6 3 2" xfId="3458" xr:uid="{6B6475FE-B124-4FEE-A962-AC49E1A93A71}"/>
    <cellStyle name="Normal 6 3 2 2" xfId="3459" xr:uid="{404884AB-B294-4D46-9F97-26BE2859314B}"/>
    <cellStyle name="Normal 6 3 2 2 2" xfId="3460" xr:uid="{092C3FF7-5ABD-43FA-B776-E582F7A6F547}"/>
    <cellStyle name="Normal 6 3 2 3" xfId="3461" xr:uid="{3EDB5781-F3EB-42AC-A6B6-7E66DFF0E013}"/>
    <cellStyle name="Normal 6 3 3" xfId="3462" xr:uid="{D317449E-CC9A-4307-8111-D09213C6D928}"/>
    <cellStyle name="Normal 6 4" xfId="3463" xr:uid="{1A9F6164-6AB8-4053-AC18-C776D1C0C614}"/>
    <cellStyle name="Normal 6 5" xfId="3464" xr:uid="{03026898-CEC4-48EB-9DE9-2F44216AC797}"/>
    <cellStyle name="Normal 6_T1 ANSP" xfId="3450" xr:uid="{E1306A35-7E9E-4642-B28E-2CC19CC72245}"/>
    <cellStyle name="Normál 6_T1 ANSP" xfId="3451" xr:uid="{C640F52E-CC2B-413A-A1EE-48FDF9CF5FD5}"/>
    <cellStyle name="Normal 7" xfId="535" xr:uid="{00000000-0005-0000-0000-000023040000}"/>
    <cellStyle name="Normál 7" xfId="1278" xr:uid="{00000000-0005-0000-0000-000024040000}"/>
    <cellStyle name="Normal 7 2" xfId="1044" xr:uid="{00000000-0005-0000-0000-000025040000}"/>
    <cellStyle name="Normal 7 2 2" xfId="3468" xr:uid="{D381EE3A-AC99-4E10-9BF6-936BA0D6D1B1}"/>
    <cellStyle name="Normal 7 2 3" xfId="3469" xr:uid="{3A528809-BB2C-49A1-9250-EBD014C2AC70}"/>
    <cellStyle name="Normal 7 2_T1 ANSP" xfId="3467" xr:uid="{C7D3C928-25B6-4BD9-92A0-E508190F505B}"/>
    <cellStyle name="Normal 7 3" xfId="1291" xr:uid="{00000000-0005-0000-0000-000026040000}"/>
    <cellStyle name="Normal 7 4" xfId="3470" xr:uid="{B12F6D43-E653-46EE-9D1B-8C31A7C4BB2C}"/>
    <cellStyle name="Normal 7_T1 ANSP" xfId="3465" xr:uid="{6A4FDC89-A194-423A-A23A-1C3A5FC705A1}"/>
    <cellStyle name="Normál 7_T1 ANSP" xfId="3466" xr:uid="{338A58AE-BA70-4E2B-9274-A1C3124AB3E4}"/>
    <cellStyle name="Normal 79" xfId="15" xr:uid="{00000000-0005-0000-0000-000027040000}"/>
    <cellStyle name="Normal 8" xfId="536" xr:uid="{00000000-0005-0000-0000-000028040000}"/>
    <cellStyle name="Normal 8 2" xfId="1045" xr:uid="{00000000-0005-0000-0000-000029040000}"/>
    <cellStyle name="Normal 8 2 2" xfId="3473" xr:uid="{B0EEF97F-E862-45FB-9678-8CBFD3800B06}"/>
    <cellStyle name="Normal 8 2 3" xfId="3474" xr:uid="{A4AD5C38-A306-4797-B563-04B6F2935ABB}"/>
    <cellStyle name="Normal 8 2_T1 ANSP" xfId="3472" xr:uid="{0502E5CC-5810-4D2F-8370-74ED8E07CED5}"/>
    <cellStyle name="Normal 8 3" xfId="3475" xr:uid="{5DE61489-A4CF-4751-8DFF-68C93BCD61A3}"/>
    <cellStyle name="Normal 8 4" xfId="3476" xr:uid="{40DA9D75-0A6B-4E6A-BF0F-332A1FAB76C3}"/>
    <cellStyle name="Normal 8_T1 ANSP" xfId="3471" xr:uid="{90F4A83C-83F2-4147-8358-B4DD2B57C535}"/>
    <cellStyle name="Normal 9" xfId="537" xr:uid="{00000000-0005-0000-0000-00002A040000}"/>
    <cellStyle name="Normal 9 2" xfId="1046" xr:uid="{00000000-0005-0000-0000-00002B040000}"/>
    <cellStyle name="Normal 9 3" xfId="1218" xr:uid="{00000000-0005-0000-0000-00002C040000}"/>
    <cellStyle name="Normal 9 4" xfId="3478" xr:uid="{D7AD6796-5450-45E4-A77D-4C5960FA4AA7}"/>
    <cellStyle name="Normal 9_T1 ANSP" xfId="3477" xr:uid="{5C11EBAA-5964-44C4-82CC-7F767A19A314}"/>
    <cellStyle name="Normal_fromFrance01" xfId="3" xr:uid="{00000000-0005-0000-0000-00002D040000}"/>
    <cellStyle name="Normal_fromFrance01 3" xfId="7" xr:uid="{00000000-0005-0000-0000-00002E040000}"/>
    <cellStyle name="Normal_fromFrance01 3 2" xfId="1297" xr:uid="{00000000-0005-0000-0000-00002F040000}"/>
    <cellStyle name="Normál_Munka1" xfId="1450" xr:uid="{00000000-0005-0000-0000-000030040000}"/>
    <cellStyle name="Normal_Workshop - Sample-Final- Determined Costs Mt" xfId="2" xr:uid="{00000000-0005-0000-0000-000031040000}"/>
    <cellStyle name="Normal_Workshop - Sample-Final- Determined Costs Mt 2" xfId="1282" xr:uid="{00000000-0005-0000-0000-000032040000}"/>
    <cellStyle name="Normale 10" xfId="538" xr:uid="{00000000-0005-0000-0000-000033040000}"/>
    <cellStyle name="Normale 10 2" xfId="539" xr:uid="{00000000-0005-0000-0000-000034040000}"/>
    <cellStyle name="Normale 10 3" xfId="540" xr:uid="{00000000-0005-0000-0000-000035040000}"/>
    <cellStyle name="Normale 10 4" xfId="1047" xr:uid="{00000000-0005-0000-0000-000036040000}"/>
    <cellStyle name="Normale 11" xfId="541" xr:uid="{00000000-0005-0000-0000-000037040000}"/>
    <cellStyle name="Normale 11 2" xfId="542" xr:uid="{00000000-0005-0000-0000-000038040000}"/>
    <cellStyle name="Normale 11 3" xfId="543" xr:uid="{00000000-0005-0000-0000-000039040000}"/>
    <cellStyle name="Normale 12" xfId="544" xr:uid="{00000000-0005-0000-0000-00003A040000}"/>
    <cellStyle name="Normale 12 2" xfId="545" xr:uid="{00000000-0005-0000-0000-00003B040000}"/>
    <cellStyle name="Normale 12 3" xfId="546" xr:uid="{00000000-0005-0000-0000-00003C040000}"/>
    <cellStyle name="Normale 13" xfId="547" xr:uid="{00000000-0005-0000-0000-00003D040000}"/>
    <cellStyle name="Normale 13 2" xfId="548" xr:uid="{00000000-0005-0000-0000-00003E040000}"/>
    <cellStyle name="Normale 13 3" xfId="549" xr:uid="{00000000-0005-0000-0000-00003F040000}"/>
    <cellStyle name="Normale 14" xfId="550" xr:uid="{00000000-0005-0000-0000-000040040000}"/>
    <cellStyle name="Normale 14 2" xfId="551" xr:uid="{00000000-0005-0000-0000-000041040000}"/>
    <cellStyle name="Normale 14 3" xfId="552" xr:uid="{00000000-0005-0000-0000-000042040000}"/>
    <cellStyle name="Normale 15" xfId="553" xr:uid="{00000000-0005-0000-0000-000043040000}"/>
    <cellStyle name="Normale 15 2" xfId="554" xr:uid="{00000000-0005-0000-0000-000044040000}"/>
    <cellStyle name="Normale 15 3" xfId="555" xr:uid="{00000000-0005-0000-0000-000045040000}"/>
    <cellStyle name="Normale 16" xfId="556" xr:uid="{00000000-0005-0000-0000-000046040000}"/>
    <cellStyle name="Normale 16 2" xfId="557" xr:uid="{00000000-0005-0000-0000-000047040000}"/>
    <cellStyle name="Normale 16 3" xfId="558" xr:uid="{00000000-0005-0000-0000-000048040000}"/>
    <cellStyle name="Normale 17" xfId="559" xr:uid="{00000000-0005-0000-0000-000049040000}"/>
    <cellStyle name="Normale 17 2" xfId="560" xr:uid="{00000000-0005-0000-0000-00004A040000}"/>
    <cellStyle name="Normale 17 3" xfId="561" xr:uid="{00000000-0005-0000-0000-00004B040000}"/>
    <cellStyle name="Normale 18" xfId="562" xr:uid="{00000000-0005-0000-0000-00004C040000}"/>
    <cellStyle name="Normale 18 2" xfId="563" xr:uid="{00000000-0005-0000-0000-00004D040000}"/>
    <cellStyle name="Normale 18 3" xfId="564" xr:uid="{00000000-0005-0000-0000-00004E040000}"/>
    <cellStyle name="Normale 19" xfId="565" xr:uid="{00000000-0005-0000-0000-00004F040000}"/>
    <cellStyle name="Normale 19 2" xfId="566" xr:uid="{00000000-0005-0000-0000-000050040000}"/>
    <cellStyle name="Normale 19 3" xfId="567" xr:uid="{00000000-0005-0000-0000-000051040000}"/>
    <cellStyle name="Normale 2" xfId="568" xr:uid="{00000000-0005-0000-0000-000052040000}"/>
    <cellStyle name="Normale 2 2" xfId="569" xr:uid="{00000000-0005-0000-0000-000053040000}"/>
    <cellStyle name="Normale 2 2 2" xfId="570" xr:uid="{00000000-0005-0000-0000-000054040000}"/>
    <cellStyle name="Normale 2 2 3" xfId="571" xr:uid="{00000000-0005-0000-0000-000055040000}"/>
    <cellStyle name="Normale 2 2 3 2" xfId="1049" xr:uid="{00000000-0005-0000-0000-000056040000}"/>
    <cellStyle name="Normale 2 2 3_T1 ANSP" xfId="3480" xr:uid="{0E5FAD50-45FF-445F-AD25-E8FA611BB003}"/>
    <cellStyle name="Normale 2 2 4" xfId="1048" xr:uid="{00000000-0005-0000-0000-000057040000}"/>
    <cellStyle name="Normale 2 2_T1 ANSP" xfId="3479" xr:uid="{7EB8D3D1-32AB-4CE7-AD3D-53C4B8AE6FD4}"/>
    <cellStyle name="Normale 2 3" xfId="572" xr:uid="{00000000-0005-0000-0000-000058040000}"/>
    <cellStyle name="Normale 2 4" xfId="573" xr:uid="{00000000-0005-0000-0000-000059040000}"/>
    <cellStyle name="Normale 2 4 2" xfId="1050" xr:uid="{00000000-0005-0000-0000-00005A040000}"/>
    <cellStyle name="Normale 2 4_T1 ANSP" xfId="3481" xr:uid="{4C35E48F-49AE-41CD-985E-191B8CD4717F}"/>
    <cellStyle name="Normale 20" xfId="574" xr:uid="{00000000-0005-0000-0000-00005B040000}"/>
    <cellStyle name="Normale 20 2" xfId="575" xr:uid="{00000000-0005-0000-0000-00005C040000}"/>
    <cellStyle name="Normale 20 3" xfId="576" xr:uid="{00000000-0005-0000-0000-00005D040000}"/>
    <cellStyle name="Normale 21" xfId="577" xr:uid="{00000000-0005-0000-0000-00005E040000}"/>
    <cellStyle name="Normale 21 2" xfId="578" xr:uid="{00000000-0005-0000-0000-00005F040000}"/>
    <cellStyle name="Normale 21 3" xfId="579" xr:uid="{00000000-0005-0000-0000-000060040000}"/>
    <cellStyle name="Normale 22" xfId="580" xr:uid="{00000000-0005-0000-0000-000061040000}"/>
    <cellStyle name="Normale 22 2" xfId="581" xr:uid="{00000000-0005-0000-0000-000062040000}"/>
    <cellStyle name="Normale 22 3" xfId="582" xr:uid="{00000000-0005-0000-0000-000063040000}"/>
    <cellStyle name="Normale 23" xfId="583" xr:uid="{00000000-0005-0000-0000-000064040000}"/>
    <cellStyle name="Normale 23 2" xfId="584" xr:uid="{00000000-0005-0000-0000-000065040000}"/>
    <cellStyle name="Normale 23 3" xfId="585" xr:uid="{00000000-0005-0000-0000-000066040000}"/>
    <cellStyle name="Normale 24" xfId="586" xr:uid="{00000000-0005-0000-0000-000067040000}"/>
    <cellStyle name="Normale 24 2" xfId="587" xr:uid="{00000000-0005-0000-0000-000068040000}"/>
    <cellStyle name="Normale 24 3" xfId="588" xr:uid="{00000000-0005-0000-0000-000069040000}"/>
    <cellStyle name="Normale 25" xfId="589" xr:uid="{00000000-0005-0000-0000-00006A040000}"/>
    <cellStyle name="Normale 25 2" xfId="590" xr:uid="{00000000-0005-0000-0000-00006B040000}"/>
    <cellStyle name="Normale 25 3" xfId="591" xr:uid="{00000000-0005-0000-0000-00006C040000}"/>
    <cellStyle name="Normale 26" xfId="592" xr:uid="{00000000-0005-0000-0000-00006D040000}"/>
    <cellStyle name="Normale 26 2" xfId="593" xr:uid="{00000000-0005-0000-0000-00006E040000}"/>
    <cellStyle name="Normale 26 3" xfId="594" xr:uid="{00000000-0005-0000-0000-00006F040000}"/>
    <cellStyle name="Normale 27" xfId="595" xr:uid="{00000000-0005-0000-0000-000070040000}"/>
    <cellStyle name="Normale 27 2" xfId="1051" xr:uid="{00000000-0005-0000-0000-000071040000}"/>
    <cellStyle name="Normale 27_T1 ANSP" xfId="3482" xr:uid="{AB4914C9-401B-4E6C-97FE-72887245D7C7}"/>
    <cellStyle name="Normale 28" xfId="596" xr:uid="{00000000-0005-0000-0000-000072040000}"/>
    <cellStyle name="Normale 29" xfId="597" xr:uid="{00000000-0005-0000-0000-000073040000}"/>
    <cellStyle name="Normale 3" xfId="598" xr:uid="{00000000-0005-0000-0000-000074040000}"/>
    <cellStyle name="Normale 3 2" xfId="599" xr:uid="{00000000-0005-0000-0000-000075040000}"/>
    <cellStyle name="Normale 3 3" xfId="600" xr:uid="{00000000-0005-0000-0000-000076040000}"/>
    <cellStyle name="Normale 3 3 2" xfId="1052" xr:uid="{00000000-0005-0000-0000-000077040000}"/>
    <cellStyle name="Normale 3 3_T1 ANSP" xfId="3483" xr:uid="{BC01E74B-B5AC-4CFE-BD88-DAA947A77D6B}"/>
    <cellStyle name="Normale 30" xfId="601" xr:uid="{00000000-0005-0000-0000-000078040000}"/>
    <cellStyle name="Normale 30 2" xfId="1053" xr:uid="{00000000-0005-0000-0000-000079040000}"/>
    <cellStyle name="Normale 30_T1 ANSP" xfId="3484" xr:uid="{FDD4FCE3-E7B1-4866-A2C3-41004F7EB46D}"/>
    <cellStyle name="Normale 31" xfId="602" xr:uid="{00000000-0005-0000-0000-00007A040000}"/>
    <cellStyle name="Normale 31 2" xfId="1054" xr:uid="{00000000-0005-0000-0000-00007B040000}"/>
    <cellStyle name="Normale 31_T1 ANSP" xfId="3485" xr:uid="{2504F465-EAB7-480B-A6D7-B27A7DAA2F99}"/>
    <cellStyle name="Normale 32" xfId="603" xr:uid="{00000000-0005-0000-0000-00007C040000}"/>
    <cellStyle name="Normale 32 2" xfId="1055" xr:uid="{00000000-0005-0000-0000-00007D040000}"/>
    <cellStyle name="Normale 32_T1 ANSP" xfId="3486" xr:uid="{F1F60412-7D07-434A-817F-898082757658}"/>
    <cellStyle name="Normale 33" xfId="604" xr:uid="{00000000-0005-0000-0000-00007E040000}"/>
    <cellStyle name="Normale 33 2" xfId="1056" xr:uid="{00000000-0005-0000-0000-00007F040000}"/>
    <cellStyle name="Normale 33_T1 ANSP" xfId="3487" xr:uid="{57038192-D5F6-46E7-A625-5C01C88487AE}"/>
    <cellStyle name="Normale 34" xfId="605" xr:uid="{00000000-0005-0000-0000-000080040000}"/>
    <cellStyle name="Normale 34 2" xfId="1057" xr:uid="{00000000-0005-0000-0000-000081040000}"/>
    <cellStyle name="Normale 34_T1 ANSP" xfId="3488" xr:uid="{282A337A-1ACC-4016-B710-FBB556EF77B7}"/>
    <cellStyle name="Normale 4" xfId="606" xr:uid="{00000000-0005-0000-0000-000082040000}"/>
    <cellStyle name="Normale 4 2" xfId="607" xr:uid="{00000000-0005-0000-0000-000083040000}"/>
    <cellStyle name="Normale 4 2 2" xfId="608" xr:uid="{00000000-0005-0000-0000-000084040000}"/>
    <cellStyle name="Normale 4 2 2 2" xfId="1060" xr:uid="{00000000-0005-0000-0000-000085040000}"/>
    <cellStyle name="Normale 4 2 2_T1 ANSP" xfId="3491" xr:uid="{320B5D98-DE3C-41B4-A906-306CCB4A2554}"/>
    <cellStyle name="Normale 4 2 3" xfId="1059" xr:uid="{00000000-0005-0000-0000-000086040000}"/>
    <cellStyle name="Normale 4 2_T1 ANSP" xfId="3490" xr:uid="{32D7F632-C221-437D-A534-30669CB1EBBD}"/>
    <cellStyle name="Normale 4 3" xfId="609" xr:uid="{00000000-0005-0000-0000-000087040000}"/>
    <cellStyle name="Normale 4 3 2" xfId="1061" xr:uid="{00000000-0005-0000-0000-000088040000}"/>
    <cellStyle name="Normale 4 3_T1 ANSP" xfId="3492" xr:uid="{CEE647A3-7CBD-492D-80BC-789600AFE34B}"/>
    <cellStyle name="Normale 4 4" xfId="610" xr:uid="{00000000-0005-0000-0000-000089040000}"/>
    <cellStyle name="Normale 4 4 2" xfId="1062" xr:uid="{00000000-0005-0000-0000-00008A040000}"/>
    <cellStyle name="Normale 4 4_T1 ANSP" xfId="3493" xr:uid="{B994C969-5783-4BC9-9BC1-10523679FEEE}"/>
    <cellStyle name="Normale 4 5" xfId="611" xr:uid="{00000000-0005-0000-0000-00008B040000}"/>
    <cellStyle name="Normale 4 5 2" xfId="1063" xr:uid="{00000000-0005-0000-0000-00008C040000}"/>
    <cellStyle name="Normale 4 5_T1 ANSP" xfId="3494" xr:uid="{3EAAA020-6A96-4B3C-8C53-39BBAA60F96F}"/>
    <cellStyle name="Normale 4 6" xfId="1058" xr:uid="{00000000-0005-0000-0000-00008D040000}"/>
    <cellStyle name="Normale 4_T1 ANSP" xfId="3489" xr:uid="{0D5992B9-DD20-4B4D-BE70-FE5F459097DA}"/>
    <cellStyle name="Normale 5" xfId="612" xr:uid="{00000000-0005-0000-0000-00008E040000}"/>
    <cellStyle name="Normale 5 2" xfId="1064" xr:uid="{00000000-0005-0000-0000-00008F040000}"/>
    <cellStyle name="Normale 5_T1 ANSP" xfId="3495" xr:uid="{B71F666E-9C17-4E4C-BBD6-26F1EA112E4A}"/>
    <cellStyle name="Normale 6" xfId="613" xr:uid="{00000000-0005-0000-0000-000090040000}"/>
    <cellStyle name="Normale 6 2" xfId="614" xr:uid="{00000000-0005-0000-0000-000091040000}"/>
    <cellStyle name="Normale 6 3" xfId="1065" xr:uid="{00000000-0005-0000-0000-000092040000}"/>
    <cellStyle name="Normale 6_T1 ANSP" xfId="3496" xr:uid="{8E5C06AA-3F36-4B74-B2BD-2455601B8EE4}"/>
    <cellStyle name="Normale 7" xfId="615" xr:uid="{00000000-0005-0000-0000-000093040000}"/>
    <cellStyle name="Normale 8" xfId="616" xr:uid="{00000000-0005-0000-0000-000094040000}"/>
    <cellStyle name="Normale 8 2" xfId="617" xr:uid="{00000000-0005-0000-0000-000095040000}"/>
    <cellStyle name="Normale 8 3" xfId="618" xr:uid="{00000000-0005-0000-0000-000096040000}"/>
    <cellStyle name="Normale 9" xfId="619" xr:uid="{00000000-0005-0000-0000-000097040000}"/>
    <cellStyle name="Normale 9 2" xfId="620" xr:uid="{00000000-0005-0000-0000-000098040000}"/>
    <cellStyle name="Normale 9 3" xfId="621" xr:uid="{00000000-0005-0000-0000-000099040000}"/>
    <cellStyle name="Normale_Calcolo Tariffa_2006_4T_v01" xfId="622" xr:uid="{00000000-0005-0000-0000-00009A040000}"/>
    <cellStyle name="NormalExtra" xfId="3497" xr:uid="{AA54BBA9-668A-429D-BFEB-205999E8CF8B}"/>
    <cellStyle name="Normálna 3" xfId="1219" xr:uid="{00000000-0005-0000-0000-00009B040000}"/>
    <cellStyle name="Normalny 2" xfId="623" xr:uid="{00000000-0005-0000-0000-00009C040000}"/>
    <cellStyle name="Normalny 2 2" xfId="624" xr:uid="{00000000-0005-0000-0000-00009D040000}"/>
    <cellStyle name="Normalny 2_MET Table 1" xfId="625" xr:uid="{00000000-0005-0000-0000-00009E040000}"/>
    <cellStyle name="Normalny 4" xfId="626" xr:uid="{00000000-0005-0000-0000-00009F040000}"/>
    <cellStyle name="NorTms8" xfId="627" xr:uid="{00000000-0005-0000-0000-0000A0040000}"/>
    <cellStyle name="Notas" xfId="628" xr:uid="{00000000-0005-0000-0000-0000A1040000}"/>
    <cellStyle name="Notas 2" xfId="1495" xr:uid="{00000000-0005-0000-0000-0000A2040000}"/>
    <cellStyle name="Notas 3" xfId="1487" xr:uid="{00000000-0005-0000-0000-0000A3040000}"/>
    <cellStyle name="Note 2" xfId="629" xr:uid="{00000000-0005-0000-0000-0000A4040000}"/>
    <cellStyle name="Note 2 10" xfId="3499" xr:uid="{2A8B44F6-B192-4710-AB59-CF4ED6E97D08}"/>
    <cellStyle name="Note 2 10 2" xfId="3500" xr:uid="{0B99056A-E544-4595-AC53-737D4C8E2440}"/>
    <cellStyle name="Note 2 11" xfId="3501" xr:uid="{6C648069-987B-4DD0-B530-EBDCE017FCC4}"/>
    <cellStyle name="Note 2 11 2" xfId="3502" xr:uid="{55D9C159-9540-4943-ABAD-690937DE697E}"/>
    <cellStyle name="Note 2 12" xfId="3503" xr:uid="{ACE4CF1B-FE44-44C4-8FA0-FCD96BA5050E}"/>
    <cellStyle name="Note 2 12 2" xfId="3504" xr:uid="{8D61C4C4-BED4-459F-A478-85203141505D}"/>
    <cellStyle name="Note 2 13" xfId="3505" xr:uid="{8EB5C20B-B610-49EA-8491-3A91897177CA}"/>
    <cellStyle name="Note 2 13 2" xfId="3506" xr:uid="{140A9D7A-1CE3-4B70-A819-425AC41BF55C}"/>
    <cellStyle name="Note 2 14" xfId="3507" xr:uid="{A4D5DA10-0711-450A-99D3-1B09263EC336}"/>
    <cellStyle name="Note 2 14 2" xfId="3508" xr:uid="{618B5505-79E0-4489-802A-F16369E37AB2}"/>
    <cellStyle name="Note 2 15" xfId="3509" xr:uid="{66264F4F-6F72-4556-9110-F06AF3EE94CB}"/>
    <cellStyle name="Note 2 15 2" xfId="3510" xr:uid="{25AF7945-5887-45AE-B539-F8F9D3A3D70A}"/>
    <cellStyle name="Note 2 16" xfId="3511" xr:uid="{EA203C44-2EB0-427C-9737-36221D873A65}"/>
    <cellStyle name="Note 2 16 2" xfId="3512" xr:uid="{01DBE9BB-2C49-4EA3-81A5-8DB6B58F3CC1}"/>
    <cellStyle name="Note 2 17" xfId="3513" xr:uid="{87B3AA38-EBE6-4ECA-A6A9-F0C91E7DA802}"/>
    <cellStyle name="Note 2 17 2" xfId="3514" xr:uid="{FCA57285-8CDC-4D90-B8DD-53C8C60D1773}"/>
    <cellStyle name="Note 2 18" xfId="3515" xr:uid="{92A9110F-F8C6-4C78-ABB4-C7A025C94FC3}"/>
    <cellStyle name="Note 2 18 2" xfId="3516" xr:uid="{0A45B51B-E8EA-4609-BA9C-D93CF042A48D}"/>
    <cellStyle name="Note 2 19" xfId="3517" xr:uid="{F33F740D-9164-4131-95B4-B271912BBF33}"/>
    <cellStyle name="Note 2 2" xfId="1496" xr:uid="{00000000-0005-0000-0000-0000A5040000}"/>
    <cellStyle name="Note 2 2 10" xfId="3519" xr:uid="{C5693A97-C562-4D07-B192-0D238832CD59}"/>
    <cellStyle name="Note 2 2 10 2" xfId="3520" xr:uid="{F55BE7C0-B6DC-4E4B-86E4-4D27DCFA92DA}"/>
    <cellStyle name="Note 2 2 11" xfId="3521" xr:uid="{C5E57805-C442-47A1-A3BD-EFE6793DA56C}"/>
    <cellStyle name="Note 2 2 11 2" xfId="3522" xr:uid="{FA08E0AD-1661-490D-84DD-61DB04D4D279}"/>
    <cellStyle name="Note 2 2 12" xfId="3523" xr:uid="{DB0A7688-3D37-4D6A-8ACA-2899D5F13BB0}"/>
    <cellStyle name="Note 2 2 12 2" xfId="3524" xr:uid="{44194D05-F2A3-43B9-A4B2-9035DDC845DB}"/>
    <cellStyle name="Note 2 2 13" xfId="3525" xr:uid="{2871EBAC-6083-4482-A219-6550ED0FBCDA}"/>
    <cellStyle name="Note 2 2 13 2" xfId="3526" xr:uid="{673EFBBE-B51D-489D-928E-3C048949F4EE}"/>
    <cellStyle name="Note 2 2 14" xfId="3527" xr:uid="{4CF14E64-E69F-411D-B1C0-E680F9E77FE4}"/>
    <cellStyle name="Note 2 2 14 2" xfId="3528" xr:uid="{5F26AD27-8B80-4061-AA8E-23DD02088C2F}"/>
    <cellStyle name="Note 2 2 15" xfId="3529" xr:uid="{6D6F6739-F53A-4B5E-81DC-D05C79AAAC04}"/>
    <cellStyle name="Note 2 2 15 2" xfId="3530" xr:uid="{BCCC2DB9-DB4C-47D0-BC85-4FD30A3731F2}"/>
    <cellStyle name="Note 2 2 16" xfId="3531" xr:uid="{EB3C9CEC-EAA6-4B89-AA30-FE7D264A7ABD}"/>
    <cellStyle name="Note 2 2 16 2" xfId="3532" xr:uid="{E7B2BC48-A61E-4A26-B252-50AA9174E86A}"/>
    <cellStyle name="Note 2 2 17" xfId="3533" xr:uid="{4B1F1E80-8732-4BCB-A49B-699858A05BE0}"/>
    <cellStyle name="Note 2 2 17 2" xfId="3534" xr:uid="{583DC945-E9DA-4014-94C0-1EBF06F15CC9}"/>
    <cellStyle name="Note 2 2 2" xfId="3535" xr:uid="{39FBA00A-F45A-4BB2-8713-E15B16602B39}"/>
    <cellStyle name="Note 2 2 2 10" xfId="3536" xr:uid="{43B24F7E-7DA5-4E7C-B172-9FE022360727}"/>
    <cellStyle name="Note 2 2 2 10 2" xfId="3537" xr:uid="{97C0FA8B-3A2C-40B0-A748-C32149E56096}"/>
    <cellStyle name="Note 2 2 2 11" xfId="3538" xr:uid="{9A13AFE9-14EE-4113-92F4-8461EFF01684}"/>
    <cellStyle name="Note 2 2 2 11 2" xfId="3539" xr:uid="{DEC6147E-39CC-4461-8F3B-B574D6966E09}"/>
    <cellStyle name="Note 2 2 2 12" xfId="3540" xr:uid="{FC3168E1-D543-4E75-92FB-151958746D6C}"/>
    <cellStyle name="Note 2 2 2 12 2" xfId="3541" xr:uid="{DCF08108-16E7-4497-9704-0CC5E02E8AED}"/>
    <cellStyle name="Note 2 2 2 13" xfId="3542" xr:uid="{FBD1EB18-2ABA-4EFE-B939-5CA4EEC117E8}"/>
    <cellStyle name="Note 2 2 2 13 2" xfId="3543" xr:uid="{06EB69A7-F66F-4165-9931-80AADD22BDF1}"/>
    <cellStyle name="Note 2 2 2 14" xfId="3544" xr:uid="{2B7F6584-8FF5-4E1B-8A5B-17C18BCC8A5D}"/>
    <cellStyle name="Note 2 2 2 14 2" xfId="3545" xr:uid="{6FE7C4D5-7571-4977-89AB-366556C0D9E2}"/>
    <cellStyle name="Note 2 2 2 15" xfId="3546" xr:uid="{F7E672EC-10C6-4661-B0D6-4BF1E0C7BE74}"/>
    <cellStyle name="Note 2 2 2 15 2" xfId="3547" xr:uid="{543293B5-26C1-4FF8-85CF-7AFDBCA8B212}"/>
    <cellStyle name="Note 2 2 2 2" xfId="3548" xr:uid="{D5C5ACC2-32B8-4263-8BDA-65AD7D72A4BD}"/>
    <cellStyle name="Note 2 2 2 2 2" xfId="3549" xr:uid="{502286CD-6BB6-4632-8625-6513E3355915}"/>
    <cellStyle name="Note 2 2 2 3" xfId="3550" xr:uid="{1A3CFB72-AAF1-4193-9701-E2473EAEDE32}"/>
    <cellStyle name="Note 2 2 2 3 2" xfId="3551" xr:uid="{C390D826-5261-4471-8553-4E31673220F0}"/>
    <cellStyle name="Note 2 2 2 4" xfId="3552" xr:uid="{50ED6412-7B26-4ABD-BEEE-F61B713A64BA}"/>
    <cellStyle name="Note 2 2 2 4 2" xfId="3553" xr:uid="{54B18BE3-5B0D-4E55-A9CD-EAEB28A4FF74}"/>
    <cellStyle name="Note 2 2 2 5" xfId="3554" xr:uid="{6FF4B585-FDDE-4B36-B14C-092AACCC4157}"/>
    <cellStyle name="Note 2 2 2 5 2" xfId="3555" xr:uid="{4DF08627-F02A-4F12-A61D-AD874653DD26}"/>
    <cellStyle name="Note 2 2 2 6" xfId="3556" xr:uid="{2233F5F5-96CD-4DD9-8A1C-EA0F5DA27C62}"/>
    <cellStyle name="Note 2 2 2 6 2" xfId="3557" xr:uid="{DE13B018-8138-470D-A75C-66E10F48E586}"/>
    <cellStyle name="Note 2 2 2 7" xfId="3558" xr:uid="{BB052F81-D767-49AF-93DD-7F8DAAB6B17B}"/>
    <cellStyle name="Note 2 2 2 7 2" xfId="3559" xr:uid="{B50A84CB-A0B0-4483-812E-8DC7C628C261}"/>
    <cellStyle name="Note 2 2 2 8" xfId="3560" xr:uid="{2EE260D4-E839-4B21-B0D9-3CB190547A29}"/>
    <cellStyle name="Note 2 2 2 8 2" xfId="3561" xr:uid="{2958875A-336E-4532-AE18-A3AAF46B3D73}"/>
    <cellStyle name="Note 2 2 2 9" xfId="3562" xr:uid="{6E72493E-47C2-4F06-BBF7-881C568A6AF1}"/>
    <cellStyle name="Note 2 2 2 9 2" xfId="3563" xr:uid="{33977503-1025-4414-B38E-FAFDD796A0D8}"/>
    <cellStyle name="Note 2 2 3" xfId="3564" xr:uid="{5D64F492-4E11-4E72-8609-11F170BCB3AF}"/>
    <cellStyle name="Note 2 2 3 10" xfId="3565" xr:uid="{C49AE9E3-897E-433A-BEAA-4FA7582DFA9E}"/>
    <cellStyle name="Note 2 2 3 10 2" xfId="3566" xr:uid="{A340EC5B-6062-4BAA-A6CA-7CA7152015F7}"/>
    <cellStyle name="Note 2 2 3 11" xfId="3567" xr:uid="{CBB44237-C221-44DD-9056-578036E351B1}"/>
    <cellStyle name="Note 2 2 3 11 2" xfId="3568" xr:uid="{C0EEB6B3-C543-4AA4-8452-9F9C70554A7E}"/>
    <cellStyle name="Note 2 2 3 12" xfId="3569" xr:uid="{00A34D14-9F9E-46B2-A84D-4C08F3F7F516}"/>
    <cellStyle name="Note 2 2 3 12 2" xfId="3570" xr:uid="{45F664C3-9652-423D-9886-6175EF1C42E4}"/>
    <cellStyle name="Note 2 2 3 13" xfId="3571" xr:uid="{4AE6C155-84DE-4683-9673-FF8AC0AA0E71}"/>
    <cellStyle name="Note 2 2 3 13 2" xfId="3572" xr:uid="{C4F21C62-DD84-49F1-82A9-3BF4313E2D57}"/>
    <cellStyle name="Note 2 2 3 14" xfId="3573" xr:uid="{0C194FB6-5A14-4620-81AF-7F6EEB9C012A}"/>
    <cellStyle name="Note 2 2 3 14 2" xfId="3574" xr:uid="{28D197DD-86FE-4DD9-A118-53E16CF0B5D1}"/>
    <cellStyle name="Note 2 2 3 15" xfId="3575" xr:uid="{31EEA0E1-37FA-42CD-9E05-8C14ABB723A6}"/>
    <cellStyle name="Note 2 2 3 15 2" xfId="3576" xr:uid="{C0E95A1B-A336-456E-9319-097F575D8096}"/>
    <cellStyle name="Note 2 2 3 2" xfId="3577" xr:uid="{5D37511F-98D5-47E6-A12A-C5212D1C60D8}"/>
    <cellStyle name="Note 2 2 3 2 2" xfId="3578" xr:uid="{DF1A9EF4-C336-462E-B334-0B0B84405E7F}"/>
    <cellStyle name="Note 2 2 3 3" xfId="3579" xr:uid="{BF5A350C-C328-48D2-89F8-16B954BE6F26}"/>
    <cellStyle name="Note 2 2 3 3 2" xfId="3580" xr:uid="{36C53A22-84B6-4B9F-971C-390346FC23C2}"/>
    <cellStyle name="Note 2 2 3 4" xfId="3581" xr:uid="{15C22FB9-910C-4D93-9AC6-67FFE804B639}"/>
    <cellStyle name="Note 2 2 3 4 2" xfId="3582" xr:uid="{AAD045EC-1D55-4BF1-9F06-B674CFC8CB63}"/>
    <cellStyle name="Note 2 2 3 5" xfId="3583" xr:uid="{9DEADE00-CE85-4645-B611-23DD1BDC98D3}"/>
    <cellStyle name="Note 2 2 3 5 2" xfId="3584" xr:uid="{EA5E6534-1736-4654-9D89-E75BBD16F5AD}"/>
    <cellStyle name="Note 2 2 3 6" xfId="3585" xr:uid="{783A144A-5C09-425E-8F9F-C78033900789}"/>
    <cellStyle name="Note 2 2 3 6 2" xfId="3586" xr:uid="{8351A9D1-70E8-475F-98FA-A50AAE48AB4A}"/>
    <cellStyle name="Note 2 2 3 7" xfId="3587" xr:uid="{1C0F79B8-62AC-43AF-A26B-6897C11B465A}"/>
    <cellStyle name="Note 2 2 3 7 2" xfId="3588" xr:uid="{0CCAC3A6-5E84-40D8-A539-866DCEA34C18}"/>
    <cellStyle name="Note 2 2 3 8" xfId="3589" xr:uid="{8B778A5C-1A3B-4D81-983B-09480BB26B27}"/>
    <cellStyle name="Note 2 2 3 8 2" xfId="3590" xr:uid="{55196590-648E-4F09-8BCF-4D7C90A29220}"/>
    <cellStyle name="Note 2 2 3 9" xfId="3591" xr:uid="{C51BFB11-A218-4E2D-AE48-3AB9444BF4C7}"/>
    <cellStyle name="Note 2 2 3 9 2" xfId="3592" xr:uid="{995C0E13-1291-4208-AE6A-93DFFBBF0172}"/>
    <cellStyle name="Note 2 2 4" xfId="3593" xr:uid="{C0304D94-69BC-4A25-9824-0F2F587A81E4}"/>
    <cellStyle name="Note 2 2 4 2" xfId="3594" xr:uid="{94F36F63-B31E-4206-841B-CCCDE8D694AC}"/>
    <cellStyle name="Note 2 2 5" xfId="3595" xr:uid="{62A0E0F9-0DDB-4654-B1A7-8E789AF4F1F0}"/>
    <cellStyle name="Note 2 2 5 2" xfId="3596" xr:uid="{6709788E-D164-43EB-84F1-19F76C49437C}"/>
    <cellStyle name="Note 2 2 6" xfId="3597" xr:uid="{55D9E5AF-36AB-4290-A577-7D71F69D56D6}"/>
    <cellStyle name="Note 2 2 6 2" xfId="3598" xr:uid="{87ABB677-BDCF-4B53-A5AA-BD90B5CDC565}"/>
    <cellStyle name="Note 2 2 7" xfId="3599" xr:uid="{453147F1-01CC-4426-8110-09FE7F9ACD47}"/>
    <cellStyle name="Note 2 2 7 2" xfId="3600" xr:uid="{D81B984E-8D9D-49CB-8961-5D286903CF84}"/>
    <cellStyle name="Note 2 2 8" xfId="3601" xr:uid="{514910C1-670E-4680-A7E9-EA847BA11E7D}"/>
    <cellStyle name="Note 2 2 8 2" xfId="3602" xr:uid="{46F1C404-4493-4D41-B30E-50E8561BDA01}"/>
    <cellStyle name="Note 2 2 9" xfId="3603" xr:uid="{F2744CD1-04BB-4B5E-AD4E-29FEEFCB2D48}"/>
    <cellStyle name="Note 2 2 9 2" xfId="3604" xr:uid="{A7A5E2D9-8DCC-4092-921F-4D2B18E2AFD8}"/>
    <cellStyle name="Note 2 2_T1 ANSP" xfId="3518" xr:uid="{D8F4C168-2A4A-4E1D-B7DC-545CD5E97138}"/>
    <cellStyle name="Note 2 3" xfId="1491" xr:uid="{00000000-0005-0000-0000-0000A6040000}"/>
    <cellStyle name="Note 2 3 10" xfId="3606" xr:uid="{C1CA5066-E001-474C-B28B-643EF8049602}"/>
    <cellStyle name="Note 2 3 10 2" xfId="3607" xr:uid="{8B1AE8CA-E7FC-4BCB-A6D1-635CE52D1849}"/>
    <cellStyle name="Note 2 3 11" xfId="3608" xr:uid="{7ABC5E4D-B566-4591-92DC-C16219F03AA6}"/>
    <cellStyle name="Note 2 3 11 2" xfId="3609" xr:uid="{9A8D545C-ABD0-4F3E-ABEE-293E907BB640}"/>
    <cellStyle name="Note 2 3 12" xfId="3610" xr:uid="{9C116C36-12F5-407E-891E-3D680F8C6474}"/>
    <cellStyle name="Note 2 3 12 2" xfId="3611" xr:uid="{1F8B3FD2-C784-4AA9-9617-5E2F1A5B0367}"/>
    <cellStyle name="Note 2 3 13" xfId="3612" xr:uid="{3995B8A2-2376-4409-B29C-4C25503884A1}"/>
    <cellStyle name="Note 2 3 13 2" xfId="3613" xr:uid="{5B3044BB-5013-4FE3-A7F8-26E0C68FE089}"/>
    <cellStyle name="Note 2 3 14" xfId="3614" xr:uid="{29C6D335-8F8E-4AB4-896D-3FD4AB5A4D93}"/>
    <cellStyle name="Note 2 3 14 2" xfId="3615" xr:uid="{398870AC-B9A6-4618-8023-069E3C43ED69}"/>
    <cellStyle name="Note 2 3 15" xfId="3616" xr:uid="{2E69D2DE-C7C6-462A-8562-62601A859A09}"/>
    <cellStyle name="Note 2 3 15 2" xfId="3617" xr:uid="{ADC67F1E-7C2C-475B-B326-4812C938546A}"/>
    <cellStyle name="Note 2 3 16" xfId="3618" xr:uid="{4D46A9AB-1979-4D85-AA19-6D62D4F113B5}"/>
    <cellStyle name="Note 2 3 16 2" xfId="3619" xr:uid="{6CE8B54F-EA37-40B3-809D-4A444BE4B008}"/>
    <cellStyle name="Note 2 3 17" xfId="3620" xr:uid="{64EA452B-3B32-4CBC-B164-F57E0FB39A6B}"/>
    <cellStyle name="Note 2 3 17 2" xfId="3621" xr:uid="{86CE84AE-FDB5-4EC2-8818-74713D454F8F}"/>
    <cellStyle name="Note 2 3 2" xfId="3622" xr:uid="{BB5F1688-8420-4159-83CD-3D607340C4DB}"/>
    <cellStyle name="Note 2 3 2 10" xfId="3623" xr:uid="{29603CF2-D84E-4263-B4F1-31F1D0A79FD5}"/>
    <cellStyle name="Note 2 3 2 10 2" xfId="3624" xr:uid="{8DC6C035-0A95-4C61-8694-199FE71918D4}"/>
    <cellStyle name="Note 2 3 2 11" xfId="3625" xr:uid="{2462A9FF-7466-41E5-8E8A-817C8041DAAE}"/>
    <cellStyle name="Note 2 3 2 11 2" xfId="3626" xr:uid="{33154A7C-DF26-47C0-A17F-1A7035AE0B1B}"/>
    <cellStyle name="Note 2 3 2 12" xfId="3627" xr:uid="{1242C0AF-4D70-4C15-ACD3-64846A9D1599}"/>
    <cellStyle name="Note 2 3 2 12 2" xfId="3628" xr:uid="{BE96EE77-12F4-43E2-A2B4-A10345F4F830}"/>
    <cellStyle name="Note 2 3 2 13" xfId="3629" xr:uid="{D8E98149-0066-4309-8CF1-E0D8DC296FF2}"/>
    <cellStyle name="Note 2 3 2 13 2" xfId="3630" xr:uid="{EDABFD9A-F510-4F05-B4FC-CBECF09297A1}"/>
    <cellStyle name="Note 2 3 2 14" xfId="3631" xr:uid="{7022E061-0F10-477B-B3C1-2BCEE48459EF}"/>
    <cellStyle name="Note 2 3 2 14 2" xfId="3632" xr:uid="{E9212BF4-C6CD-4CC5-8BE1-F5FBB29EA630}"/>
    <cellStyle name="Note 2 3 2 15" xfId="3633" xr:uid="{A606DC25-E4FC-411B-9B16-0B77951AB515}"/>
    <cellStyle name="Note 2 3 2 15 2" xfId="3634" xr:uid="{A8256C4C-86C8-42D2-87CE-C8141A0330A5}"/>
    <cellStyle name="Note 2 3 2 2" xfId="3635" xr:uid="{FEE3CBA3-C249-4EDA-A35A-61CDE636F2B9}"/>
    <cellStyle name="Note 2 3 2 2 2" xfId="3636" xr:uid="{26BA1ECF-0BC3-4126-9D49-77A7BC5AD9DC}"/>
    <cellStyle name="Note 2 3 2 3" xfId="3637" xr:uid="{E15E8C20-8F1B-47CB-B434-03F5988B0D0E}"/>
    <cellStyle name="Note 2 3 2 3 2" xfId="3638" xr:uid="{5DC24F35-6B73-4CFD-B15A-08A89396B56D}"/>
    <cellStyle name="Note 2 3 2 4" xfId="3639" xr:uid="{58830915-D9F8-4F75-8A6B-B002ACD9CDF7}"/>
    <cellStyle name="Note 2 3 2 4 2" xfId="3640" xr:uid="{0FFF247C-261D-4C1F-B113-30910082B394}"/>
    <cellStyle name="Note 2 3 2 5" xfId="3641" xr:uid="{B698DE58-2653-4FC4-8EDC-719F34E3975C}"/>
    <cellStyle name="Note 2 3 2 5 2" xfId="3642" xr:uid="{80986EFB-2592-4DF6-82A2-431E90BE56E9}"/>
    <cellStyle name="Note 2 3 2 6" xfId="3643" xr:uid="{F65219C9-3713-401E-AE69-CB55E1FE6B61}"/>
    <cellStyle name="Note 2 3 2 6 2" xfId="3644" xr:uid="{FAD8DB1C-8E7E-41EE-9EB4-4E35F0347A4E}"/>
    <cellStyle name="Note 2 3 2 7" xfId="3645" xr:uid="{ED7282FE-9872-4C6A-AD14-962547DFDB10}"/>
    <cellStyle name="Note 2 3 2 7 2" xfId="3646" xr:uid="{C68C5323-0577-4DED-B0FF-B5481FE873D2}"/>
    <cellStyle name="Note 2 3 2 8" xfId="3647" xr:uid="{E6FE4005-617C-4E32-A9B8-028205C0DB1F}"/>
    <cellStyle name="Note 2 3 2 8 2" xfId="3648" xr:uid="{72C1B844-E606-4262-AEAC-B40BC1419180}"/>
    <cellStyle name="Note 2 3 2 9" xfId="3649" xr:uid="{04DE0C67-2098-47BB-9147-8FA7CFB6EE89}"/>
    <cellStyle name="Note 2 3 2 9 2" xfId="3650" xr:uid="{B232576E-19BD-4D26-BD5F-AA60CDB22104}"/>
    <cellStyle name="Note 2 3 3" xfId="3651" xr:uid="{31EC4B10-4A4A-468D-ACCB-06E2F8926BD5}"/>
    <cellStyle name="Note 2 3 3 10" xfId="3652" xr:uid="{90368E81-F4EF-4671-8944-3BAA896D2FFE}"/>
    <cellStyle name="Note 2 3 3 10 2" xfId="3653" xr:uid="{91386958-F60C-481E-B7B4-990CD111E3BB}"/>
    <cellStyle name="Note 2 3 3 11" xfId="3654" xr:uid="{1C806A46-6363-4ACB-BCCD-1A3AB17B7262}"/>
    <cellStyle name="Note 2 3 3 11 2" xfId="3655" xr:uid="{F1AC9E25-BD51-4883-8FAE-8808E95B0C7C}"/>
    <cellStyle name="Note 2 3 3 12" xfId="3656" xr:uid="{A6053304-0131-49E0-B2AD-92A81E551913}"/>
    <cellStyle name="Note 2 3 3 12 2" xfId="3657" xr:uid="{6FA0FD3A-A85E-497A-9B2C-71EA693971E8}"/>
    <cellStyle name="Note 2 3 3 13" xfId="3658" xr:uid="{2AA3B6B3-626B-42DF-896D-F514362D48DE}"/>
    <cellStyle name="Note 2 3 3 13 2" xfId="3659" xr:uid="{696ECDC3-0139-49F7-97CB-E243FF61E90C}"/>
    <cellStyle name="Note 2 3 3 14" xfId="3660" xr:uid="{8A6E4A11-015C-4725-BF97-6BAB1B97E288}"/>
    <cellStyle name="Note 2 3 3 14 2" xfId="3661" xr:uid="{3434DDF6-30CF-4ABE-B670-94231C4AC93D}"/>
    <cellStyle name="Note 2 3 3 15" xfId="3662" xr:uid="{1C03B02C-175F-43C8-977F-0A7FE6E3066D}"/>
    <cellStyle name="Note 2 3 3 15 2" xfId="3663" xr:uid="{0E1375C8-9E7D-4C1B-A74C-DAB24D6EF334}"/>
    <cellStyle name="Note 2 3 3 2" xfId="3664" xr:uid="{B29476DC-CB23-448A-A91E-3E8531BAB59F}"/>
    <cellStyle name="Note 2 3 3 2 2" xfId="3665" xr:uid="{4F38C27C-106F-488A-941E-6D53C1F53FE6}"/>
    <cellStyle name="Note 2 3 3 3" xfId="3666" xr:uid="{03BB0DF0-4179-40A1-814A-14841A5B23E0}"/>
    <cellStyle name="Note 2 3 3 3 2" xfId="3667" xr:uid="{18C13793-8AA2-46B9-87FE-2C8748C80A9B}"/>
    <cellStyle name="Note 2 3 3 4" xfId="3668" xr:uid="{7F61F093-1F59-44FC-B507-849F641DC581}"/>
    <cellStyle name="Note 2 3 3 4 2" xfId="3669" xr:uid="{AB2FCEC1-3750-4A2C-9DA3-06DEB23292FB}"/>
    <cellStyle name="Note 2 3 3 5" xfId="3670" xr:uid="{9CDFDF77-D3A2-473C-8725-17A93372EF51}"/>
    <cellStyle name="Note 2 3 3 5 2" xfId="3671" xr:uid="{84AA0A8C-9910-4E0E-AA0E-2406F4ECF885}"/>
    <cellStyle name="Note 2 3 3 6" xfId="3672" xr:uid="{5DFEAAA9-EB17-42C3-BEAA-D55329CDE52B}"/>
    <cellStyle name="Note 2 3 3 6 2" xfId="3673" xr:uid="{A5A6A911-C877-444B-9758-B0B4C6D801FE}"/>
    <cellStyle name="Note 2 3 3 7" xfId="3674" xr:uid="{EB66AB2B-5316-49A2-97E0-0CC6E477526D}"/>
    <cellStyle name="Note 2 3 3 7 2" xfId="3675" xr:uid="{F6C8905F-D60B-4307-A237-1F081B85BEDB}"/>
    <cellStyle name="Note 2 3 3 8" xfId="3676" xr:uid="{A36202EB-46A9-4F73-B2F5-41453F08BCFF}"/>
    <cellStyle name="Note 2 3 3 8 2" xfId="3677" xr:uid="{CA2459BC-38D5-4C4C-B954-3035B9B1C1E8}"/>
    <cellStyle name="Note 2 3 3 9" xfId="3678" xr:uid="{AF41A552-4837-4644-BBC5-0F2C5F24ED19}"/>
    <cellStyle name="Note 2 3 3 9 2" xfId="3679" xr:uid="{5BCBB2AE-27C9-493C-975C-8A7837100D02}"/>
    <cellStyle name="Note 2 3 4" xfId="3680" xr:uid="{D39D4503-1A98-403D-9545-5A7F0ECEC31C}"/>
    <cellStyle name="Note 2 3 4 2" xfId="3681" xr:uid="{A50CD62B-6033-4FE1-9436-0E1FF36E58C4}"/>
    <cellStyle name="Note 2 3 5" xfId="3682" xr:uid="{2C181D1E-682F-4A5A-8FE8-228F6A7A68E0}"/>
    <cellStyle name="Note 2 3 5 2" xfId="3683" xr:uid="{88FB818F-8F88-44B6-80EF-32F66B5F0949}"/>
    <cellStyle name="Note 2 3 6" xfId="3684" xr:uid="{986D905E-C346-465F-BBFD-42A38EADD3C5}"/>
    <cellStyle name="Note 2 3 6 2" xfId="3685" xr:uid="{C086D658-0086-485A-981A-691ACF08F7BB}"/>
    <cellStyle name="Note 2 3 7" xfId="3686" xr:uid="{38018A50-AC4E-4E78-85FE-9858F390D003}"/>
    <cellStyle name="Note 2 3 7 2" xfId="3687" xr:uid="{9744ED9D-52E2-4C4E-8B8F-C77234133ECF}"/>
    <cellStyle name="Note 2 3 8" xfId="3688" xr:uid="{66CBECFE-83B0-4C68-A0D4-FFC76FD6C640}"/>
    <cellStyle name="Note 2 3 8 2" xfId="3689" xr:uid="{33D98C26-134A-4D52-9952-A2EC3EFF235A}"/>
    <cellStyle name="Note 2 3 9" xfId="3690" xr:uid="{78395454-5592-4D26-A83A-985736CBA75C}"/>
    <cellStyle name="Note 2 3 9 2" xfId="3691" xr:uid="{0E0F6334-D5EF-469E-A49A-18D1AFE8802B}"/>
    <cellStyle name="Note 2 3_T1 ANSP" xfId="3605" xr:uid="{27C3190D-6F60-4234-B63D-05346D63B455}"/>
    <cellStyle name="Note 2 4" xfId="3692" xr:uid="{E47B21E9-7983-43BA-945B-B2A89F23C27B}"/>
    <cellStyle name="Note 2 4 10" xfId="3693" xr:uid="{A3C1EF65-A42B-43B7-90B7-4BB122A907D2}"/>
    <cellStyle name="Note 2 4 10 2" xfId="3694" xr:uid="{FEB6E482-1B44-4C65-9C41-296B2F70DD44}"/>
    <cellStyle name="Note 2 4 11" xfId="3695" xr:uid="{F777D91D-329F-47E2-A523-D9C8FB21AF84}"/>
    <cellStyle name="Note 2 4 11 2" xfId="3696" xr:uid="{2C9403EA-AC27-413E-B420-5223B36225AC}"/>
    <cellStyle name="Note 2 4 12" xfId="3697" xr:uid="{7A5D297F-6F77-4F6C-83C4-78E904B773A2}"/>
    <cellStyle name="Note 2 4 12 2" xfId="3698" xr:uid="{632284B9-107B-4ECD-A9F8-E624DC10BACE}"/>
    <cellStyle name="Note 2 4 13" xfId="3699" xr:uid="{608C7809-62C6-476B-84CD-49A61F72EA89}"/>
    <cellStyle name="Note 2 4 13 2" xfId="3700" xr:uid="{EFFC2AFD-1AEB-4B91-BD37-0678E05D9F10}"/>
    <cellStyle name="Note 2 4 14" xfId="3701" xr:uid="{519AC379-7A1E-49EB-9A92-96B78224B776}"/>
    <cellStyle name="Note 2 4 14 2" xfId="3702" xr:uid="{7A23AF8F-4E41-4285-B9E8-267F173A6D97}"/>
    <cellStyle name="Note 2 4 15" xfId="3703" xr:uid="{4905AF3C-7DDD-42AC-B55A-6ED735F44579}"/>
    <cellStyle name="Note 2 4 15 2" xfId="3704" xr:uid="{B0B80063-89A1-474D-A61E-696C6CB5A32F}"/>
    <cellStyle name="Note 2 4 16" xfId="3705" xr:uid="{CF3CC84F-CDE0-4ED7-9A68-3C9444D549DA}"/>
    <cellStyle name="Note 2 4 16 2" xfId="3706" xr:uid="{23B1BC7A-C9B3-42FB-AF40-B2CFD214D607}"/>
    <cellStyle name="Note 2 4 17" xfId="3707" xr:uid="{68970359-A9CE-4C80-9529-3BFF77548F6F}"/>
    <cellStyle name="Note 2 4 17 2" xfId="3708" xr:uid="{CF06C74E-BAB3-4E89-B4CC-5675B22DE08A}"/>
    <cellStyle name="Note 2 4 2" xfId="3709" xr:uid="{5F9210A0-FAEB-49DB-BB20-BE5AF215B94D}"/>
    <cellStyle name="Note 2 4 2 10" xfId="3710" xr:uid="{CD4C1CDA-2C7E-4A67-B980-A33F921A1699}"/>
    <cellStyle name="Note 2 4 2 10 2" xfId="3711" xr:uid="{ACD335B5-E999-4A93-AF49-63D80065C3E2}"/>
    <cellStyle name="Note 2 4 2 11" xfId="3712" xr:uid="{53521433-1132-436D-8ED7-730F9EEA1B3A}"/>
    <cellStyle name="Note 2 4 2 11 2" xfId="3713" xr:uid="{AC906D5E-0A0B-43B7-A12D-AC3099195BE9}"/>
    <cellStyle name="Note 2 4 2 12" xfId="3714" xr:uid="{F54A46FE-F608-4187-9EBC-2D137CD44E2C}"/>
    <cellStyle name="Note 2 4 2 12 2" xfId="3715" xr:uid="{8CD87189-69A0-4E42-B117-A323F1A9E5FE}"/>
    <cellStyle name="Note 2 4 2 13" xfId="3716" xr:uid="{4ED3957E-5E34-4395-8C57-4E37348F3342}"/>
    <cellStyle name="Note 2 4 2 13 2" xfId="3717" xr:uid="{5683BAA3-2300-403F-9678-EAFB68C31735}"/>
    <cellStyle name="Note 2 4 2 14" xfId="3718" xr:uid="{CABB1AE1-CDD7-454A-8F77-8EC951F51DBA}"/>
    <cellStyle name="Note 2 4 2 14 2" xfId="3719" xr:uid="{8F2694C4-140E-4BB6-BBD0-B41405363BD1}"/>
    <cellStyle name="Note 2 4 2 15" xfId="3720" xr:uid="{165C5F33-872E-42A1-B899-5791B31DF69F}"/>
    <cellStyle name="Note 2 4 2 15 2" xfId="3721" xr:uid="{71D0694F-D128-482E-BEFB-5BA59E58AE71}"/>
    <cellStyle name="Note 2 4 2 2" xfId="3722" xr:uid="{2C6747C8-C47E-489E-9550-7625C575842B}"/>
    <cellStyle name="Note 2 4 2 2 2" xfId="3723" xr:uid="{5DDEB6B9-AF78-411E-8C06-916DF14832E6}"/>
    <cellStyle name="Note 2 4 2 3" xfId="3724" xr:uid="{9EE9544B-67AE-4AB3-8737-BEE851306DD8}"/>
    <cellStyle name="Note 2 4 2 3 2" xfId="3725" xr:uid="{1041E8F4-D6CC-423E-A99B-AC84D650A52E}"/>
    <cellStyle name="Note 2 4 2 4" xfId="3726" xr:uid="{E3F53A1F-B54E-4E9F-AC33-8F45AA368D4A}"/>
    <cellStyle name="Note 2 4 2 4 2" xfId="3727" xr:uid="{E6BE482D-5601-41E4-9CB4-5A7316B77C74}"/>
    <cellStyle name="Note 2 4 2 5" xfId="3728" xr:uid="{B542D19C-C53B-4E9E-B68F-992D108A8C47}"/>
    <cellStyle name="Note 2 4 2 5 2" xfId="3729" xr:uid="{20721B4D-4530-46B8-9E76-761CDD2D55B0}"/>
    <cellStyle name="Note 2 4 2 6" xfId="3730" xr:uid="{2FD50AB5-C93D-4117-96CD-F54B07720736}"/>
    <cellStyle name="Note 2 4 2 6 2" xfId="3731" xr:uid="{5C65B2E2-D56F-41AB-BF43-0E1836221619}"/>
    <cellStyle name="Note 2 4 2 7" xfId="3732" xr:uid="{A9391E86-FC2D-40C9-9C13-AE0FE86F0E36}"/>
    <cellStyle name="Note 2 4 2 7 2" xfId="3733" xr:uid="{FE0F9F81-6DE7-4F61-83BF-3C0715838DEC}"/>
    <cellStyle name="Note 2 4 2 8" xfId="3734" xr:uid="{7B37BCD5-5EE6-43D4-BD90-C135460B31B5}"/>
    <cellStyle name="Note 2 4 2 8 2" xfId="3735" xr:uid="{D8C5DC88-9447-46D3-85A8-66AFB6B1A044}"/>
    <cellStyle name="Note 2 4 2 9" xfId="3736" xr:uid="{8DF8154A-97D7-41DE-9E8D-2EA353ECC36D}"/>
    <cellStyle name="Note 2 4 2 9 2" xfId="3737" xr:uid="{51FF0F57-7558-4E34-851B-EB1DC4E0300B}"/>
    <cellStyle name="Note 2 4 3" xfId="3738" xr:uid="{DB31587F-A733-4E11-89AA-5640DFB52B97}"/>
    <cellStyle name="Note 2 4 3 10" xfId="3739" xr:uid="{6593985A-9DC0-4075-B542-0133107181EE}"/>
    <cellStyle name="Note 2 4 3 10 2" xfId="3740" xr:uid="{69045D3B-12EE-4D93-BA55-96FA44B4A8C5}"/>
    <cellStyle name="Note 2 4 3 11" xfId="3741" xr:uid="{09568389-002B-45BB-9144-3E1882594D29}"/>
    <cellStyle name="Note 2 4 3 11 2" xfId="3742" xr:uid="{4D283858-FCBB-47EF-8B94-DABEF2228AFC}"/>
    <cellStyle name="Note 2 4 3 12" xfId="3743" xr:uid="{2158CF0F-DB2E-475E-9545-EEE7CFAAA6F5}"/>
    <cellStyle name="Note 2 4 3 12 2" xfId="3744" xr:uid="{1125561C-78B3-4EF9-8EF6-F2ACD117666E}"/>
    <cellStyle name="Note 2 4 3 13" xfId="3745" xr:uid="{CBAFD467-7328-45BD-8FE4-C9E347CFFC50}"/>
    <cellStyle name="Note 2 4 3 13 2" xfId="3746" xr:uid="{3D2F7BE0-1268-489D-B290-A00438886ACC}"/>
    <cellStyle name="Note 2 4 3 14" xfId="3747" xr:uid="{C6FA5B4E-EBE1-48BB-8030-32E6305F6424}"/>
    <cellStyle name="Note 2 4 3 14 2" xfId="3748" xr:uid="{CD6DA960-070A-41D8-83BC-B5917E3EB337}"/>
    <cellStyle name="Note 2 4 3 15" xfId="3749" xr:uid="{1C36C2A5-2D1F-4056-B55D-0B1143FF37AA}"/>
    <cellStyle name="Note 2 4 3 15 2" xfId="3750" xr:uid="{A75B1CC0-8832-434D-AFF9-F118304065FC}"/>
    <cellStyle name="Note 2 4 3 2" xfId="3751" xr:uid="{21457221-44D6-4547-B271-6A26B373C9D3}"/>
    <cellStyle name="Note 2 4 3 2 2" xfId="3752" xr:uid="{C23E1860-F027-45D5-BED0-5F3D05E26152}"/>
    <cellStyle name="Note 2 4 3 3" xfId="3753" xr:uid="{F45DF047-D1D0-430F-A2A4-CFA94A0D9CD1}"/>
    <cellStyle name="Note 2 4 3 3 2" xfId="3754" xr:uid="{82B50CC7-9EB8-4847-AEF4-37FDD2A7DC6A}"/>
    <cellStyle name="Note 2 4 3 4" xfId="3755" xr:uid="{85184117-3F69-44ED-95FD-18864A12BB71}"/>
    <cellStyle name="Note 2 4 3 4 2" xfId="3756" xr:uid="{704CF400-CF3A-4B82-8875-0B3A2748838E}"/>
    <cellStyle name="Note 2 4 3 5" xfId="3757" xr:uid="{B8357D70-5D4E-47D1-912A-1ECA21689C28}"/>
    <cellStyle name="Note 2 4 3 5 2" xfId="3758" xr:uid="{15DF030E-EA34-4840-883C-AFFE7F2A5698}"/>
    <cellStyle name="Note 2 4 3 6" xfId="3759" xr:uid="{E3D624C9-41D6-4363-ACC8-CD49F5562A4B}"/>
    <cellStyle name="Note 2 4 3 6 2" xfId="3760" xr:uid="{1AB29336-5CF6-4B02-AC87-327422D6B49B}"/>
    <cellStyle name="Note 2 4 3 7" xfId="3761" xr:uid="{141840C8-D3E4-4A2B-BE25-06966A5A1777}"/>
    <cellStyle name="Note 2 4 3 7 2" xfId="3762" xr:uid="{0E1D7B9D-4086-4EF9-941B-03C764AE53AE}"/>
    <cellStyle name="Note 2 4 3 8" xfId="3763" xr:uid="{69D0AA06-DAD0-40C0-9418-49CBBC90E02B}"/>
    <cellStyle name="Note 2 4 3 8 2" xfId="3764" xr:uid="{8238CC85-159B-470F-AD1E-083576C02A6D}"/>
    <cellStyle name="Note 2 4 3 9" xfId="3765" xr:uid="{CE57C82A-678D-4EF6-802F-A82D196FD76F}"/>
    <cellStyle name="Note 2 4 3 9 2" xfId="3766" xr:uid="{A2BB02E7-BC84-456B-995B-311731805093}"/>
    <cellStyle name="Note 2 4 4" xfId="3767" xr:uid="{3DA25A84-438A-4DCA-A8D1-969D3F517666}"/>
    <cellStyle name="Note 2 4 4 2" xfId="3768" xr:uid="{1A0703A8-64AF-4E92-9C7E-FB4B1BAFBCA1}"/>
    <cellStyle name="Note 2 4 5" xfId="3769" xr:uid="{EFE9CC67-20C4-443B-BD5D-3D15A43280D6}"/>
    <cellStyle name="Note 2 4 5 2" xfId="3770" xr:uid="{8472DF84-D611-4211-A13C-EB3097B0F457}"/>
    <cellStyle name="Note 2 4 6" xfId="3771" xr:uid="{859C6496-C536-4832-93D4-B99EC9909DF4}"/>
    <cellStyle name="Note 2 4 6 2" xfId="3772" xr:uid="{5AFF0E68-F1A8-48E2-8F10-0DB7AF309E16}"/>
    <cellStyle name="Note 2 4 7" xfId="3773" xr:uid="{35742A57-1BCD-4E2A-B01B-3CA339F304F1}"/>
    <cellStyle name="Note 2 4 7 2" xfId="3774" xr:uid="{F5C9B4EE-06C0-4B9D-BA8B-25DF4C94ACDB}"/>
    <cellStyle name="Note 2 4 8" xfId="3775" xr:uid="{80753283-BF5B-4250-99B0-C5D126CE0338}"/>
    <cellStyle name="Note 2 4 8 2" xfId="3776" xr:uid="{BEB6693F-B2CB-4AC8-BCCE-4F2B8EEA03A5}"/>
    <cellStyle name="Note 2 4 9" xfId="3777" xr:uid="{5A89A638-EB90-47BF-9FB8-5DB05B7F3CEF}"/>
    <cellStyle name="Note 2 4 9 2" xfId="3778" xr:uid="{122445DF-B3EE-46C2-B15A-000CAA6F90B8}"/>
    <cellStyle name="Note 2 5" xfId="3779" xr:uid="{DE7F6EAA-0C18-45F3-9918-A43965FC0037}"/>
    <cellStyle name="Note 2 5 2" xfId="3780" xr:uid="{AF389D29-0FBC-4273-9828-F67B7B03EB22}"/>
    <cellStyle name="Note 2 6" xfId="3781" xr:uid="{103C116B-26AB-4889-8D62-D514180E5D69}"/>
    <cellStyle name="Note 2 6 2" xfId="3782" xr:uid="{6D1F208D-2658-4E20-B7B6-56461BFED430}"/>
    <cellStyle name="Note 2 7" xfId="3783" xr:uid="{04EC2178-EDBE-4C29-9E9E-85533BC86EBA}"/>
    <cellStyle name="Note 2 7 2" xfId="3784" xr:uid="{51976875-5A83-4267-BDA9-9002ADC3EEB6}"/>
    <cellStyle name="Note 2 8" xfId="3785" xr:uid="{87C8AC8F-CF47-401F-A706-35B11677FD2A}"/>
    <cellStyle name="Note 2 8 2" xfId="3786" xr:uid="{567E33AB-A9AF-4733-8B9B-ADD19FAF9338}"/>
    <cellStyle name="Note 2 9" xfId="3787" xr:uid="{2462D224-40A4-44B2-B061-CCED9493B59A}"/>
    <cellStyle name="Note 2 9 2" xfId="3788" xr:uid="{5F71D7E4-C6A4-4C40-9E37-5550CF157D43}"/>
    <cellStyle name="Note 2_T1 ANSP" xfId="3498" xr:uid="{71DC316E-014C-4A1D-8185-6187BA4B4EC5}"/>
    <cellStyle name="Note 3" xfId="3789" xr:uid="{B175BD30-C478-4C0C-A5CB-7DB35033AFD9}"/>
    <cellStyle name="Note 3 10" xfId="3790" xr:uid="{E826059E-F04E-485F-AE02-671E89A74B7F}"/>
    <cellStyle name="Note 3 10 2" xfId="3791" xr:uid="{8F4CBD9D-3C61-435F-931A-5E47DE236433}"/>
    <cellStyle name="Note 3 11" xfId="3792" xr:uid="{FC9391B3-EA47-4DB8-9E4B-F465F5CB61F2}"/>
    <cellStyle name="Note 3 11 2" xfId="3793" xr:uid="{6A8F79A6-E36A-47F7-9E49-15A31FCD84A8}"/>
    <cellStyle name="Note 3 12" xfId="3794" xr:uid="{8944AD0A-53ED-4D22-814E-9B0F1AB24767}"/>
    <cellStyle name="Note 3 12 2" xfId="3795" xr:uid="{CC0CBA5F-7C58-4BFF-8C58-946F0EA9DFFA}"/>
    <cellStyle name="Note 3 13" xfId="3796" xr:uid="{3D6CB687-76F9-45C8-8304-3F16F363565A}"/>
    <cellStyle name="Note 3 13 2" xfId="3797" xr:uid="{8FF4DD61-657B-4F87-BF25-3F1874670BD4}"/>
    <cellStyle name="Note 3 14" xfId="3798" xr:uid="{8FA76E6E-9D37-498C-B42D-5012B68AEBDA}"/>
    <cellStyle name="Note 3 14 2" xfId="3799" xr:uid="{62BEB90F-0129-4446-98EE-C4300DCE1AC6}"/>
    <cellStyle name="Note 3 15" xfId="3800" xr:uid="{6B7544DC-8DD6-410D-A26B-2053EA18E23D}"/>
    <cellStyle name="Note 3 15 2" xfId="3801" xr:uid="{E3E27135-7C70-4B2E-9432-1D81426F0EA8}"/>
    <cellStyle name="Note 3 16" xfId="3802" xr:uid="{C6C76A64-3033-469F-ADFD-B591B309912C}"/>
    <cellStyle name="Note 3 16 2" xfId="3803" xr:uid="{FE6E288F-6A80-4CA9-8A91-8F336B2536EE}"/>
    <cellStyle name="Note 3 17" xfId="3804" xr:uid="{4F80C30B-21EF-4A21-A26F-8CEEF83415F5}"/>
    <cellStyle name="Note 3 17 2" xfId="3805" xr:uid="{13F7CDDC-D951-494A-9333-C1EEBC3FC4E0}"/>
    <cellStyle name="Note 3 2" xfId="3806" xr:uid="{6A14F0D4-2822-4E2B-9423-0892DD93FCA9}"/>
    <cellStyle name="Note 3 2 10" xfId="3807" xr:uid="{AD2384EF-65A2-4A47-BDB4-309C64C9AB0D}"/>
    <cellStyle name="Note 3 2 10 2" xfId="3808" xr:uid="{41F42B00-8DB4-4044-9C9B-75EEDCCA2674}"/>
    <cellStyle name="Note 3 2 11" xfId="3809" xr:uid="{97D22FB8-EC9F-4E57-AD74-2FC58A836923}"/>
    <cellStyle name="Note 3 2 11 2" xfId="3810" xr:uid="{3DCEF0B1-A06B-4EEB-A247-5FD03144BB48}"/>
    <cellStyle name="Note 3 2 12" xfId="3811" xr:uid="{0642B8EF-4FD4-43C0-B1DA-C0828DC3C266}"/>
    <cellStyle name="Note 3 2 12 2" xfId="3812" xr:uid="{1F2172AA-6383-4BC4-86B3-AB5EC4051BB2}"/>
    <cellStyle name="Note 3 2 13" xfId="3813" xr:uid="{FB086519-877E-44C6-89B9-E86AE03C4398}"/>
    <cellStyle name="Note 3 2 13 2" xfId="3814" xr:uid="{5611C191-6B65-4D44-ABFC-08D73A1F27A8}"/>
    <cellStyle name="Note 3 2 14" xfId="3815" xr:uid="{3A3FCC5F-9EC4-477D-90DD-33E1C15178C1}"/>
    <cellStyle name="Note 3 2 14 2" xfId="3816" xr:uid="{1D617CA9-1750-40C9-A0E0-52146C006BA8}"/>
    <cellStyle name="Note 3 2 15" xfId="3817" xr:uid="{A12FED49-CDDF-4248-9773-B7F125B8D5AC}"/>
    <cellStyle name="Note 3 2 15 2" xfId="3818" xr:uid="{8FA4188E-09DD-4155-83B1-8960F24F80F3}"/>
    <cellStyle name="Note 3 2 2" xfId="3819" xr:uid="{2B3A6DFB-CF98-4B04-A557-95B15971FE1A}"/>
    <cellStyle name="Note 3 2 2 2" xfId="3820" xr:uid="{ADEAA8C7-01B2-4FA6-A4E2-C8B5A78F9653}"/>
    <cellStyle name="Note 3 2 3" xfId="3821" xr:uid="{EC49CA64-2036-4284-8956-F51357CCB2DD}"/>
    <cellStyle name="Note 3 2 3 2" xfId="3822" xr:uid="{F2CF70F5-143B-47BA-88AF-DB762D8FAB6D}"/>
    <cellStyle name="Note 3 2 4" xfId="3823" xr:uid="{FF0F1974-47A3-4382-9E85-334121272C38}"/>
    <cellStyle name="Note 3 2 4 2" xfId="3824" xr:uid="{E68F3CA3-64DE-47DF-88FF-80AAD24137CB}"/>
    <cellStyle name="Note 3 2 5" xfId="3825" xr:uid="{B6664BF5-FA51-4655-ABDB-FCE4ACDB1F9A}"/>
    <cellStyle name="Note 3 2 5 2" xfId="3826" xr:uid="{B7911C2B-68CB-43F9-9946-63959DB7DF79}"/>
    <cellStyle name="Note 3 2 6" xfId="3827" xr:uid="{6718E47B-C56B-4C36-A1AC-109AECF7D0F4}"/>
    <cellStyle name="Note 3 2 6 2" xfId="3828" xr:uid="{EE8DFB48-2B68-4DF0-A30F-45262BCABCFF}"/>
    <cellStyle name="Note 3 2 7" xfId="3829" xr:uid="{C96B4449-531E-4810-8B90-8F2934722955}"/>
    <cellStyle name="Note 3 2 7 2" xfId="3830" xr:uid="{B7D43651-D578-47BF-B199-175AF6B82610}"/>
    <cellStyle name="Note 3 2 8" xfId="3831" xr:uid="{9B6AD617-FE53-4787-8EA9-46FBC39A48E8}"/>
    <cellStyle name="Note 3 2 8 2" xfId="3832" xr:uid="{E1F0FF26-5B77-4606-9B12-3E224E45FDA7}"/>
    <cellStyle name="Note 3 2 9" xfId="3833" xr:uid="{D887A213-5EFB-49C1-82DD-201929A8B659}"/>
    <cellStyle name="Note 3 2 9 2" xfId="3834" xr:uid="{7BBEBF99-FFA5-4619-A795-546712A71B72}"/>
    <cellStyle name="Note 3 3" xfId="3835" xr:uid="{1AC5613E-C505-4840-8930-CABCCA352454}"/>
    <cellStyle name="Note 3 3 10" xfId="3836" xr:uid="{E7934370-2AEC-4FDC-8CA4-0BDEF8A3C799}"/>
    <cellStyle name="Note 3 3 10 2" xfId="3837" xr:uid="{B86C30DC-1C6F-4CDB-AE0A-DC2AC82A9B5A}"/>
    <cellStyle name="Note 3 3 11" xfId="3838" xr:uid="{61F12BEE-C3CC-4CEC-95A9-0F4AAD318991}"/>
    <cellStyle name="Note 3 3 11 2" xfId="3839" xr:uid="{E084D1B9-AF14-46C9-8E31-BE3708055B24}"/>
    <cellStyle name="Note 3 3 12" xfId="3840" xr:uid="{6DE9288A-D8BF-4EC6-AC2D-9C16A7F3E08D}"/>
    <cellStyle name="Note 3 3 12 2" xfId="3841" xr:uid="{91061BAD-8247-4C94-B806-C2F61EB55551}"/>
    <cellStyle name="Note 3 3 13" xfId="3842" xr:uid="{34833128-8746-4C39-9F9C-2996E45A63D5}"/>
    <cellStyle name="Note 3 3 13 2" xfId="3843" xr:uid="{6E40563D-0936-47CD-9DEE-3592C490BC80}"/>
    <cellStyle name="Note 3 3 14" xfId="3844" xr:uid="{42325B17-FD97-47D3-8C35-369766F042BB}"/>
    <cellStyle name="Note 3 3 14 2" xfId="3845" xr:uid="{BEFECEFC-0A0E-469F-8520-DC6F8D19CDD8}"/>
    <cellStyle name="Note 3 3 15" xfId="3846" xr:uid="{431FF9FC-71D7-4FB0-9311-470FE64CCD1B}"/>
    <cellStyle name="Note 3 3 15 2" xfId="3847" xr:uid="{20A612DE-23C0-4B6C-B92E-62F6D17E95C9}"/>
    <cellStyle name="Note 3 3 2" xfId="3848" xr:uid="{FF1E7AAD-66A5-45B5-81D3-B77A8C1064A6}"/>
    <cellStyle name="Note 3 3 2 2" xfId="3849" xr:uid="{CA9ADFAD-60E4-44CD-8E81-973D1B2AEF73}"/>
    <cellStyle name="Note 3 3 3" xfId="3850" xr:uid="{F36E86AD-A30D-4974-AAAE-B7029379ADE1}"/>
    <cellStyle name="Note 3 3 3 2" xfId="3851" xr:uid="{E2289C48-5F67-4E25-B58D-D590864A029D}"/>
    <cellStyle name="Note 3 3 4" xfId="3852" xr:uid="{9D46241C-9D27-4123-BB12-14B546CDDF7B}"/>
    <cellStyle name="Note 3 3 4 2" xfId="3853" xr:uid="{08AFEFA6-2411-4B88-89B0-771D3AC1B310}"/>
    <cellStyle name="Note 3 3 5" xfId="3854" xr:uid="{78804EDB-AD88-4F42-BCFD-FBBB93EA168A}"/>
    <cellStyle name="Note 3 3 5 2" xfId="3855" xr:uid="{497851F9-F567-4AB2-A93E-BFBC86972F34}"/>
    <cellStyle name="Note 3 3 6" xfId="3856" xr:uid="{4E47EE53-03C3-4E13-9319-4AE3D3BD5D42}"/>
    <cellStyle name="Note 3 3 6 2" xfId="3857" xr:uid="{D5260265-EB75-44C1-A169-4D7F1C2D8F6E}"/>
    <cellStyle name="Note 3 3 7" xfId="3858" xr:uid="{5222AD04-9B10-4E28-8E9A-2DC460C2406E}"/>
    <cellStyle name="Note 3 3 7 2" xfId="3859" xr:uid="{CC16A973-C425-401C-9270-7E00ECD4493D}"/>
    <cellStyle name="Note 3 3 8" xfId="3860" xr:uid="{14C73E9E-56A3-4D95-A898-C9B1DCC31D9F}"/>
    <cellStyle name="Note 3 3 8 2" xfId="3861" xr:uid="{2C2BAEFA-7940-46A1-9712-EDF24B005FBD}"/>
    <cellStyle name="Note 3 3 9" xfId="3862" xr:uid="{62620CBA-37E4-4254-BBD8-84781BEB54A8}"/>
    <cellStyle name="Note 3 3 9 2" xfId="3863" xr:uid="{CA0ED0F4-F466-4ABD-AB68-21980E9C21A2}"/>
    <cellStyle name="Note 3 4" xfId="3864" xr:uid="{3DDE8D2B-968A-4B9D-9900-C9BECE221DB2}"/>
    <cellStyle name="Note 3 4 2" xfId="3865" xr:uid="{B11F2445-1123-48E9-B0E6-4CE0CDEF775E}"/>
    <cellStyle name="Note 3 5" xfId="3866" xr:uid="{4017BE41-9F67-4998-9478-BABFB849CB4A}"/>
    <cellStyle name="Note 3 5 2" xfId="3867" xr:uid="{D2AA378D-6A6F-46FF-AE71-572496BD92A4}"/>
    <cellStyle name="Note 3 6" xfId="3868" xr:uid="{0B035EA3-E5E7-4F03-8AA5-12792A6D823C}"/>
    <cellStyle name="Note 3 6 2" xfId="3869" xr:uid="{F0441DC3-76D8-4A12-A661-5F7085E3F14C}"/>
    <cellStyle name="Note 3 7" xfId="3870" xr:uid="{25556A21-1F6E-47D1-841D-BC44C836634F}"/>
    <cellStyle name="Note 3 7 2" xfId="3871" xr:uid="{7E004CEC-081F-4264-BF7E-E95BD96756A9}"/>
    <cellStyle name="Note 3 8" xfId="3872" xr:uid="{C0C52704-AB70-4618-B9B5-C1E291EE52A6}"/>
    <cellStyle name="Note 3 8 2" xfId="3873" xr:uid="{5C6D003B-FFD9-483F-9B0D-45911AF87A2C}"/>
    <cellStyle name="Note 3 9" xfId="3874" xr:uid="{E86243D2-8AD6-421C-8869-AD8C97634B7F}"/>
    <cellStyle name="Note 3 9 2" xfId="3875" xr:uid="{349E697C-00F6-4121-A905-F0E6BF47402E}"/>
    <cellStyle name="Note 4" xfId="3876" xr:uid="{6EFA47F6-0DA9-4F0D-AAEE-4F636F2CA4F4}"/>
    <cellStyle name="Note 4 10" xfId="3877" xr:uid="{21076D2C-3F7D-423C-94AC-EBA847E1C303}"/>
    <cellStyle name="Note 4 10 2" xfId="3878" xr:uid="{EFF2983B-8FA4-4B93-93C2-5E588364FF5D}"/>
    <cellStyle name="Note 4 11" xfId="3879" xr:uid="{9507FB8D-095A-4BB6-89BC-F19982B4694A}"/>
    <cellStyle name="Note 4 11 2" xfId="3880" xr:uid="{4D971D5D-5A7A-4F07-96B7-C7D8743907DA}"/>
    <cellStyle name="Note 4 12" xfId="3881" xr:uid="{CBBF4499-7337-4AD1-B243-58FD69AA39A9}"/>
    <cellStyle name="Note 4 12 2" xfId="3882" xr:uid="{D654B5FA-F744-4410-9E43-EC38F3965F20}"/>
    <cellStyle name="Note 4 13" xfId="3883" xr:uid="{47E61F12-F4B1-4511-98E1-D6CABC971BE0}"/>
    <cellStyle name="Note 4 13 2" xfId="3884" xr:uid="{265EAA3C-7FB5-4E96-8240-5DB72F0784F1}"/>
    <cellStyle name="Note 4 14" xfId="3885" xr:uid="{3F85AC0B-2227-4875-B112-66B7CC9B843E}"/>
    <cellStyle name="Note 4 14 2" xfId="3886" xr:uid="{0979461B-3E11-439E-928E-49904730614E}"/>
    <cellStyle name="Note 4 15" xfId="3887" xr:uid="{6F2625F8-C9A3-4CFE-947F-1404A4A00AAC}"/>
    <cellStyle name="Note 4 15 2" xfId="3888" xr:uid="{1C20E9F0-721E-4EAB-A0C0-392DCFFB3E7D}"/>
    <cellStyle name="Note 4 16" xfId="3889" xr:uid="{C2279131-9E67-4D8C-B7D0-869C416BA3F6}"/>
    <cellStyle name="Note 4 16 2" xfId="3890" xr:uid="{22D96B55-F712-4DCA-95A6-09386A9E2E7E}"/>
    <cellStyle name="Note 4 17" xfId="3891" xr:uid="{A4569D0A-08B8-4DFE-B882-FCD8D5404335}"/>
    <cellStyle name="Note 4 17 2" xfId="3892" xr:uid="{A5995240-5605-4A30-B51D-52EF08B95FAC}"/>
    <cellStyle name="Note 4 2" xfId="3893" xr:uid="{D11DBC6C-96F9-4F0F-AA1C-122B35403021}"/>
    <cellStyle name="Note 4 2 10" xfId="3894" xr:uid="{D10F2B63-B656-4D4B-B6B0-39B85664FE29}"/>
    <cellStyle name="Note 4 2 10 2" xfId="3895" xr:uid="{0B11812C-A2FF-47F7-96DB-135B6FF5E432}"/>
    <cellStyle name="Note 4 2 11" xfId="3896" xr:uid="{1DEBB328-872D-4B1E-98DD-E9E3ACA8FB7E}"/>
    <cellStyle name="Note 4 2 11 2" xfId="3897" xr:uid="{A93C467C-7296-4FE1-8670-123A55F3A479}"/>
    <cellStyle name="Note 4 2 12" xfId="3898" xr:uid="{B9B3C701-4FA8-4455-B630-154768353881}"/>
    <cellStyle name="Note 4 2 12 2" xfId="3899" xr:uid="{E44C6AA7-3C18-45EA-A203-61C92088FDA4}"/>
    <cellStyle name="Note 4 2 13" xfId="3900" xr:uid="{7A0EC685-2FB6-4D4F-BFF5-EAF8EFC14605}"/>
    <cellStyle name="Note 4 2 13 2" xfId="3901" xr:uid="{D8A31E3E-0955-46A2-898F-05C93E1EB5F1}"/>
    <cellStyle name="Note 4 2 14" xfId="3902" xr:uid="{4A6132E6-E982-4B15-AD00-42AD57CE0CA5}"/>
    <cellStyle name="Note 4 2 14 2" xfId="3903" xr:uid="{3238C8D7-E7F7-4989-B70A-007CB14ACB06}"/>
    <cellStyle name="Note 4 2 15" xfId="3904" xr:uid="{9AE4C7F9-3650-4385-9553-C7372E0A863B}"/>
    <cellStyle name="Note 4 2 15 2" xfId="3905" xr:uid="{1C4865B2-D603-4464-AD9B-47226DE08ED5}"/>
    <cellStyle name="Note 4 2 2" xfId="3906" xr:uid="{D39C2820-45B7-4C11-8EC3-E040413335FF}"/>
    <cellStyle name="Note 4 2 2 2" xfId="3907" xr:uid="{2E8E8742-78D3-4214-BF96-DB8981EBF270}"/>
    <cellStyle name="Note 4 2 3" xfId="3908" xr:uid="{F3382B1B-8E1E-4136-A7A4-5209B35B4098}"/>
    <cellStyle name="Note 4 2 3 2" xfId="3909" xr:uid="{803E1085-0541-4C3C-8DAC-21F4B7A193AC}"/>
    <cellStyle name="Note 4 2 4" xfId="3910" xr:uid="{DE0A6E28-E0E3-415E-86D7-6106B6D3F676}"/>
    <cellStyle name="Note 4 2 4 2" xfId="3911" xr:uid="{FF35135C-5980-48E1-A730-817ED91849D7}"/>
    <cellStyle name="Note 4 2 5" xfId="3912" xr:uid="{9D074BC0-7C2A-486F-825F-E667C5AF62BD}"/>
    <cellStyle name="Note 4 2 5 2" xfId="3913" xr:uid="{BF03857A-67F4-45C4-B28A-3A824334791C}"/>
    <cellStyle name="Note 4 2 6" xfId="3914" xr:uid="{6CA70466-73E1-41A7-92E7-5234927E4C21}"/>
    <cellStyle name="Note 4 2 6 2" xfId="3915" xr:uid="{351ADF6D-098D-4F24-A35D-36C9E4869F67}"/>
    <cellStyle name="Note 4 2 7" xfId="3916" xr:uid="{09343320-F029-4A81-8F6A-A2F19133BCF4}"/>
    <cellStyle name="Note 4 2 7 2" xfId="3917" xr:uid="{0EC41643-7DEA-4F67-92A2-EB514EF99E22}"/>
    <cellStyle name="Note 4 2 8" xfId="3918" xr:uid="{2A46C195-47A8-4F75-A708-2E4D015D0B1A}"/>
    <cellStyle name="Note 4 2 8 2" xfId="3919" xr:uid="{6CFA1C7F-2CA7-43BB-8EBE-C960661A2262}"/>
    <cellStyle name="Note 4 2 9" xfId="3920" xr:uid="{F1CBBC96-40F6-4318-BE99-5C2AB6842191}"/>
    <cellStyle name="Note 4 2 9 2" xfId="3921" xr:uid="{22A8CAA1-3DEF-451E-9894-6A183841999F}"/>
    <cellStyle name="Note 4 3" xfId="3922" xr:uid="{01B73FD8-6EC6-4310-A551-AC47BE49213F}"/>
    <cellStyle name="Note 4 3 10" xfId="3923" xr:uid="{AE071093-8108-464F-93FC-33B509019211}"/>
    <cellStyle name="Note 4 3 10 2" xfId="3924" xr:uid="{7B1267D7-4C7C-4024-AB56-0E528CB0BAD0}"/>
    <cellStyle name="Note 4 3 11" xfId="3925" xr:uid="{2CF18BCF-38F7-4D66-85F5-EA3B4F3D9EE1}"/>
    <cellStyle name="Note 4 3 11 2" xfId="3926" xr:uid="{F5E2F3CC-14D5-49BF-9399-BA71AB5918FE}"/>
    <cellStyle name="Note 4 3 12" xfId="3927" xr:uid="{B9FA6792-98E6-483B-BD46-4E1BDFC7D482}"/>
    <cellStyle name="Note 4 3 12 2" xfId="3928" xr:uid="{F4930C00-29FB-4254-ACE9-934322AE9977}"/>
    <cellStyle name="Note 4 3 13" xfId="3929" xr:uid="{9C30BE58-91B0-4C42-80C5-E2EDF4A69FE8}"/>
    <cellStyle name="Note 4 3 13 2" xfId="3930" xr:uid="{5E42CFA1-0C58-46B4-A589-7B9D4AD985B6}"/>
    <cellStyle name="Note 4 3 14" xfId="3931" xr:uid="{5DF30BB5-76A9-4FD1-9AB5-A7C6F14D777A}"/>
    <cellStyle name="Note 4 3 14 2" xfId="3932" xr:uid="{3AEA002D-A38B-439B-B58D-A0FC019E94DD}"/>
    <cellStyle name="Note 4 3 15" xfId="3933" xr:uid="{66CD6530-C68B-4A9C-8898-21DF65662E5E}"/>
    <cellStyle name="Note 4 3 15 2" xfId="3934" xr:uid="{3A666FF5-2301-4E81-852D-C81A434DBE35}"/>
    <cellStyle name="Note 4 3 2" xfId="3935" xr:uid="{F7DA70DB-9AFC-43FF-89C3-6A626382D648}"/>
    <cellStyle name="Note 4 3 2 2" xfId="3936" xr:uid="{7C5DA31E-4C16-4504-B31A-3A774BFC411B}"/>
    <cellStyle name="Note 4 3 3" xfId="3937" xr:uid="{7E971752-C865-4E19-B2DC-5EA11D811D48}"/>
    <cellStyle name="Note 4 3 3 2" xfId="3938" xr:uid="{10DB700C-751B-428B-8D27-597BD118D8E7}"/>
    <cellStyle name="Note 4 3 4" xfId="3939" xr:uid="{9C46B240-2261-4B6C-A72D-95B8F87E830A}"/>
    <cellStyle name="Note 4 3 4 2" xfId="3940" xr:uid="{83BE2055-5222-4783-B4AB-4AA1C1FC682A}"/>
    <cellStyle name="Note 4 3 5" xfId="3941" xr:uid="{585F152C-D0EE-45C5-933F-D10ED526F88F}"/>
    <cellStyle name="Note 4 3 5 2" xfId="3942" xr:uid="{1607EC4B-F1B4-44FD-95EF-550ADBA0AF7E}"/>
    <cellStyle name="Note 4 3 6" xfId="3943" xr:uid="{76B0E7C6-5209-4BAD-893A-35BD70042A47}"/>
    <cellStyle name="Note 4 3 6 2" xfId="3944" xr:uid="{8FC943E9-C075-4D04-8D4A-F72229194D3A}"/>
    <cellStyle name="Note 4 3 7" xfId="3945" xr:uid="{9052415B-82A2-48BC-B4CB-744F7112E045}"/>
    <cellStyle name="Note 4 3 7 2" xfId="3946" xr:uid="{1618EE5C-03BF-42C0-AA3E-A6CA2912C4B7}"/>
    <cellStyle name="Note 4 3 8" xfId="3947" xr:uid="{F42F7F8A-86AC-459D-8746-F83303763379}"/>
    <cellStyle name="Note 4 3 8 2" xfId="3948" xr:uid="{CDEA1104-39C1-4CDE-ABDE-A5482482B70C}"/>
    <cellStyle name="Note 4 3 9" xfId="3949" xr:uid="{7FEDA485-A283-4515-9950-A3F0D34DCDD9}"/>
    <cellStyle name="Note 4 3 9 2" xfId="3950" xr:uid="{6B4D4EE1-D428-44A4-ADD8-709C293C7839}"/>
    <cellStyle name="Note 4 4" xfId="3951" xr:uid="{C44B9228-44FE-4B94-8563-C24B652F68B1}"/>
    <cellStyle name="Note 4 4 2" xfId="3952" xr:uid="{2C73A545-0308-4DA4-B3D4-730C8CE160A7}"/>
    <cellStyle name="Note 4 5" xfId="3953" xr:uid="{64814AD8-F22B-49E0-B777-D17D004BCCBB}"/>
    <cellStyle name="Note 4 5 2" xfId="3954" xr:uid="{6F463AA0-97E4-4A9E-94D4-358FABDB6177}"/>
    <cellStyle name="Note 4 6" xfId="3955" xr:uid="{5DB36B31-EE60-4828-912E-77A466FAAA02}"/>
    <cellStyle name="Note 4 6 2" xfId="3956" xr:uid="{D06E3B53-C14E-46BC-8ED5-4FA6C8757731}"/>
    <cellStyle name="Note 4 7" xfId="3957" xr:uid="{C34AC9AA-B3B5-4160-BA5B-6EB061535D3E}"/>
    <cellStyle name="Note 4 7 2" xfId="3958" xr:uid="{D0783EA6-39CD-411C-8797-650D09EAC229}"/>
    <cellStyle name="Note 4 8" xfId="3959" xr:uid="{330E3AA1-42D2-464F-97F2-E9D54C8EAA7E}"/>
    <cellStyle name="Note 4 8 2" xfId="3960" xr:uid="{13B5256A-E12C-4AB5-9A74-90178F1484C2}"/>
    <cellStyle name="Note 4 9" xfId="3961" xr:uid="{33D2D549-1F2B-41A0-A1A4-C73FFBACF8DD}"/>
    <cellStyle name="Note 4 9 2" xfId="3962" xr:uid="{3503489A-2844-4386-9A3D-FDD4372C82BB}"/>
    <cellStyle name="Note 5" xfId="3963" xr:uid="{81E6787C-DF70-45DB-968C-56DF8235ED10}"/>
    <cellStyle name="Note 5 10" xfId="3964" xr:uid="{B330C229-A9E4-4D36-BBA2-D60E28ADC525}"/>
    <cellStyle name="Note 5 10 2" xfId="3965" xr:uid="{F999A40E-72CB-464D-A985-FE3AC11D6AD0}"/>
    <cellStyle name="Note 5 11" xfId="3966" xr:uid="{29DACE38-9511-4CAA-B3F4-D6732ECB5D0F}"/>
    <cellStyle name="Note 5 11 2" xfId="3967" xr:uid="{2EA2F95F-2178-42EA-B0D5-EE6E646E88EE}"/>
    <cellStyle name="Note 5 12" xfId="3968" xr:uid="{11CF4B3C-EEF2-4A33-92EA-68DBF3449474}"/>
    <cellStyle name="Note 5 12 2" xfId="3969" xr:uid="{2ADB1097-1DB6-4B65-A275-FE0ACFFA397C}"/>
    <cellStyle name="Note 5 13" xfId="3970" xr:uid="{BB91D0E5-DA69-4037-B954-E5A47C791A81}"/>
    <cellStyle name="Note 5 13 2" xfId="3971" xr:uid="{4152B065-1B05-4C59-8529-E8E78EFA4F8F}"/>
    <cellStyle name="Note 5 14" xfId="3972" xr:uid="{6D6A0713-F76E-4BB1-A8AA-FDF31B945ABE}"/>
    <cellStyle name="Note 5 14 2" xfId="3973" xr:uid="{7461782A-A99B-4E93-8AC3-5AA3D4AEB79E}"/>
    <cellStyle name="Note 5 15" xfId="3974" xr:uid="{A4213AA9-3094-4EC3-BCF3-5BDFAB0E069A}"/>
    <cellStyle name="Note 5 15 2" xfId="3975" xr:uid="{764848D1-10A3-4203-9D1D-B87B108DF8D4}"/>
    <cellStyle name="Note 5 16" xfId="3976" xr:uid="{6C6F1F9B-0BA9-48EC-AD37-DEB3074342D3}"/>
    <cellStyle name="Note 5 16 2" xfId="3977" xr:uid="{9B17987C-D9F8-4FDC-81AF-16462B95691E}"/>
    <cellStyle name="Note 5 17" xfId="3978" xr:uid="{571F442D-6EFC-4B00-A7DD-FEC010C42D67}"/>
    <cellStyle name="Note 5 17 2" xfId="3979" xr:uid="{84E2AE28-7E67-4D3D-B81C-8DB0BDECCC95}"/>
    <cellStyle name="Note 5 2" xfId="3980" xr:uid="{4FB89E59-4C05-4668-9955-AFDC3FF9DFFE}"/>
    <cellStyle name="Note 5 2 10" xfId="3981" xr:uid="{D0CB2100-0592-4929-87B6-ED1062EF1D7C}"/>
    <cellStyle name="Note 5 2 10 2" xfId="3982" xr:uid="{DB98F735-D7F2-4AD9-8338-CA8A00A58CE7}"/>
    <cellStyle name="Note 5 2 11" xfId="3983" xr:uid="{CCE79DC5-51B8-4BE8-A0A0-4FA8DE8F9C0A}"/>
    <cellStyle name="Note 5 2 11 2" xfId="3984" xr:uid="{D7BAE614-DD7A-40C2-A14E-AE88BC2E32CD}"/>
    <cellStyle name="Note 5 2 12" xfId="3985" xr:uid="{73044527-9F41-4B96-90C1-C7ED4947C1E9}"/>
    <cellStyle name="Note 5 2 12 2" xfId="3986" xr:uid="{FCE715FD-9568-4897-ABA1-88273DF432B3}"/>
    <cellStyle name="Note 5 2 13" xfId="3987" xr:uid="{D6A85CFF-ED03-4411-A7D4-6526C6FCDF37}"/>
    <cellStyle name="Note 5 2 13 2" xfId="3988" xr:uid="{65D8BD1C-DAD2-4E18-9711-CAB8F48CAC47}"/>
    <cellStyle name="Note 5 2 14" xfId="3989" xr:uid="{8D682220-6404-49D8-9C65-25DEB984CC02}"/>
    <cellStyle name="Note 5 2 14 2" xfId="3990" xr:uid="{7AAB18E3-7827-49D6-98F4-94BD142E3C2C}"/>
    <cellStyle name="Note 5 2 15" xfId="3991" xr:uid="{BAFD9557-1303-4806-9501-F861ED86D516}"/>
    <cellStyle name="Note 5 2 15 2" xfId="3992" xr:uid="{6AAF59A3-BA69-4DC7-B9C4-E8B4944A8C94}"/>
    <cellStyle name="Note 5 2 2" xfId="3993" xr:uid="{996A1BCC-8110-40DB-A99A-7191A75649C0}"/>
    <cellStyle name="Note 5 2 2 2" xfId="3994" xr:uid="{CBC4355B-58FB-4A49-8EA1-2376A29D6103}"/>
    <cellStyle name="Note 5 2 3" xfId="3995" xr:uid="{754EAC07-909B-42A0-8CB8-4C0464CA2570}"/>
    <cellStyle name="Note 5 2 3 2" xfId="3996" xr:uid="{C1FB78B0-6D67-4930-B47C-0A5FD1920953}"/>
    <cellStyle name="Note 5 2 4" xfId="3997" xr:uid="{FC51BAC5-96B3-45D8-88F6-A1D4817A521F}"/>
    <cellStyle name="Note 5 2 4 2" xfId="3998" xr:uid="{D7560697-139C-43B3-A207-BAC1A5DACD82}"/>
    <cellStyle name="Note 5 2 5" xfId="3999" xr:uid="{12E6DFDD-8623-42DA-B227-8FF399223A8B}"/>
    <cellStyle name="Note 5 2 5 2" xfId="4000" xr:uid="{B75C8DD0-335A-40F7-99F2-BAB0165FBBC4}"/>
    <cellStyle name="Note 5 2 6" xfId="4001" xr:uid="{B934698A-E25C-4A8E-B422-351383B62BB4}"/>
    <cellStyle name="Note 5 2 6 2" xfId="4002" xr:uid="{CB00FBB6-279B-4F14-AFA7-FCF811BE3CE7}"/>
    <cellStyle name="Note 5 2 7" xfId="4003" xr:uid="{A21CE357-0D7C-43A8-B2D3-4FD580E72C10}"/>
    <cellStyle name="Note 5 2 7 2" xfId="4004" xr:uid="{D84C32CA-A09F-4823-9920-EF4C7AF2094F}"/>
    <cellStyle name="Note 5 2 8" xfId="4005" xr:uid="{3F6A859A-C5A1-4A96-A0D4-38AD993222B8}"/>
    <cellStyle name="Note 5 2 8 2" xfId="4006" xr:uid="{1968EE23-CC1A-4330-A2A4-C8587617916A}"/>
    <cellStyle name="Note 5 2 9" xfId="4007" xr:uid="{1402F472-0ABB-4925-BFB6-877CCBADF74F}"/>
    <cellStyle name="Note 5 2 9 2" xfId="4008" xr:uid="{89941D70-7D77-4083-9028-788647CB4188}"/>
    <cellStyle name="Note 5 3" xfId="4009" xr:uid="{A4825367-761E-491A-86D5-536E731FA797}"/>
    <cellStyle name="Note 5 3 10" xfId="4010" xr:uid="{3E609EC6-3827-4C76-9D70-734D443DBE30}"/>
    <cellStyle name="Note 5 3 10 2" xfId="4011" xr:uid="{D8AF66FD-C7B7-45B6-AF4A-CA8DFD266C9C}"/>
    <cellStyle name="Note 5 3 11" xfId="4012" xr:uid="{60C18427-0C2D-44D2-B472-065D0AFC9325}"/>
    <cellStyle name="Note 5 3 11 2" xfId="4013" xr:uid="{2E40D9F9-4FF1-4489-8FFD-8AEEBF37AEDD}"/>
    <cellStyle name="Note 5 3 12" xfId="4014" xr:uid="{487F9D45-FE02-4093-9CDC-DADF97FD870F}"/>
    <cellStyle name="Note 5 3 12 2" xfId="4015" xr:uid="{2E9D1838-6B21-4CE0-BD19-A8CF7AD5C6C0}"/>
    <cellStyle name="Note 5 3 13" xfId="4016" xr:uid="{716A683B-2D44-41B3-9971-84B6A0AB5381}"/>
    <cellStyle name="Note 5 3 13 2" xfId="4017" xr:uid="{756235F8-019B-4DCC-8E5A-5D3596EB1E1F}"/>
    <cellStyle name="Note 5 3 14" xfId="4018" xr:uid="{2979E89D-55E8-4C5E-B9F7-6A9BF228E0C9}"/>
    <cellStyle name="Note 5 3 14 2" xfId="4019" xr:uid="{E7880359-2506-491B-AAA2-DB2829ED37CF}"/>
    <cellStyle name="Note 5 3 15" xfId="4020" xr:uid="{3EFEB207-CF64-4112-A8E4-9E31E2AA9EDE}"/>
    <cellStyle name="Note 5 3 15 2" xfId="4021" xr:uid="{FAD2B2A8-FD71-4F59-B2D6-A51FCC766138}"/>
    <cellStyle name="Note 5 3 2" xfId="4022" xr:uid="{80424EDA-E0E5-4734-87A2-BC93D856B9AE}"/>
    <cellStyle name="Note 5 3 2 2" xfId="4023" xr:uid="{785B9C32-A03A-4727-8F76-8BF42AFDD3DE}"/>
    <cellStyle name="Note 5 3 3" xfId="4024" xr:uid="{DE4A5A8D-9DE4-4541-B511-666CD9D9137D}"/>
    <cellStyle name="Note 5 3 3 2" xfId="4025" xr:uid="{0F1D6B6D-0F22-407C-A435-7ACFDC76DC54}"/>
    <cellStyle name="Note 5 3 4" xfId="4026" xr:uid="{16DEFFD1-C2EC-4D2E-9325-C60312A409E3}"/>
    <cellStyle name="Note 5 3 4 2" xfId="4027" xr:uid="{3A35E5A6-E5D5-4EDF-82EF-164AFAC6D4C1}"/>
    <cellStyle name="Note 5 3 5" xfId="4028" xr:uid="{2914FD7C-E6AD-4ED6-A97A-E6A256689E9C}"/>
    <cellStyle name="Note 5 3 5 2" xfId="4029" xr:uid="{667F9295-63AF-4E98-AF81-50F305E6A62F}"/>
    <cellStyle name="Note 5 3 6" xfId="4030" xr:uid="{1C4EBADA-5B06-4BDB-A2A3-73184C71B52D}"/>
    <cellStyle name="Note 5 3 6 2" xfId="4031" xr:uid="{87E127C8-B795-4835-A96A-88CF6915ABFC}"/>
    <cellStyle name="Note 5 3 7" xfId="4032" xr:uid="{DA35790B-C553-4BF3-B2F8-6DB7E3D1FB47}"/>
    <cellStyle name="Note 5 3 7 2" xfId="4033" xr:uid="{255B815D-BA95-4DCF-B16B-9DB4F90878AF}"/>
    <cellStyle name="Note 5 3 8" xfId="4034" xr:uid="{01EF0A72-A67C-43ED-930B-B2583F48CC68}"/>
    <cellStyle name="Note 5 3 8 2" xfId="4035" xr:uid="{2A555084-315C-4279-94A0-0CBABA3BA233}"/>
    <cellStyle name="Note 5 3 9" xfId="4036" xr:uid="{1B0E078E-66D0-4945-BE59-637E1BC04B1D}"/>
    <cellStyle name="Note 5 3 9 2" xfId="4037" xr:uid="{EDBC1559-B1B1-4F7F-907E-6EF298D1CB9B}"/>
    <cellStyle name="Note 5 4" xfId="4038" xr:uid="{9AE29AB1-D50D-4DAE-A530-C2933D8C8E7C}"/>
    <cellStyle name="Note 5 4 2" xfId="4039" xr:uid="{C2C841EB-1060-42AA-BAC3-5A0E22B4444D}"/>
    <cellStyle name="Note 5 5" xfId="4040" xr:uid="{4C9CF94D-44B9-4D12-8586-0FAAF09EF953}"/>
    <cellStyle name="Note 5 5 2" xfId="4041" xr:uid="{48EC3E3D-903E-45E2-ADA4-658696AEB132}"/>
    <cellStyle name="Note 5 6" xfId="4042" xr:uid="{6729AC91-0A90-4BF0-829E-CE1C5FA212E3}"/>
    <cellStyle name="Note 5 6 2" xfId="4043" xr:uid="{1E689E21-5692-44DC-B393-8A745AB3E1AF}"/>
    <cellStyle name="Note 5 7" xfId="4044" xr:uid="{57147A23-96F9-42D1-8F15-344C07C44635}"/>
    <cellStyle name="Note 5 7 2" xfId="4045" xr:uid="{E790BA44-F4EF-41B5-A97A-52EC611CB954}"/>
    <cellStyle name="Note 5 8" xfId="4046" xr:uid="{8A477544-A8AB-4638-8113-D493C5054C74}"/>
    <cellStyle name="Note 5 8 2" xfId="4047" xr:uid="{E9E16888-7D4A-4151-A7B8-38C14A56B6CA}"/>
    <cellStyle name="Note 5 9" xfId="4048" xr:uid="{18BDF676-DCED-4C01-93B9-0B86D2ED8C04}"/>
    <cellStyle name="Note 5 9 2" xfId="4049" xr:uid="{457BB01F-1475-4DBF-BD25-98055E077F20}"/>
    <cellStyle name="Note 6" xfId="4050" xr:uid="{F110625D-728F-475E-98F4-E34FCB9A0C69}"/>
    <cellStyle name="Note 6 10" xfId="4051" xr:uid="{8CB91B34-7299-4E7F-9ECE-744A1C7E0B4D}"/>
    <cellStyle name="Note 6 10 2" xfId="4052" xr:uid="{6CDD5E22-9572-4B98-836D-012CE58AD799}"/>
    <cellStyle name="Note 6 11" xfId="4053" xr:uid="{2AB8EE34-93AF-49D3-91D7-32313B26C3B7}"/>
    <cellStyle name="Note 6 11 2" xfId="4054" xr:uid="{F6C98477-5674-4D05-8976-A092EE90B0E6}"/>
    <cellStyle name="Note 6 12" xfId="4055" xr:uid="{1087D99A-6C92-4C99-AB81-4925C4539322}"/>
    <cellStyle name="Note 6 12 2" xfId="4056" xr:uid="{D2DD0D32-6D5E-426F-A43F-6712DEDD8FA7}"/>
    <cellStyle name="Note 6 13" xfId="4057" xr:uid="{A6343BCB-A516-4BB0-A7BA-0248975CA101}"/>
    <cellStyle name="Note 6 13 2" xfId="4058" xr:uid="{EBE325C0-F4AF-4DBD-9071-633E509A749A}"/>
    <cellStyle name="Note 6 14" xfId="4059" xr:uid="{57B12323-1524-49FE-B1BC-E93E903B9C5D}"/>
    <cellStyle name="Note 6 14 2" xfId="4060" xr:uid="{C4B82C65-4957-473E-BA35-C565F6F0386D}"/>
    <cellStyle name="Note 6 15" xfId="4061" xr:uid="{3E87FEF1-08B2-4E70-924C-42ED5168DCB6}"/>
    <cellStyle name="Note 6 15 2" xfId="4062" xr:uid="{9405CF66-83A0-4AEF-96FF-D8B0DA2101B1}"/>
    <cellStyle name="Note 6 16" xfId="4063" xr:uid="{AC3D66D1-9B59-4D97-A3F8-E7149B2837A8}"/>
    <cellStyle name="Note 6 16 2" xfId="4064" xr:uid="{FC44B352-8D86-4926-8388-2F9B72E7699A}"/>
    <cellStyle name="Note 6 17" xfId="4065" xr:uid="{186864E2-3B16-43EA-ACFE-17CE2A65F917}"/>
    <cellStyle name="Note 6 17 2" xfId="4066" xr:uid="{F965B1A3-E1AA-4CD0-90D7-D926408B46F0}"/>
    <cellStyle name="Note 6 2" xfId="4067" xr:uid="{0E5A10D5-DDF0-43D1-B064-F7E19D181BF8}"/>
    <cellStyle name="Note 6 2 10" xfId="4068" xr:uid="{DF98DBA0-D02A-426A-9F96-BB3CFD1FE8F9}"/>
    <cellStyle name="Note 6 2 10 2" xfId="4069" xr:uid="{3042541E-34E8-4012-A1EF-BC11010FCBF9}"/>
    <cellStyle name="Note 6 2 11" xfId="4070" xr:uid="{F8D6BAAA-17D3-4BE9-A998-A0F368F1B846}"/>
    <cellStyle name="Note 6 2 11 2" xfId="4071" xr:uid="{05C38B9E-E25C-4FF0-9FE0-76BDB38AA580}"/>
    <cellStyle name="Note 6 2 12" xfId="4072" xr:uid="{0F58C83E-BBEC-4470-A263-49892E06F7FA}"/>
    <cellStyle name="Note 6 2 12 2" xfId="4073" xr:uid="{A3B70DF7-5FEF-43A4-AE0D-C533A8E72135}"/>
    <cellStyle name="Note 6 2 13" xfId="4074" xr:uid="{FAF2F447-1D80-4BBC-9F2D-95E286634D6A}"/>
    <cellStyle name="Note 6 2 13 2" xfId="4075" xr:uid="{86044EA5-FCF9-488D-9E37-D895556C374B}"/>
    <cellStyle name="Note 6 2 14" xfId="4076" xr:uid="{21468C0D-F118-4DD4-9D4C-6D3CD181F063}"/>
    <cellStyle name="Note 6 2 14 2" xfId="4077" xr:uid="{01D7EEEC-5F20-4943-9856-3E48E7EA58C4}"/>
    <cellStyle name="Note 6 2 15" xfId="4078" xr:uid="{97EDE994-E3E3-4BAB-97B4-368F1E3DDDFA}"/>
    <cellStyle name="Note 6 2 15 2" xfId="4079" xr:uid="{6CE48676-B377-430D-903F-BA804DCCCF3C}"/>
    <cellStyle name="Note 6 2 2" xfId="4080" xr:uid="{2AAD8318-B9BF-4B1F-A826-213B912C6FC0}"/>
    <cellStyle name="Note 6 2 2 2" xfId="4081" xr:uid="{371EF7B8-044E-477B-B5E0-2FC90D1171D9}"/>
    <cellStyle name="Note 6 2 3" xfId="4082" xr:uid="{CD6A4168-93FA-4A54-8240-B889893359A0}"/>
    <cellStyle name="Note 6 2 3 2" xfId="4083" xr:uid="{CC77E9C7-8F02-4A4E-AC62-D3B1BF6F1C05}"/>
    <cellStyle name="Note 6 2 4" xfId="4084" xr:uid="{103E72E0-FADB-47C5-96F8-799C9CDE2FED}"/>
    <cellStyle name="Note 6 2 4 2" xfId="4085" xr:uid="{C94EF0CF-DBEC-49BD-89D7-D2E1E06B98F6}"/>
    <cellStyle name="Note 6 2 5" xfId="4086" xr:uid="{CDAF1892-6E7C-493B-BF27-F41B75396BCA}"/>
    <cellStyle name="Note 6 2 5 2" xfId="4087" xr:uid="{F0FDA6AB-9947-413E-BDD0-3DD333A92D21}"/>
    <cellStyle name="Note 6 2 6" xfId="4088" xr:uid="{EB281952-B1DC-49D0-9A9C-77A132F3217B}"/>
    <cellStyle name="Note 6 2 6 2" xfId="4089" xr:uid="{2C1E55F9-17D4-49A6-BB63-10D2918470FA}"/>
    <cellStyle name="Note 6 2 7" xfId="4090" xr:uid="{97969375-757D-4D79-ADE0-2411AFB5F2A8}"/>
    <cellStyle name="Note 6 2 7 2" xfId="4091" xr:uid="{8BFE1EF0-B9E3-4654-ADC3-EA9C0D3347B7}"/>
    <cellStyle name="Note 6 2 8" xfId="4092" xr:uid="{7816FF24-109A-416E-B9C5-0185703CC5DF}"/>
    <cellStyle name="Note 6 2 8 2" xfId="4093" xr:uid="{F7BB9D61-DA8E-49C5-9E81-281E7D75D591}"/>
    <cellStyle name="Note 6 2 9" xfId="4094" xr:uid="{A1FB26DB-1131-421F-8B18-93795F335F27}"/>
    <cellStyle name="Note 6 2 9 2" xfId="4095" xr:uid="{A61E1F2D-B0E6-4186-84F7-2852B37A1417}"/>
    <cellStyle name="Note 6 3" xfId="4096" xr:uid="{B4960C40-BBA6-44F3-817E-03167D871DEC}"/>
    <cellStyle name="Note 6 3 10" xfId="4097" xr:uid="{CE211B89-DC68-49F8-81FE-0CA69DB5D5AA}"/>
    <cellStyle name="Note 6 3 10 2" xfId="4098" xr:uid="{96A77E45-B8A5-48BF-B16A-91BCE6DF1EDF}"/>
    <cellStyle name="Note 6 3 11" xfId="4099" xr:uid="{0646CC3A-441C-45F4-8A30-3DF5C3CBA4C7}"/>
    <cellStyle name="Note 6 3 11 2" xfId="4100" xr:uid="{7F201954-3684-478C-BA4C-F72F69DBDA3B}"/>
    <cellStyle name="Note 6 3 12" xfId="4101" xr:uid="{0F6ECFB2-072A-4859-B86D-1ED77735ACAF}"/>
    <cellStyle name="Note 6 3 12 2" xfId="4102" xr:uid="{601F38B0-666F-461D-9C3A-2825100882A0}"/>
    <cellStyle name="Note 6 3 13" xfId="4103" xr:uid="{7455EE35-C724-47C8-A699-A59DDF5A18AA}"/>
    <cellStyle name="Note 6 3 13 2" xfId="4104" xr:uid="{2B5F061F-86BD-46D3-A58D-B45541BF0B12}"/>
    <cellStyle name="Note 6 3 14" xfId="4105" xr:uid="{10FD0A6B-3362-47F7-9451-5BBA023CA364}"/>
    <cellStyle name="Note 6 3 14 2" xfId="4106" xr:uid="{A22CD0EA-2DB0-47C2-BAB6-61E2A087D6FF}"/>
    <cellStyle name="Note 6 3 15" xfId="4107" xr:uid="{EC156988-7921-4CD6-A76F-DF4B74A3B206}"/>
    <cellStyle name="Note 6 3 15 2" xfId="4108" xr:uid="{D95A9794-0030-442D-9B54-14144AC105F1}"/>
    <cellStyle name="Note 6 3 2" xfId="4109" xr:uid="{03D5113C-C21F-4C05-B168-A4BF1A38C2D0}"/>
    <cellStyle name="Note 6 3 2 2" xfId="4110" xr:uid="{1F7A7892-DB26-4B28-80F9-EA6E6942C9A2}"/>
    <cellStyle name="Note 6 3 3" xfId="4111" xr:uid="{9033362A-9767-4C38-8C89-C9A278763B51}"/>
    <cellStyle name="Note 6 3 3 2" xfId="4112" xr:uid="{DE712627-38CF-41BC-8491-6413F7138D54}"/>
    <cellStyle name="Note 6 3 4" xfId="4113" xr:uid="{1B3B6F62-FD10-44D9-932B-795E168B47A5}"/>
    <cellStyle name="Note 6 3 4 2" xfId="4114" xr:uid="{1428DF4E-A8B2-47CA-A3C4-B25F0D2D5940}"/>
    <cellStyle name="Note 6 3 5" xfId="4115" xr:uid="{C18388E3-12F0-482A-8E26-AE5026E5FB15}"/>
    <cellStyle name="Note 6 3 5 2" xfId="4116" xr:uid="{C3870211-389E-4915-9CC7-1A7867A6A704}"/>
    <cellStyle name="Note 6 3 6" xfId="4117" xr:uid="{993DC4B6-A2E7-4620-A95B-21EC5F5A7B5D}"/>
    <cellStyle name="Note 6 3 6 2" xfId="4118" xr:uid="{B8514FC7-2797-43C6-91F0-7207EAE85AE2}"/>
    <cellStyle name="Note 6 3 7" xfId="4119" xr:uid="{E07B0F07-C7B5-496C-A4BD-B17969D06D4A}"/>
    <cellStyle name="Note 6 3 7 2" xfId="4120" xr:uid="{6498A24F-1961-43E7-ACB5-BC917C5E2D7F}"/>
    <cellStyle name="Note 6 3 8" xfId="4121" xr:uid="{4904C015-CFD5-425C-9ACC-1F2B708B5218}"/>
    <cellStyle name="Note 6 3 8 2" xfId="4122" xr:uid="{296EB038-BA01-48AD-B5F5-BE2349E7FF67}"/>
    <cellStyle name="Note 6 3 9" xfId="4123" xr:uid="{E60D1515-6AF0-4551-AFCD-844B45A23086}"/>
    <cellStyle name="Note 6 3 9 2" xfId="4124" xr:uid="{939EBF66-DD09-425E-9F5D-38F276E90794}"/>
    <cellStyle name="Note 6 4" xfId="4125" xr:uid="{65635196-F0DD-4891-86CA-94A56BA08DFA}"/>
    <cellStyle name="Note 6 4 2" xfId="4126" xr:uid="{1735F324-2794-410A-B71B-334023EA74A9}"/>
    <cellStyle name="Note 6 5" xfId="4127" xr:uid="{99580BD1-713F-41F3-9445-17C096AF1560}"/>
    <cellStyle name="Note 6 5 2" xfId="4128" xr:uid="{B4C167AD-C428-488A-B9D7-7CF80AB5C25B}"/>
    <cellStyle name="Note 6 6" xfId="4129" xr:uid="{2A483D8E-F3BC-4E08-8FF6-8E94BED5AA63}"/>
    <cellStyle name="Note 6 6 2" xfId="4130" xr:uid="{A609E35B-CF17-43EC-856D-02D33CAA4F8B}"/>
    <cellStyle name="Note 6 7" xfId="4131" xr:uid="{2C0EF098-CBF1-4CF1-AB42-77B345B1E66B}"/>
    <cellStyle name="Note 6 7 2" xfId="4132" xr:uid="{B447D116-884E-4C60-B87D-BEB56BEADB28}"/>
    <cellStyle name="Note 6 8" xfId="4133" xr:uid="{CE1BB36F-9986-4475-A88B-48135819EA20}"/>
    <cellStyle name="Note 6 8 2" xfId="4134" xr:uid="{FBF71E01-EA81-4B52-B664-6C843E5879EB}"/>
    <cellStyle name="Note 6 9" xfId="4135" xr:uid="{44A982B2-3E48-4E59-B909-B2BC46E79831}"/>
    <cellStyle name="Note 6 9 2" xfId="4136" xr:uid="{15473E68-FF30-4D8F-87ED-9B87EFADD21A}"/>
    <cellStyle name="Note 7" xfId="4137" xr:uid="{E6F27D28-BCDD-47CE-92EF-5F3278F840F1}"/>
    <cellStyle name="Note 7 10" xfId="4138" xr:uid="{4803EBF1-83F5-421A-BC71-3DB18160FB65}"/>
    <cellStyle name="Note 7 10 2" xfId="4139" xr:uid="{6692109F-7B38-4116-8EF3-901395CF38B8}"/>
    <cellStyle name="Note 7 11" xfId="4140" xr:uid="{E17DB204-A719-459D-AE3B-3C78DB7F06BA}"/>
    <cellStyle name="Note 7 11 2" xfId="4141" xr:uid="{EC3CB55A-D0FC-418B-9616-98FDC495BAC3}"/>
    <cellStyle name="Note 7 12" xfId="4142" xr:uid="{FDFC0711-68C8-482D-A781-518CD75D99CB}"/>
    <cellStyle name="Note 7 12 2" xfId="4143" xr:uid="{0F3A18D4-B107-40F0-AF13-DE6C5D0B19E1}"/>
    <cellStyle name="Note 7 13" xfId="4144" xr:uid="{D280BFA7-0FC0-471B-AD1A-A5BBFC833C1A}"/>
    <cellStyle name="Note 7 13 2" xfId="4145" xr:uid="{ED39CA5D-143B-41AE-A078-7691194F9611}"/>
    <cellStyle name="Note 7 14" xfId="4146" xr:uid="{3FA5E0A7-76C0-4194-995F-BB900005978A}"/>
    <cellStyle name="Note 7 14 2" xfId="4147" xr:uid="{EC6EFD79-76FE-4D41-8DAB-5898EE18695D}"/>
    <cellStyle name="Note 7 15" xfId="4148" xr:uid="{4E72E906-BA7C-428B-A5DA-7B9649EBBB11}"/>
    <cellStyle name="Note 7 15 2" xfId="4149" xr:uid="{2D3BD8A3-C499-4C02-87B2-124DA54D42FA}"/>
    <cellStyle name="Note 7 2" xfId="4150" xr:uid="{BD086F21-2A2B-40B6-836C-884331799DB8}"/>
    <cellStyle name="Note 7 2 2" xfId="4151" xr:uid="{724A9E0B-FAF8-445E-B50F-0E91CCA086BA}"/>
    <cellStyle name="Note 7 3" xfId="4152" xr:uid="{70344FF3-EF83-4AA4-BE12-E50180C34D2E}"/>
    <cellStyle name="Note 7 3 2" xfId="4153" xr:uid="{1F0A8B45-1059-4F62-BE15-0C03B5884C00}"/>
    <cellStyle name="Note 7 4" xfId="4154" xr:uid="{EC4D4243-C2A9-4451-8FEB-D1FE8A857494}"/>
    <cellStyle name="Note 7 4 2" xfId="4155" xr:uid="{43B89703-AEA2-4CB8-9C67-DB88A3DD7699}"/>
    <cellStyle name="Note 7 5" xfId="4156" xr:uid="{FC80A357-DB4B-4F68-AC69-5DB97C263233}"/>
    <cellStyle name="Note 7 5 2" xfId="4157" xr:uid="{F4C0A683-3A1F-41C0-849C-7598577715A8}"/>
    <cellStyle name="Note 7 6" xfId="4158" xr:uid="{8CDEE780-86B5-4F24-A6A1-403E0A35F175}"/>
    <cellStyle name="Note 7 6 2" xfId="4159" xr:uid="{9BA12200-8422-44F4-AB53-34661940EFF3}"/>
    <cellStyle name="Note 7 7" xfId="4160" xr:uid="{AD40B61B-8EDD-4FF5-947F-9B25DE8135AA}"/>
    <cellStyle name="Note 7 7 2" xfId="4161" xr:uid="{4F9D7F98-067F-45D9-BC85-FD7B7924FAE9}"/>
    <cellStyle name="Note 7 8" xfId="4162" xr:uid="{91EC01DC-3E54-4138-9F3C-CF8415A4659E}"/>
    <cellStyle name="Note 7 8 2" xfId="4163" xr:uid="{51DB9A94-7EA6-41DC-8B74-C969D03E494C}"/>
    <cellStyle name="Note 7 9" xfId="4164" xr:uid="{93941F92-D297-41A4-A16C-8894D31084BB}"/>
    <cellStyle name="Note 7 9 2" xfId="4165" xr:uid="{21FD2894-0000-409E-8207-A1669A87D60B}"/>
    <cellStyle name="Notes" xfId="630" xr:uid="{00000000-0005-0000-0000-0000A7040000}"/>
    <cellStyle name="Notiz" xfId="631" xr:uid="{00000000-0005-0000-0000-0000A8040000}"/>
    <cellStyle name="Number" xfId="632" xr:uid="{00000000-0005-0000-0000-0000A9040000}"/>
    <cellStyle name="Number 1" xfId="633" xr:uid="{00000000-0005-0000-0000-0000AA040000}"/>
    <cellStyle name="Number 2" xfId="4167" xr:uid="{8A3D1382-6D4D-4EA4-89DB-AE3394CDA08E}"/>
    <cellStyle name="Number Date" xfId="634" xr:uid="{00000000-0005-0000-0000-0000AB040000}"/>
    <cellStyle name="Number Date (short)" xfId="635" xr:uid="{00000000-0005-0000-0000-0000AC040000}"/>
    <cellStyle name="Number Date_Green" xfId="636" xr:uid="{00000000-0005-0000-0000-0000AD040000}"/>
    <cellStyle name="Number II" xfId="637" xr:uid="{00000000-0005-0000-0000-0000AE040000}"/>
    <cellStyle name="Number Integer" xfId="638" xr:uid="{00000000-0005-0000-0000-0000AF040000}"/>
    <cellStyle name="number_T1 ANSP" xfId="4166" xr:uid="{247F7C30-34A7-4180-8809-321C72A9B6C8}"/>
    <cellStyle name="Összesen 2" xfId="1220" xr:uid="{00000000-0005-0000-0000-0000B0040000}"/>
    <cellStyle name="Otsikko" xfId="639" xr:uid="{00000000-0005-0000-0000-0000B1040000}"/>
    <cellStyle name="Otsikko 1" xfId="640" xr:uid="{00000000-0005-0000-0000-0000B2040000}"/>
    <cellStyle name="Otsikko 2" xfId="641" xr:uid="{00000000-0005-0000-0000-0000B3040000}"/>
    <cellStyle name="Otsikko 3" xfId="642" xr:uid="{00000000-0005-0000-0000-0000B4040000}"/>
    <cellStyle name="Otsikko 4" xfId="643" xr:uid="{00000000-0005-0000-0000-0000B5040000}"/>
    <cellStyle name="Output %" xfId="4168" xr:uid="{9A3017F3-FAB4-4583-8270-48390FE98BC1}"/>
    <cellStyle name="Output % 2" xfId="4169" xr:uid="{01E529B0-BDD1-4881-929F-AF9AF0A03B52}"/>
    <cellStyle name="Output 10" xfId="4170" xr:uid="{7B1EC429-FEC7-4E1E-803D-06B9D4D079A7}"/>
    <cellStyle name="Output 10 2" xfId="4171" xr:uid="{9A540EC5-A0FC-41B7-903D-3CCC5944A562}"/>
    <cellStyle name="Output 11" xfId="4172" xr:uid="{0EA6754E-EAC5-41C5-A1B4-530125C3DFA9}"/>
    <cellStyle name="Output 11 2" xfId="4173" xr:uid="{9ABB03C1-87C7-4C43-B4F0-D27313A09C11}"/>
    <cellStyle name="Output 12" xfId="4174" xr:uid="{A95E4D16-7817-4558-9CCE-F079921BA8B1}"/>
    <cellStyle name="Output 12 2" xfId="4175" xr:uid="{166DF44A-B9F3-4995-859B-E2DD61D30468}"/>
    <cellStyle name="Output 13" xfId="4176" xr:uid="{07DEF07E-FB7B-4F6D-B71C-297BE31FF781}"/>
    <cellStyle name="Output 13 2" xfId="4177" xr:uid="{4483F47F-1115-43D5-B77D-71F538E54AD3}"/>
    <cellStyle name="Output 14" xfId="4178" xr:uid="{DC55B855-F15D-4649-AD7B-4E397721C0F1}"/>
    <cellStyle name="Output 14 2" xfId="4179" xr:uid="{2C448EA0-D324-4734-8510-C37FF0214EB6}"/>
    <cellStyle name="Output 15" xfId="4180" xr:uid="{16CB0CC7-7358-478C-9F64-CA578B7712FF}"/>
    <cellStyle name="Output 15 2" xfId="4181" xr:uid="{59121281-3ED3-4042-AACA-C1CA4CCA405E}"/>
    <cellStyle name="Output 16" xfId="4182" xr:uid="{60D5FBAC-9FB0-497A-B806-0C80E379E7B6}"/>
    <cellStyle name="Output 16 2" xfId="4183" xr:uid="{A07B98ED-988E-4E93-8E08-AC43466D1668}"/>
    <cellStyle name="Output 17" xfId="4184" xr:uid="{1B69ADDC-4F11-4EB4-8821-D41109D95B61}"/>
    <cellStyle name="Output 17 2" xfId="4185" xr:uid="{B0636C41-04D4-4F27-BE95-A1D9534A1A5F}"/>
    <cellStyle name="Output 18" xfId="4186" xr:uid="{B0002E42-C905-48DA-8957-E8D66F7AF80C}"/>
    <cellStyle name="Output 18 2" xfId="4187" xr:uid="{035F3DBA-6787-4BE4-9A18-58CA9A6762DE}"/>
    <cellStyle name="Output 19" xfId="4188" xr:uid="{1F48BE09-095F-415A-A7EF-C59656806CB2}"/>
    <cellStyle name="Output 19 2" xfId="4189" xr:uid="{19ED725B-7E97-4D52-9518-D569CBAEE315}"/>
    <cellStyle name="Output 2" xfId="644" xr:uid="{00000000-0005-0000-0000-0000B6040000}"/>
    <cellStyle name="Output 2 10" xfId="4191" xr:uid="{481516AE-8522-4F75-B211-088FA97379B8}"/>
    <cellStyle name="Output 2 2" xfId="1502" xr:uid="{00000000-0005-0000-0000-0000B7040000}"/>
    <cellStyle name="Output 2 2 10" xfId="4193" xr:uid="{2E88B9AD-424A-44F6-9750-4FEE5BF08B38}"/>
    <cellStyle name="Output 2 2 10 2" xfId="4194" xr:uid="{C8F23EFC-7087-40D3-AF0E-B23C4BC8A4FF}"/>
    <cellStyle name="Output 2 2 11" xfId="4195" xr:uid="{90DEC5E7-7AC7-40C6-97CE-64B7BA3E5BB2}"/>
    <cellStyle name="Output 2 2 11 2" xfId="4196" xr:uid="{F1C88640-0D2E-412F-ADDA-CD0C32F3B9B3}"/>
    <cellStyle name="Output 2 2 12" xfId="4197" xr:uid="{5D430B80-3C7B-4E47-9E11-04C9C311DB42}"/>
    <cellStyle name="Output 2 2 12 2" xfId="4198" xr:uid="{C0671DAB-A4F3-45DB-B7D5-31D892FE3D37}"/>
    <cellStyle name="Output 2 2 13" xfId="4199" xr:uid="{8F5A674C-669A-4746-8060-D1B03D9C7F91}"/>
    <cellStyle name="Output 2 2 13 2" xfId="4200" xr:uid="{BE798DE2-7D6B-4F4F-8AD5-67DE57494344}"/>
    <cellStyle name="Output 2 2 14" xfId="4201" xr:uid="{45143291-BF5E-4EC3-A74E-090631B7F6BE}"/>
    <cellStyle name="Output 2 2 14 2" xfId="4202" xr:uid="{CF30A167-340D-421D-A97E-321A5D8CD346}"/>
    <cellStyle name="Output 2 2 15" xfId="4203" xr:uid="{363ED69C-A94E-4B6A-B209-C2FD9490EF61}"/>
    <cellStyle name="Output 2 2 15 2" xfId="4204" xr:uid="{973AB4B4-09C1-4CC5-8125-CD1A32B8F2DA}"/>
    <cellStyle name="Output 2 2 16" xfId="4205" xr:uid="{2384FC5F-19B2-4304-AAA8-34A29E561602}"/>
    <cellStyle name="Output 2 2 16 2" xfId="4206" xr:uid="{D5212073-52B0-466E-B8F1-458D7982E4E5}"/>
    <cellStyle name="Output 2 2 17" xfId="4207" xr:uid="{AE9E27DD-E38B-4F3E-8582-BC84C1DB9421}"/>
    <cellStyle name="Output 2 2 17 2" xfId="4208" xr:uid="{1D5EB7B0-4F73-4049-889F-4FC820B3F7C4}"/>
    <cellStyle name="Output 2 2 2" xfId="4209" xr:uid="{8E9714BA-9CC6-4813-B1BE-D8AF01CA3123}"/>
    <cellStyle name="Output 2 2 2 10" xfId="4210" xr:uid="{0BE990CB-C7F9-4E23-BDF2-75A156E469CB}"/>
    <cellStyle name="Output 2 2 2 10 2" xfId="4211" xr:uid="{5CE670C1-7BF4-4136-B5AF-2B3AEB67DF51}"/>
    <cellStyle name="Output 2 2 2 11" xfId="4212" xr:uid="{57AE69E1-FE8D-4F86-8116-F573AA9C0313}"/>
    <cellStyle name="Output 2 2 2 11 2" xfId="4213" xr:uid="{4665A17E-7BD5-43A3-8FBE-0C9C6D194077}"/>
    <cellStyle name="Output 2 2 2 12" xfId="4214" xr:uid="{2379A6D3-27F4-435D-BE93-C8502E046CF7}"/>
    <cellStyle name="Output 2 2 2 12 2" xfId="4215" xr:uid="{3C61B42E-8541-4EF3-BFB1-A8BB20BD1781}"/>
    <cellStyle name="Output 2 2 2 13" xfId="4216" xr:uid="{D1E78219-7ED4-4509-9385-760EB612AA0D}"/>
    <cellStyle name="Output 2 2 2 13 2" xfId="4217" xr:uid="{2BA76253-CF27-4A67-9853-085D268A7A48}"/>
    <cellStyle name="Output 2 2 2 14" xfId="4218" xr:uid="{1177767A-3F39-408A-92F7-E571BB413449}"/>
    <cellStyle name="Output 2 2 2 14 2" xfId="4219" xr:uid="{E449C59B-F852-4CCA-BCEA-6E7D3B840B94}"/>
    <cellStyle name="Output 2 2 2 15" xfId="4220" xr:uid="{B86FAA29-9E12-412B-9E67-53E4C887A2A3}"/>
    <cellStyle name="Output 2 2 2 15 2" xfId="4221" xr:uid="{7C5CCB8D-C468-4732-86B8-090787788BDF}"/>
    <cellStyle name="Output 2 2 2 2" xfId="4222" xr:uid="{9372455E-84B1-4756-B146-82E762A81781}"/>
    <cellStyle name="Output 2 2 2 2 2" xfId="4223" xr:uid="{FCF3DFC3-2D46-434A-8572-25DA71F71B80}"/>
    <cellStyle name="Output 2 2 2 3" xfId="4224" xr:uid="{8D5BD05F-8CCC-425D-86A7-AF54C6B60A9A}"/>
    <cellStyle name="Output 2 2 2 3 2" xfId="4225" xr:uid="{C8FDA94C-C114-408E-B710-3FCB7C0E8FA4}"/>
    <cellStyle name="Output 2 2 2 4" xfId="4226" xr:uid="{62092860-F5FE-4F42-8F3E-4E2B1845BEC9}"/>
    <cellStyle name="Output 2 2 2 4 2" xfId="4227" xr:uid="{CBC50ADE-B22E-4E1B-82D1-017E74C25443}"/>
    <cellStyle name="Output 2 2 2 5" xfId="4228" xr:uid="{948B5F39-13EF-4BE1-98DF-6248604B319E}"/>
    <cellStyle name="Output 2 2 2 5 2" xfId="4229" xr:uid="{DB7A22FF-E4D5-491F-855A-096F624536D5}"/>
    <cellStyle name="Output 2 2 2 6" xfId="4230" xr:uid="{B8B54ACF-8410-4F95-9DC3-9BBDE864A75B}"/>
    <cellStyle name="Output 2 2 2 6 2" xfId="4231" xr:uid="{C4DF4480-35EA-4F67-BAC2-682AAA3215F8}"/>
    <cellStyle name="Output 2 2 2 7" xfId="4232" xr:uid="{502A9FD4-8BA6-4348-AA32-36640AF782C0}"/>
    <cellStyle name="Output 2 2 2 7 2" xfId="4233" xr:uid="{95C30851-FB81-492C-A067-B49AE7AE70B2}"/>
    <cellStyle name="Output 2 2 2 8" xfId="4234" xr:uid="{AEBA90B2-6BE4-4D9A-801D-14B30BDF7025}"/>
    <cellStyle name="Output 2 2 2 8 2" xfId="4235" xr:uid="{38B8EFF4-022A-47DC-8351-D8429C8B99BD}"/>
    <cellStyle name="Output 2 2 2 9" xfId="4236" xr:uid="{455AC1B4-4E71-4D9F-BC27-88D315B259FF}"/>
    <cellStyle name="Output 2 2 2 9 2" xfId="4237" xr:uid="{70DC8F46-BF8D-4A3E-83D2-69CCDD4E055B}"/>
    <cellStyle name="Output 2 2 3" xfId="4238" xr:uid="{13D19312-AFCA-4CE9-9F27-DFB642AF2228}"/>
    <cellStyle name="Output 2 2 3 10" xfId="4239" xr:uid="{D21B1A07-8541-4A58-8B0B-8A6E96CE663F}"/>
    <cellStyle name="Output 2 2 3 10 2" xfId="4240" xr:uid="{B3A65A01-AF4C-4B1E-9CAB-618EB3711F1B}"/>
    <cellStyle name="Output 2 2 3 11" xfId="4241" xr:uid="{05794385-D68F-483F-AE46-70026C27B223}"/>
    <cellStyle name="Output 2 2 3 11 2" xfId="4242" xr:uid="{71F00A84-B757-4A03-A720-4D19C211ED0F}"/>
    <cellStyle name="Output 2 2 3 12" xfId="4243" xr:uid="{8DB0BE71-E967-4F66-AAE2-3B521F8396E1}"/>
    <cellStyle name="Output 2 2 3 12 2" xfId="4244" xr:uid="{ADD22B2A-6D54-458D-8645-EE2EA63653B6}"/>
    <cellStyle name="Output 2 2 3 13" xfId="4245" xr:uid="{CE27C97F-6968-4F2C-B4E7-7F6139F0C50C}"/>
    <cellStyle name="Output 2 2 3 13 2" xfId="4246" xr:uid="{44D0F21F-05C3-4054-9CC7-EAD99B9B1427}"/>
    <cellStyle name="Output 2 2 3 14" xfId="4247" xr:uid="{D7A55DEA-648B-40A6-8B7D-037D3CE13B8D}"/>
    <cellStyle name="Output 2 2 3 14 2" xfId="4248" xr:uid="{07FAB544-A196-4D45-9F78-2A48DFFE5193}"/>
    <cellStyle name="Output 2 2 3 15" xfId="4249" xr:uid="{9E249CE1-1264-4E93-A213-6A4B52815DD2}"/>
    <cellStyle name="Output 2 2 3 15 2" xfId="4250" xr:uid="{A47F3FC1-7673-444E-95B9-6776506A625B}"/>
    <cellStyle name="Output 2 2 3 2" xfId="4251" xr:uid="{8B000144-8AD2-4C3F-A5D3-DD57DC14F78A}"/>
    <cellStyle name="Output 2 2 3 2 2" xfId="4252" xr:uid="{216F457D-DB9A-4234-B038-DDBE78D7BCE0}"/>
    <cellStyle name="Output 2 2 3 3" xfId="4253" xr:uid="{79C57DC8-5D80-4360-8AF6-020550EBFD64}"/>
    <cellStyle name="Output 2 2 3 3 2" xfId="4254" xr:uid="{A12D4C09-2900-4B74-B394-122AB392832C}"/>
    <cellStyle name="Output 2 2 3 4" xfId="4255" xr:uid="{786554CF-B872-44FA-BEA1-4264E9703CF4}"/>
    <cellStyle name="Output 2 2 3 4 2" xfId="4256" xr:uid="{3405AB1F-4A71-46DA-8A0E-B237322ACCD7}"/>
    <cellStyle name="Output 2 2 3 5" xfId="4257" xr:uid="{48D8B50B-A798-47A1-8DA3-86C7DCFEC8D6}"/>
    <cellStyle name="Output 2 2 3 5 2" xfId="4258" xr:uid="{4E6E6C8E-824F-497E-9E43-C825C009BE19}"/>
    <cellStyle name="Output 2 2 3 6" xfId="4259" xr:uid="{6AD445E6-78FA-48D7-A2C9-385508359BC3}"/>
    <cellStyle name="Output 2 2 3 6 2" xfId="4260" xr:uid="{A6CCBD94-806E-4E55-B64A-C82C97ECC5F5}"/>
    <cellStyle name="Output 2 2 3 7" xfId="4261" xr:uid="{56B10EA6-2E33-48BC-B2A4-B38679963FC8}"/>
    <cellStyle name="Output 2 2 3 7 2" xfId="4262" xr:uid="{C905B030-8B55-48F6-AC07-1E87FD365A01}"/>
    <cellStyle name="Output 2 2 3 8" xfId="4263" xr:uid="{C25C3335-8D92-49D5-BE71-B33DB28D38EA}"/>
    <cellStyle name="Output 2 2 3 8 2" xfId="4264" xr:uid="{F4AB7107-487E-48F7-963C-EB2B44060931}"/>
    <cellStyle name="Output 2 2 3 9" xfId="4265" xr:uid="{18289612-F3F8-4123-AD0A-FDFEE1D62B47}"/>
    <cellStyle name="Output 2 2 3 9 2" xfId="4266" xr:uid="{41212311-50F0-4D8E-92BC-7C68BA75D3AF}"/>
    <cellStyle name="Output 2 2 4" xfId="4267" xr:uid="{B807E145-918E-4753-8316-B41D1680FE03}"/>
    <cellStyle name="Output 2 2 4 2" xfId="4268" xr:uid="{01885400-2F81-47BC-82A8-01CE75ADD7D6}"/>
    <cellStyle name="Output 2 2 5" xfId="4269" xr:uid="{0501675C-3025-496D-9E84-D8309E72F7CA}"/>
    <cellStyle name="Output 2 2 5 2" xfId="4270" xr:uid="{CBDB00D9-4C75-49F3-B7C6-5130621771ED}"/>
    <cellStyle name="Output 2 2 6" xfId="4271" xr:uid="{CF4C4788-9AA4-4619-A9A2-F4E82073DBFA}"/>
    <cellStyle name="Output 2 2 6 2" xfId="4272" xr:uid="{86DA2EF2-25C3-4351-8D6D-40D9B64F6857}"/>
    <cellStyle name="Output 2 2 7" xfId="4273" xr:uid="{8DD3DDDF-9E50-4FA3-9908-DCE8A794E158}"/>
    <cellStyle name="Output 2 2 7 2" xfId="4274" xr:uid="{F7DF4DBB-C546-4D28-A375-B2C42953C95E}"/>
    <cellStyle name="Output 2 2 8" xfId="4275" xr:uid="{88129C4E-A610-46C9-9004-613A00B26FAC}"/>
    <cellStyle name="Output 2 2 8 2" xfId="4276" xr:uid="{6B00777D-8599-4A81-B32D-B06C25BC2BCF}"/>
    <cellStyle name="Output 2 2 9" xfId="4277" xr:uid="{68D8AD48-2635-4C61-B5AD-8EC99EEF59DC}"/>
    <cellStyle name="Output 2 2 9 2" xfId="4278" xr:uid="{5E6E8891-D197-4042-96CB-1B27FD1A9C66}"/>
    <cellStyle name="Output 2 2_T1 ANSP" xfId="4192" xr:uid="{0B2AE055-7646-47FC-97FE-0056961EE6B7}"/>
    <cellStyle name="Output 2 3" xfId="1493" xr:uid="{00000000-0005-0000-0000-0000B8040000}"/>
    <cellStyle name="Output 2 3 10" xfId="4280" xr:uid="{73D95789-3B5E-487F-BA93-950C85D111A9}"/>
    <cellStyle name="Output 2 3 10 2" xfId="4281" xr:uid="{14B03B92-F0E7-48C9-81D6-28F82568A856}"/>
    <cellStyle name="Output 2 3 11" xfId="4282" xr:uid="{CB23B462-9D3F-40E2-8BD7-219CB3F26EA6}"/>
    <cellStyle name="Output 2 3 11 2" xfId="4283" xr:uid="{406F2105-3DE6-46F3-968B-C68A1C69490D}"/>
    <cellStyle name="Output 2 3 12" xfId="4284" xr:uid="{7389B39F-FE70-4130-AA56-23BAFFBC2538}"/>
    <cellStyle name="Output 2 3 12 2" xfId="4285" xr:uid="{8FB238E2-3EC1-490E-8F52-076780C2A906}"/>
    <cellStyle name="Output 2 3 13" xfId="4286" xr:uid="{763BE77C-64EF-4010-93AC-F8E268BAA3DA}"/>
    <cellStyle name="Output 2 3 13 2" xfId="4287" xr:uid="{989A93A3-7E1A-4DE8-AB65-A527AEB78B4F}"/>
    <cellStyle name="Output 2 3 14" xfId="4288" xr:uid="{8CA558B8-D7E4-445F-83D4-4A1EFAB57F00}"/>
    <cellStyle name="Output 2 3 14 2" xfId="4289" xr:uid="{C98F10C7-D869-4A59-A36B-4337E7F32656}"/>
    <cellStyle name="Output 2 3 15" xfId="4290" xr:uid="{119198EC-B08C-458D-A49C-40C7C5709344}"/>
    <cellStyle name="Output 2 3 15 2" xfId="4291" xr:uid="{A29C3E39-2D97-45C2-AAAF-3C09571EDE1A}"/>
    <cellStyle name="Output 2 3 16" xfId="4292" xr:uid="{EE39948D-F8C1-4726-9BBA-AE41D4949C6F}"/>
    <cellStyle name="Output 2 3 16 2" xfId="4293" xr:uid="{9677D93B-F5CB-4020-971E-5973A16A8ADE}"/>
    <cellStyle name="Output 2 3 17" xfId="4294" xr:uid="{692071C2-39FF-4296-9C3B-3D56CE5F7B4F}"/>
    <cellStyle name="Output 2 3 17 2" xfId="4295" xr:uid="{BA9F0A3C-C520-4C41-83E2-DEC45CD66A60}"/>
    <cellStyle name="Output 2 3 2" xfId="4296" xr:uid="{44B2B2A1-E91A-4254-9016-6CFFA5185997}"/>
    <cellStyle name="Output 2 3 2 10" xfId="4297" xr:uid="{487F7682-1FCA-44A0-B7C5-124E0E6AB754}"/>
    <cellStyle name="Output 2 3 2 10 2" xfId="4298" xr:uid="{86BFE074-9BFA-46FE-BAFE-D45B5FD973FB}"/>
    <cellStyle name="Output 2 3 2 11" xfId="4299" xr:uid="{E1E55CC3-45F7-4B1F-8B86-175980F45960}"/>
    <cellStyle name="Output 2 3 2 11 2" xfId="4300" xr:uid="{350C8F5E-1BFB-445B-98CC-C099F2C8B46A}"/>
    <cellStyle name="Output 2 3 2 12" xfId="4301" xr:uid="{AD22A69F-185D-4348-A358-5C1504987A93}"/>
    <cellStyle name="Output 2 3 2 12 2" xfId="4302" xr:uid="{3A893969-F0F7-4771-A1E0-7B5570A2E7B8}"/>
    <cellStyle name="Output 2 3 2 13" xfId="4303" xr:uid="{F006A01A-9E98-4349-86D2-C040AB3C031E}"/>
    <cellStyle name="Output 2 3 2 13 2" xfId="4304" xr:uid="{22BD9C31-18F8-45DE-AEFB-7FFA739B1A72}"/>
    <cellStyle name="Output 2 3 2 14" xfId="4305" xr:uid="{BAB4E68C-453C-46EA-95E1-064B8CC611B5}"/>
    <cellStyle name="Output 2 3 2 14 2" xfId="4306" xr:uid="{03831603-A0E9-4091-AE06-0F0C414F1B6F}"/>
    <cellStyle name="Output 2 3 2 15" xfId="4307" xr:uid="{71F69649-0F2C-4747-AE15-5798333A941B}"/>
    <cellStyle name="Output 2 3 2 15 2" xfId="4308" xr:uid="{84295F3C-C03B-4CE5-900F-34206E9C0978}"/>
    <cellStyle name="Output 2 3 2 2" xfId="4309" xr:uid="{B0C0986D-F02F-480D-B9FD-1CE66B435A11}"/>
    <cellStyle name="Output 2 3 2 2 2" xfId="4310" xr:uid="{A33F4184-2D3C-423B-B270-E8E801D7D730}"/>
    <cellStyle name="Output 2 3 2 3" xfId="4311" xr:uid="{115346D3-4D98-45E3-AE09-4B10E606159E}"/>
    <cellStyle name="Output 2 3 2 3 2" xfId="4312" xr:uid="{AA9C71E6-6C66-4B00-B2FB-80ABBB8F51B5}"/>
    <cellStyle name="Output 2 3 2 4" xfId="4313" xr:uid="{14FA4CB4-2878-4033-8442-E62B0AD66BBE}"/>
    <cellStyle name="Output 2 3 2 4 2" xfId="4314" xr:uid="{F278C01C-B97E-4CEA-B7AA-6557D116FC4A}"/>
    <cellStyle name="Output 2 3 2 5" xfId="4315" xr:uid="{34B11A47-7A80-41EE-86CF-5697CCA30475}"/>
    <cellStyle name="Output 2 3 2 5 2" xfId="4316" xr:uid="{A12FA43E-AB36-4AAE-BE0A-12E3BDEC4EA7}"/>
    <cellStyle name="Output 2 3 2 6" xfId="4317" xr:uid="{6A5D875A-41A0-4CE5-8ABD-406A8C59BCCA}"/>
    <cellStyle name="Output 2 3 2 6 2" xfId="4318" xr:uid="{4FF4B23B-7402-42EA-9506-7946F0279BF1}"/>
    <cellStyle name="Output 2 3 2 7" xfId="4319" xr:uid="{9388C54D-F57E-4EC2-99E1-0CF0A88931EE}"/>
    <cellStyle name="Output 2 3 2 7 2" xfId="4320" xr:uid="{05DD9967-F6C1-43D9-B128-1A4CF851F047}"/>
    <cellStyle name="Output 2 3 2 8" xfId="4321" xr:uid="{D10B5C4C-FDD1-4EBE-86EF-241511251F32}"/>
    <cellStyle name="Output 2 3 2 8 2" xfId="4322" xr:uid="{0EB3674D-CEE3-4839-B9C0-6C064A89732C}"/>
    <cellStyle name="Output 2 3 2 9" xfId="4323" xr:uid="{6C7199DE-A8EB-4E8B-A377-6A09E67755A5}"/>
    <cellStyle name="Output 2 3 2 9 2" xfId="4324" xr:uid="{67DA239B-0AE9-4548-BBE3-B3DD1DBA5B72}"/>
    <cellStyle name="Output 2 3 3" xfId="4325" xr:uid="{0E62BF1C-91C5-43B2-898F-7DCA669F418A}"/>
    <cellStyle name="Output 2 3 3 10" xfId="4326" xr:uid="{4A9DD04D-5E86-4A40-B945-BC98B0D67CDB}"/>
    <cellStyle name="Output 2 3 3 10 2" xfId="4327" xr:uid="{0B85EDA9-84C2-4265-9F58-2799A0A29AC0}"/>
    <cellStyle name="Output 2 3 3 11" xfId="4328" xr:uid="{A28D93E2-C08C-4756-9911-7F9565E74B99}"/>
    <cellStyle name="Output 2 3 3 11 2" xfId="4329" xr:uid="{370266D4-1BCF-45F0-B5A9-3C08916C046A}"/>
    <cellStyle name="Output 2 3 3 12" xfId="4330" xr:uid="{53A354BC-A0A8-4A75-A2E2-76060432E922}"/>
    <cellStyle name="Output 2 3 3 12 2" xfId="4331" xr:uid="{0984B819-1BD9-48A6-9C30-7A4EA106A4FF}"/>
    <cellStyle name="Output 2 3 3 13" xfId="4332" xr:uid="{56EF8603-9C63-40F0-99C0-C88F3428ED80}"/>
    <cellStyle name="Output 2 3 3 13 2" xfId="4333" xr:uid="{B61ED068-0C05-4711-B1C5-C915539D2F3C}"/>
    <cellStyle name="Output 2 3 3 14" xfId="4334" xr:uid="{A21911CD-00BB-4A2A-8772-422C99CB063D}"/>
    <cellStyle name="Output 2 3 3 14 2" xfId="4335" xr:uid="{5BE3A179-2CBF-4AF1-AFD3-927E870F03F6}"/>
    <cellStyle name="Output 2 3 3 15" xfId="4336" xr:uid="{AA8E8AFC-24B7-4D87-9244-7F6989C689A0}"/>
    <cellStyle name="Output 2 3 3 15 2" xfId="4337" xr:uid="{36735350-206C-445C-9FFA-81FF7C8D3D6C}"/>
    <cellStyle name="Output 2 3 3 2" xfId="4338" xr:uid="{47B32B7F-26DA-4F69-9953-4E1E1ABC6664}"/>
    <cellStyle name="Output 2 3 3 2 2" xfId="4339" xr:uid="{9665799F-42A1-4C17-A99D-12B1F254754F}"/>
    <cellStyle name="Output 2 3 3 3" xfId="4340" xr:uid="{C0CF1E7C-5866-49FB-91FC-A470E10A0A1D}"/>
    <cellStyle name="Output 2 3 3 3 2" xfId="4341" xr:uid="{4306CBC2-FFDD-44A6-B629-2A0409A76292}"/>
    <cellStyle name="Output 2 3 3 4" xfId="4342" xr:uid="{8D4C2B00-DE1D-4D2A-9320-FBCDEBEDB419}"/>
    <cellStyle name="Output 2 3 3 4 2" xfId="4343" xr:uid="{34370AFE-8205-4E5C-8BB9-36EB020EF067}"/>
    <cellStyle name="Output 2 3 3 5" xfId="4344" xr:uid="{C59FFDA0-D654-4526-B0EE-F948C6E1FB86}"/>
    <cellStyle name="Output 2 3 3 5 2" xfId="4345" xr:uid="{D0EFC571-C641-4261-A156-7F598632A0D2}"/>
    <cellStyle name="Output 2 3 3 6" xfId="4346" xr:uid="{AF903901-3678-43EA-8819-7FDAE2B538C9}"/>
    <cellStyle name="Output 2 3 3 6 2" xfId="4347" xr:uid="{C1B33724-466B-4915-AE07-16B99B9AC04A}"/>
    <cellStyle name="Output 2 3 3 7" xfId="4348" xr:uid="{12BE1864-68AE-4DA2-B60D-94B075F7F0CB}"/>
    <cellStyle name="Output 2 3 3 7 2" xfId="4349" xr:uid="{03BC9117-549B-400E-82B2-C5C137DBE9BE}"/>
    <cellStyle name="Output 2 3 3 8" xfId="4350" xr:uid="{8C5288E2-27A6-46B5-B13A-41CB55A3B0D0}"/>
    <cellStyle name="Output 2 3 3 8 2" xfId="4351" xr:uid="{E3EBE290-FEF3-46CD-ADE5-C7D6FACC7C5B}"/>
    <cellStyle name="Output 2 3 3 9" xfId="4352" xr:uid="{4BB72960-3068-4438-AD19-F7668E27FBA8}"/>
    <cellStyle name="Output 2 3 3 9 2" xfId="4353" xr:uid="{C321D6F9-0BA4-4EEB-A2DC-5ED2639D119C}"/>
    <cellStyle name="Output 2 3 4" xfId="4354" xr:uid="{11FC79DE-C6D5-41BF-9D36-4C4B814ECD92}"/>
    <cellStyle name="Output 2 3 4 2" xfId="4355" xr:uid="{99AC3550-9E8E-4FEE-99FC-FD6B8A2B074C}"/>
    <cellStyle name="Output 2 3 5" xfId="4356" xr:uid="{5D223127-2629-4D48-A4A0-3E04575D4288}"/>
    <cellStyle name="Output 2 3 5 2" xfId="4357" xr:uid="{E7E0BB44-18DB-4EA5-9D0B-980D92D1F49D}"/>
    <cellStyle name="Output 2 3 6" xfId="4358" xr:uid="{4215CE08-AD25-4BE2-A2B1-6C7A4873F08E}"/>
    <cellStyle name="Output 2 3 6 2" xfId="4359" xr:uid="{C464B2DA-386B-4340-AFD5-2EADACDF4896}"/>
    <cellStyle name="Output 2 3 7" xfId="4360" xr:uid="{87A370C3-DB67-4DB0-938E-3ECC3EB34DA5}"/>
    <cellStyle name="Output 2 3 7 2" xfId="4361" xr:uid="{A7328FDF-D306-416D-AAED-2FC052EE6AF4}"/>
    <cellStyle name="Output 2 3 8" xfId="4362" xr:uid="{A8FCBB3A-7889-4A2D-B32F-16ACC8B14348}"/>
    <cellStyle name="Output 2 3 8 2" xfId="4363" xr:uid="{928128A0-2BFC-4F97-90E9-E3351D1006A1}"/>
    <cellStyle name="Output 2 3 9" xfId="4364" xr:uid="{FBF7ACC6-FF91-4B09-8FB3-035367477DE4}"/>
    <cellStyle name="Output 2 3 9 2" xfId="4365" xr:uid="{29E74383-0B36-4069-A2C2-A67AA3255F6F}"/>
    <cellStyle name="Output 2 3_T1 ANSP" xfId="4279" xr:uid="{74D9CD99-D964-4085-BA32-B296866D8D3A}"/>
    <cellStyle name="Output 2 4" xfId="4366" xr:uid="{9B52DE3D-388D-4C42-8985-52C54ABEBEE2}"/>
    <cellStyle name="Output 2 4 2" xfId="4367" xr:uid="{000A576F-8111-4D91-B669-2F68F20102F9}"/>
    <cellStyle name="Output 2 5" xfId="4368" xr:uid="{35878531-1D49-49D2-828B-5D26A1DE7E35}"/>
    <cellStyle name="Output 2 5 2" xfId="4369" xr:uid="{7E86A010-4A20-4983-BB11-F73F8CF5DBE7}"/>
    <cellStyle name="Output 2 6" xfId="4370" xr:uid="{BE49202F-D147-41AA-B025-A31B5421D747}"/>
    <cellStyle name="Output 2 6 2" xfId="4371" xr:uid="{594B4F74-E4DF-4A9A-BD19-C7761EC70DC4}"/>
    <cellStyle name="Output 2 7" xfId="4372" xr:uid="{B9E1CB19-BAA0-4080-96B0-36FFA1D5C164}"/>
    <cellStyle name="Output 2 7 2" xfId="4373" xr:uid="{9A6FD84D-0164-406E-8CAB-253CE4D251AC}"/>
    <cellStyle name="Output 2 8" xfId="4374" xr:uid="{61D77AF3-0C15-433B-A3FA-583EC59E3513}"/>
    <cellStyle name="Output 2 8 2" xfId="4375" xr:uid="{BEDE658F-75B2-45C4-A31A-46709EE600A1}"/>
    <cellStyle name="Output 2 9" xfId="4376" xr:uid="{5CF9C10C-B11F-435F-A807-C91CE7B3C631}"/>
    <cellStyle name="Output 2_T1 ANSP" xfId="4190" xr:uid="{AF7AD419-3200-485B-9500-B7BEE2B66FAE}"/>
    <cellStyle name="Output 20" xfId="4377" xr:uid="{9E38A5CA-AAF1-41D4-89D0-456070BB9008}"/>
    <cellStyle name="Output 20 2" xfId="4378" xr:uid="{5E179BEC-003E-4D0D-B8F5-18235E6C36BF}"/>
    <cellStyle name="Output 21" xfId="4379" xr:uid="{E0BFB378-0DFC-47E3-9AB8-F357EC993D6A}"/>
    <cellStyle name="Output 21 2" xfId="4380" xr:uid="{FD5B057A-3F1F-4078-B38A-973AAFEFF2BB}"/>
    <cellStyle name="Output 22" xfId="4381" xr:uid="{BBB464DD-5C9B-4362-80B1-1556EBF017F9}"/>
    <cellStyle name="Output 22 2" xfId="4382" xr:uid="{EC4CC77C-046D-4287-A5F8-7374118274EE}"/>
    <cellStyle name="Output 23" xfId="4383" xr:uid="{33479D8E-AD0A-42E4-9D1C-180EEAA4816F}"/>
    <cellStyle name="Output 24" xfId="4384" xr:uid="{AC421ED5-4FA4-43B6-A405-E37B00EBF5F4}"/>
    <cellStyle name="Output 3" xfId="4385" xr:uid="{6149A36E-3186-44EB-9572-AC3FDEF88AA3}"/>
    <cellStyle name="Output 3 2" xfId="4386" xr:uid="{9849EDC5-137D-4A64-AB06-16F810C19885}"/>
    <cellStyle name="Output 3 2 10" xfId="4387" xr:uid="{2A259185-923E-4B1D-9CCA-BE9A668D9C90}"/>
    <cellStyle name="Output 3 2 10 2" xfId="4388" xr:uid="{C94FCE52-C335-4B06-83EF-0172B7085A76}"/>
    <cellStyle name="Output 3 2 11" xfId="4389" xr:uid="{33831D7B-C5D3-44BF-A05A-4BBA51428A9D}"/>
    <cellStyle name="Output 3 2 11 2" xfId="4390" xr:uid="{5813A7F3-B426-46F9-A40D-4AC50BE2689E}"/>
    <cellStyle name="Output 3 2 12" xfId="4391" xr:uid="{9D4686E3-D5D5-419B-B453-6FBD0B32B28A}"/>
    <cellStyle name="Output 3 2 12 2" xfId="4392" xr:uid="{109DABD8-D0D8-4D61-84E7-E9C78F922A08}"/>
    <cellStyle name="Output 3 2 13" xfId="4393" xr:uid="{2C4C2ECB-8083-418D-A729-E655E38D146F}"/>
    <cellStyle name="Output 3 2 13 2" xfId="4394" xr:uid="{CBED954F-22A8-486A-BA32-DED01D4BF186}"/>
    <cellStyle name="Output 3 2 14" xfId="4395" xr:uid="{0698BFE1-B7E1-47DA-911C-C0CE9F649EE9}"/>
    <cellStyle name="Output 3 2 14 2" xfId="4396" xr:uid="{8BAEE6D1-BFED-49CD-8455-507FA3A603D9}"/>
    <cellStyle name="Output 3 2 15" xfId="4397" xr:uid="{754E9D8B-047D-417F-8AD7-8991D6823CD0}"/>
    <cellStyle name="Output 3 2 15 2" xfId="4398" xr:uid="{9259ED07-3FCF-41E8-99E7-05991B250678}"/>
    <cellStyle name="Output 3 2 2" xfId="4399" xr:uid="{2DECA02E-69E5-4860-8B32-3B3CFAE2C651}"/>
    <cellStyle name="Output 3 2 2 2" xfId="4400" xr:uid="{04A4D629-5BE7-473D-AFD1-9F405B5B6B45}"/>
    <cellStyle name="Output 3 2 3" xfId="4401" xr:uid="{DF975227-93FC-46D8-8A33-A6CBA7C21F78}"/>
    <cellStyle name="Output 3 2 3 2" xfId="4402" xr:uid="{37DF4062-486A-4551-9A63-AD62C9FF3AA8}"/>
    <cellStyle name="Output 3 2 4" xfId="4403" xr:uid="{16522FC3-A8AD-4511-A859-DD893A7C7E49}"/>
    <cellStyle name="Output 3 2 4 2" xfId="4404" xr:uid="{427552DB-89F7-4DC8-9C3B-DBCD790AEB07}"/>
    <cellStyle name="Output 3 2 5" xfId="4405" xr:uid="{F5A618D8-7358-488E-B0DD-DB214C744A89}"/>
    <cellStyle name="Output 3 2 5 2" xfId="4406" xr:uid="{92D36B3C-45EA-4E8F-8F49-504787B5376B}"/>
    <cellStyle name="Output 3 2 6" xfId="4407" xr:uid="{578142E5-8DBE-4AEE-8591-24262245F091}"/>
    <cellStyle name="Output 3 2 6 2" xfId="4408" xr:uid="{407C92BA-A1B7-46E4-ADF8-B1659466FD1A}"/>
    <cellStyle name="Output 3 2 7" xfId="4409" xr:uid="{9A9E089C-4D56-45E8-A256-B7A64B72CC3B}"/>
    <cellStyle name="Output 3 2 7 2" xfId="4410" xr:uid="{83F1FC86-E0B8-45C1-8120-85D0BCD6EBC1}"/>
    <cellStyle name="Output 3 2 8" xfId="4411" xr:uid="{2CDC6480-0CFE-469D-BA4C-12E4CDD16AF1}"/>
    <cellStyle name="Output 3 2 8 2" xfId="4412" xr:uid="{9C1D4E16-0AB8-4C99-921D-CC9FD13FC59B}"/>
    <cellStyle name="Output 3 2 9" xfId="4413" xr:uid="{3F5D49B8-34B3-4EA3-991E-2FB1D5593355}"/>
    <cellStyle name="Output 3 2 9 2" xfId="4414" xr:uid="{F55A72AB-F695-45F2-83AB-0DF002E94F81}"/>
    <cellStyle name="Output 3 3" xfId="4415" xr:uid="{93F6DBF6-7466-46EC-81B8-DAB1B9B2886D}"/>
    <cellStyle name="Output 3 3 10" xfId="4416" xr:uid="{06622A2E-2F8D-40EA-81EF-85400B97D7B1}"/>
    <cellStyle name="Output 3 3 10 2" xfId="4417" xr:uid="{4D47F7D5-38AB-469E-87A2-7F08FA543FC0}"/>
    <cellStyle name="Output 3 3 11" xfId="4418" xr:uid="{9E22B2CB-2ACE-49C7-AFBD-2DEEB5672C38}"/>
    <cellStyle name="Output 3 3 11 2" xfId="4419" xr:uid="{A940CD9B-DF40-4D01-9549-DCBFD8928BAD}"/>
    <cellStyle name="Output 3 3 12" xfId="4420" xr:uid="{1C16874A-CAE0-4978-A34D-F44556A8E5EF}"/>
    <cellStyle name="Output 3 3 12 2" xfId="4421" xr:uid="{289AEBE9-2600-4872-8380-7518B8AB8E7B}"/>
    <cellStyle name="Output 3 3 13" xfId="4422" xr:uid="{6CF053E6-B09A-435D-8FDC-C75DE19A8B75}"/>
    <cellStyle name="Output 3 3 13 2" xfId="4423" xr:uid="{157F388E-1397-4319-94F4-AAE55A07B883}"/>
    <cellStyle name="Output 3 3 14" xfId="4424" xr:uid="{C6AE2614-E88C-4021-BA15-E9D00C3E047B}"/>
    <cellStyle name="Output 3 3 14 2" xfId="4425" xr:uid="{01E8BA00-DDD8-4F28-8BD8-3EE59BD18C80}"/>
    <cellStyle name="Output 3 3 15" xfId="4426" xr:uid="{B89FEDB4-CFFD-40A6-9D2F-413335F89898}"/>
    <cellStyle name="Output 3 3 15 2" xfId="4427" xr:uid="{041921CC-63B0-4482-824D-BF66C252E2B8}"/>
    <cellStyle name="Output 3 3 2" xfId="4428" xr:uid="{11A96229-4CA6-4D42-A131-50A8466BB0ED}"/>
    <cellStyle name="Output 3 3 2 2" xfId="4429" xr:uid="{F853EB11-F92B-4C3F-ACC2-00B7B70DC89A}"/>
    <cellStyle name="Output 3 3 3" xfId="4430" xr:uid="{D7DB8923-D380-4EDC-8CF5-3D39131EE35D}"/>
    <cellStyle name="Output 3 3 3 2" xfId="4431" xr:uid="{1EE22306-AB2C-437C-A2DB-38A901B7B8FC}"/>
    <cellStyle name="Output 3 3 4" xfId="4432" xr:uid="{10219AF1-1A60-421E-BD5F-7AB36D4FF2B0}"/>
    <cellStyle name="Output 3 3 4 2" xfId="4433" xr:uid="{EE12EDC3-364B-4BDC-964C-492970E3E2E3}"/>
    <cellStyle name="Output 3 3 5" xfId="4434" xr:uid="{FE5421B9-C75F-4AED-9097-28A6B01505B9}"/>
    <cellStyle name="Output 3 3 5 2" xfId="4435" xr:uid="{140DAD41-A151-467E-AB95-18F9D22B1B5A}"/>
    <cellStyle name="Output 3 3 6" xfId="4436" xr:uid="{7E6BA9EA-5C3E-42BE-A158-6CE17D546CB7}"/>
    <cellStyle name="Output 3 3 6 2" xfId="4437" xr:uid="{B6F55199-EAD9-4B47-9C05-88B5B1BD5B74}"/>
    <cellStyle name="Output 3 3 7" xfId="4438" xr:uid="{7185EFAD-A468-4395-BF0C-092511036738}"/>
    <cellStyle name="Output 3 3 7 2" xfId="4439" xr:uid="{E6E47717-5ACD-4BAD-9F58-9C5D9DDA71DE}"/>
    <cellStyle name="Output 3 3 8" xfId="4440" xr:uid="{2446A606-16A7-4B44-A71B-7F4DD35B03EC}"/>
    <cellStyle name="Output 3 3 8 2" xfId="4441" xr:uid="{19EACE37-4D0C-4572-8946-859908F15EF7}"/>
    <cellStyle name="Output 3 3 9" xfId="4442" xr:uid="{169AF992-AE48-40DA-9E6E-B20E1A6E2AF7}"/>
    <cellStyle name="Output 3 3 9 2" xfId="4443" xr:uid="{4EB06F2E-2070-4560-9F4E-27F87FC6D262}"/>
    <cellStyle name="Output 3 4" xfId="4444" xr:uid="{247EC157-354F-4BCB-B23D-620F0D2B7881}"/>
    <cellStyle name="Output 3 4 2" xfId="4445" xr:uid="{83F365DB-B93C-4264-B80B-294D51681A44}"/>
    <cellStyle name="Output 3 5" xfId="4446" xr:uid="{AC6E2D7F-0B28-47A9-8288-D47613374F67}"/>
    <cellStyle name="Output 3 5 2" xfId="4447" xr:uid="{5DE1AA75-224E-40DF-BDB4-19C9F8A114D4}"/>
    <cellStyle name="Output 3 6" xfId="4448" xr:uid="{A7D6260D-0354-4204-BB42-3777FF89D8B7}"/>
    <cellStyle name="Output 3 6 2" xfId="4449" xr:uid="{FD612AAB-7CC6-4476-95D7-1D2128430DF2}"/>
    <cellStyle name="Output 3 7" xfId="4450" xr:uid="{581CC993-E0D4-4DF7-8FD9-3D316A99F75A}"/>
    <cellStyle name="Output 3 7 2" xfId="4451" xr:uid="{1CA2F9BF-F41A-4185-9AF6-525EC1867B64}"/>
    <cellStyle name="Output 3 8" xfId="4452" xr:uid="{2E044DEB-48E2-4C8D-8CE2-E3B72AECF5C0}"/>
    <cellStyle name="Output 3 8 2" xfId="4453" xr:uid="{37E751AC-8161-4A9E-B884-4769CBD1E624}"/>
    <cellStyle name="Output 3 9" xfId="4454" xr:uid="{48582767-3A6D-495B-85B7-18A7A1ED941D}"/>
    <cellStyle name="Output 4" xfId="4455" xr:uid="{103FFA74-BD22-4B59-863F-11CAD47F82D7}"/>
    <cellStyle name="Output 4 2" xfId="4456" xr:uid="{69878282-8685-4252-B122-97FD78FCA927}"/>
    <cellStyle name="Output 4 2 10" xfId="4457" xr:uid="{9480B069-16E5-4190-93DB-5D639B971750}"/>
    <cellStyle name="Output 4 2 10 2" xfId="4458" xr:uid="{35EBF783-3343-4B34-AFD8-BD749C3310B1}"/>
    <cellStyle name="Output 4 2 11" xfId="4459" xr:uid="{2C0DA74E-30D1-45CD-AB5E-68573D0561CF}"/>
    <cellStyle name="Output 4 2 11 2" xfId="4460" xr:uid="{633D3225-F024-4A77-A182-269DE4F473A8}"/>
    <cellStyle name="Output 4 2 12" xfId="4461" xr:uid="{D2DEB5D0-B8B3-4713-B5FC-EA4062DDA5F5}"/>
    <cellStyle name="Output 4 2 12 2" xfId="4462" xr:uid="{02ED7F8B-DCBB-4B53-91C9-1B0485BE5D6F}"/>
    <cellStyle name="Output 4 2 13" xfId="4463" xr:uid="{EE22C222-73B9-4CB2-BEA0-46D72A98C56A}"/>
    <cellStyle name="Output 4 2 13 2" xfId="4464" xr:uid="{29EDBAA3-B84B-42E0-A73E-BC4AA8E43E6D}"/>
    <cellStyle name="Output 4 2 14" xfId="4465" xr:uid="{018FA1F6-602E-4E77-9EC8-20A742FE1CA8}"/>
    <cellStyle name="Output 4 2 14 2" xfId="4466" xr:uid="{A4425B8A-31D9-44A5-A01D-E21C59BB8B67}"/>
    <cellStyle name="Output 4 2 15" xfId="4467" xr:uid="{F3EE12BF-826D-417B-AC81-C067AF9ECF3C}"/>
    <cellStyle name="Output 4 2 15 2" xfId="4468" xr:uid="{78408E10-7E8F-4809-B181-2A8CF8832A32}"/>
    <cellStyle name="Output 4 2 2" xfId="4469" xr:uid="{EFC6AB6D-09A6-4910-9764-0EC78051B07C}"/>
    <cellStyle name="Output 4 2 2 2" xfId="4470" xr:uid="{BE43D0B4-CD81-4E42-9E62-7BA14EF6A12A}"/>
    <cellStyle name="Output 4 2 3" xfId="4471" xr:uid="{DFC52293-975D-47A8-95A5-8A15A1BCB064}"/>
    <cellStyle name="Output 4 2 3 2" xfId="4472" xr:uid="{D4C66244-F0D8-486F-940B-F94995F3851F}"/>
    <cellStyle name="Output 4 2 4" xfId="4473" xr:uid="{2BD51570-7FC6-467A-8D02-99AA478E05E2}"/>
    <cellStyle name="Output 4 2 4 2" xfId="4474" xr:uid="{EFA9A333-D674-4504-920E-CF2B406A31F2}"/>
    <cellStyle name="Output 4 2 5" xfId="4475" xr:uid="{5EF21874-4847-4EC8-AE36-9D26E00956AD}"/>
    <cellStyle name="Output 4 2 5 2" xfId="4476" xr:uid="{EAC438F2-1F60-43C9-9FF4-6EBDC84EC3B6}"/>
    <cellStyle name="Output 4 2 6" xfId="4477" xr:uid="{0F96EC7B-E6C1-4FD2-AD31-1A321E7A367D}"/>
    <cellStyle name="Output 4 2 6 2" xfId="4478" xr:uid="{E01C221D-BEDC-4533-8B31-4E6178965897}"/>
    <cellStyle name="Output 4 2 7" xfId="4479" xr:uid="{0C9BB16A-2AA7-41ED-9766-72E6ABEC78FF}"/>
    <cellStyle name="Output 4 2 7 2" xfId="4480" xr:uid="{333760F7-AEA5-44C6-A2B2-FFE9F0D4C600}"/>
    <cellStyle name="Output 4 2 8" xfId="4481" xr:uid="{9152B002-7ED9-47BC-BD1E-F4EE3273DF5E}"/>
    <cellStyle name="Output 4 2 8 2" xfId="4482" xr:uid="{29991A0F-5ABC-4DBB-8B9F-22718E25CCB9}"/>
    <cellStyle name="Output 4 2 9" xfId="4483" xr:uid="{0F86F504-9CE8-4DD2-9DB7-347DC142B94F}"/>
    <cellStyle name="Output 4 2 9 2" xfId="4484" xr:uid="{5405CA74-308A-4E22-A9FC-4286AA66870A}"/>
    <cellStyle name="Output 4 3" xfId="4485" xr:uid="{7BC988A7-462F-4B9B-ADAF-F905A2BE5F6C}"/>
    <cellStyle name="Output 4 3 10" xfId="4486" xr:uid="{35AB7630-AA3A-4EAB-B1C5-FF9DAA8A2291}"/>
    <cellStyle name="Output 4 3 10 2" xfId="4487" xr:uid="{D318C6C3-47B9-4707-A22A-F9BE4AF63094}"/>
    <cellStyle name="Output 4 3 11" xfId="4488" xr:uid="{07A33941-7C0B-4BC9-9856-9CDD888228A6}"/>
    <cellStyle name="Output 4 3 11 2" xfId="4489" xr:uid="{221DB2C7-D8F7-4ECE-8BD6-911C7D1108BF}"/>
    <cellStyle name="Output 4 3 12" xfId="4490" xr:uid="{578F18D1-6656-4FB1-8C3C-ED414B263D74}"/>
    <cellStyle name="Output 4 3 12 2" xfId="4491" xr:uid="{B25A5F3A-57A3-4A88-96F2-FAE0646805C7}"/>
    <cellStyle name="Output 4 3 13" xfId="4492" xr:uid="{88B284D0-07A6-4E00-AC0E-D13B925CB282}"/>
    <cellStyle name="Output 4 3 13 2" xfId="4493" xr:uid="{030924D4-E49C-4BA3-AC1F-705EEA24DF69}"/>
    <cellStyle name="Output 4 3 14" xfId="4494" xr:uid="{8C5F563B-3392-4EEE-8277-221136A418D7}"/>
    <cellStyle name="Output 4 3 14 2" xfId="4495" xr:uid="{DBC87670-D6A3-4E3A-AE09-CDD1DF79E659}"/>
    <cellStyle name="Output 4 3 15" xfId="4496" xr:uid="{2F0918A3-DE80-4EB7-BE40-279F2BF5068D}"/>
    <cellStyle name="Output 4 3 15 2" xfId="4497" xr:uid="{0961E0B2-7FDA-476F-A128-88AD6FEEC7A4}"/>
    <cellStyle name="Output 4 3 2" xfId="4498" xr:uid="{DE4B6F7C-CA2C-4E40-A466-3E75E784EABE}"/>
    <cellStyle name="Output 4 3 2 2" xfId="4499" xr:uid="{4015710C-85FD-48A1-B940-E3322F7B3DC4}"/>
    <cellStyle name="Output 4 3 3" xfId="4500" xr:uid="{30A9CA4D-567C-47B4-80FF-7E1E0FAAB41F}"/>
    <cellStyle name="Output 4 3 3 2" xfId="4501" xr:uid="{DDFC0DF1-0D44-4B82-9ACF-9908E5C748F7}"/>
    <cellStyle name="Output 4 3 4" xfId="4502" xr:uid="{63EC345D-C6E3-43CC-82B6-90C24237329A}"/>
    <cellStyle name="Output 4 3 4 2" xfId="4503" xr:uid="{D8A312C5-DC0E-4144-80BD-0BE60A2590A0}"/>
    <cellStyle name="Output 4 3 5" xfId="4504" xr:uid="{0DBF188B-96B9-409E-B479-D39748126A98}"/>
    <cellStyle name="Output 4 3 5 2" xfId="4505" xr:uid="{D9F10B0C-877F-42F9-B7D5-2003D25439D4}"/>
    <cellStyle name="Output 4 3 6" xfId="4506" xr:uid="{04B6A2F0-CA44-476E-A414-21AB42412BB9}"/>
    <cellStyle name="Output 4 3 6 2" xfId="4507" xr:uid="{75C5E6DB-AD28-46D6-BB76-758F2B785438}"/>
    <cellStyle name="Output 4 3 7" xfId="4508" xr:uid="{8E860768-BA4F-4BB7-906C-E504175E3BF8}"/>
    <cellStyle name="Output 4 3 7 2" xfId="4509" xr:uid="{DAE17998-3EAB-4672-831D-719BA060D793}"/>
    <cellStyle name="Output 4 3 8" xfId="4510" xr:uid="{349771E5-7B2C-406B-B4FF-8620D8BD0686}"/>
    <cellStyle name="Output 4 3 8 2" xfId="4511" xr:uid="{F7EF4F48-C4DE-4B27-A2D4-D60CC2120107}"/>
    <cellStyle name="Output 4 3 9" xfId="4512" xr:uid="{9B031FA0-9214-4AF5-811F-921FDEDF1868}"/>
    <cellStyle name="Output 4 3 9 2" xfId="4513" xr:uid="{D5DD017E-8B73-437C-A722-B8E348680813}"/>
    <cellStyle name="Output 4 4" xfId="4514" xr:uid="{3A7DC841-0B63-4D05-B5E5-9A8E1868FCE1}"/>
    <cellStyle name="Output 4 4 2" xfId="4515" xr:uid="{E5FD8E17-926C-4FC9-94A2-12678A8C957B}"/>
    <cellStyle name="Output 4 5" xfId="4516" xr:uid="{84E98EB8-F0B0-4E38-970E-26F72D644910}"/>
    <cellStyle name="Output 4 5 2" xfId="4517" xr:uid="{C7554F59-E15A-4C1E-984A-465D75E55016}"/>
    <cellStyle name="Output 4 6" xfId="4518" xr:uid="{56674A3B-C043-4D8F-8745-201FC7814AEA}"/>
    <cellStyle name="Output 4 6 2" xfId="4519" xr:uid="{26A41F97-EC7E-4B01-A4F2-36ADBE30A8D3}"/>
    <cellStyle name="Output 4 7" xfId="4520" xr:uid="{A8B9F1D5-95DF-4CD9-BDF7-00EF99F02884}"/>
    <cellStyle name="Output 4 7 2" xfId="4521" xr:uid="{3F462C9C-9047-46EE-A6D6-B830BEED452B}"/>
    <cellStyle name="Output 4 8" xfId="4522" xr:uid="{EA5C331A-7D2B-4102-B16B-544BAEABC1A6}"/>
    <cellStyle name="Output 4 8 2" xfId="4523" xr:uid="{46DB841E-D47B-4E12-B6AA-015BBDB0A27A}"/>
    <cellStyle name="Output 4 9" xfId="4524" xr:uid="{F08B3BBA-4536-4851-B6BA-E057664E895A}"/>
    <cellStyle name="Output 5" xfId="4525" xr:uid="{BFA91292-78DC-4470-8D74-D2BFC64E0B35}"/>
    <cellStyle name="Output 5 2" xfId="4526" xr:uid="{A560587F-CEE6-43D6-9940-BE068A1945A4}"/>
    <cellStyle name="Output 5 2 2" xfId="4527" xr:uid="{E0FFA476-5E58-4037-A621-EAD4CD585E71}"/>
    <cellStyle name="Output 5 3" xfId="4528" xr:uid="{27A58EA8-2327-4C81-893A-362E344E94FE}"/>
    <cellStyle name="Output 5 3 2" xfId="4529" xr:uid="{1161E1C5-9273-4D69-A2FC-5AFDF18FFD09}"/>
    <cellStyle name="Output 5 4" xfId="4530" xr:uid="{75E9ED2F-DFEF-40A0-A934-7BB4A565E24D}"/>
    <cellStyle name="Output 5 4 2" xfId="4531" xr:uid="{21908D42-778C-436E-BAA5-BE646C6C34BE}"/>
    <cellStyle name="Output 5 5" xfId="4532" xr:uid="{809755D3-EC82-4E57-8487-42C4850FC6D6}"/>
    <cellStyle name="Output 5 5 2" xfId="4533" xr:uid="{C4C47106-37F6-4FFA-942F-25F02F98F96C}"/>
    <cellStyle name="Output 5 6" xfId="4534" xr:uid="{79E2A443-1516-4607-A6C3-290953250614}"/>
    <cellStyle name="Output 5 6 2" xfId="4535" xr:uid="{B2DD0EB2-1ED5-4F67-A33C-AEBE68DF1DF8}"/>
    <cellStyle name="Output 5 7" xfId="4536" xr:uid="{2ECB95B5-499B-4F18-A760-47CC30B193D8}"/>
    <cellStyle name="Output 6" xfId="4537" xr:uid="{2D7E30C9-F934-4F40-8D46-D25DBD2C95FD}"/>
    <cellStyle name="Output 6 2" xfId="4538" xr:uid="{7D6C6582-04E8-421B-8206-059914781F50}"/>
    <cellStyle name="Output 6 2 2" xfId="4539" xr:uid="{DB14D951-DDFF-4575-9FD4-01DD4FA5F183}"/>
    <cellStyle name="Output 6 3" xfId="4540" xr:uid="{4C2D2D89-63EA-46BC-B5E4-C769816A8DDE}"/>
    <cellStyle name="Output 6 3 2" xfId="4541" xr:uid="{2C09467A-824C-4652-957F-76599E9D4EBB}"/>
    <cellStyle name="Output 6 4" xfId="4542" xr:uid="{0E019F6F-71A4-4815-A858-A42371F273B4}"/>
    <cellStyle name="Output 6 4 2" xfId="4543" xr:uid="{3BB63A4D-C165-4F2D-9922-8474B9766236}"/>
    <cellStyle name="Output 6 5" xfId="4544" xr:uid="{2695FCF7-C1B1-4216-B5D0-889BC8617EAF}"/>
    <cellStyle name="Output 6 5 2" xfId="4545" xr:uid="{6DD35674-70AE-4598-9AAA-FE0060382A22}"/>
    <cellStyle name="Output 6 6" xfId="4546" xr:uid="{B8800F2C-94E8-4053-A8FE-0ED89223FFCD}"/>
    <cellStyle name="Output 6 6 2" xfId="4547" xr:uid="{C86BC8A2-5485-4AAA-87D9-4A03EBDE4ECB}"/>
    <cellStyle name="Output 6 7" xfId="4548" xr:uid="{915E4219-FC76-45AB-9AF4-49B2D5B58BA4}"/>
    <cellStyle name="Output 7" xfId="4549" xr:uid="{DEDC4F16-7734-4FF3-A14C-EF460BB15BD9}"/>
    <cellStyle name="Output 7 10" xfId="4550" xr:uid="{2E5C4B86-AB1A-4DA1-82D8-E1BD30F2C82B}"/>
    <cellStyle name="Output 7 10 2" xfId="4551" xr:uid="{AC8E2979-BF9E-4CA2-8B78-794DDB5A9FD8}"/>
    <cellStyle name="Output 7 11" xfId="4552" xr:uid="{2695014B-E6D7-415D-94BA-BF27A9918A86}"/>
    <cellStyle name="Output 7 11 2" xfId="4553" xr:uid="{D22AF83A-92CB-437D-AA3C-4D295DD6F539}"/>
    <cellStyle name="Output 7 12" xfId="4554" xr:uid="{9F2C4B87-BC14-4518-ADFB-BC010367DC3C}"/>
    <cellStyle name="Output 7 12 2" xfId="4555" xr:uid="{A4749D1F-F153-4179-A525-7650248805E5}"/>
    <cellStyle name="Output 7 13" xfId="4556" xr:uid="{77F577CE-E62C-41C7-BA1B-D0B8463AAF4F}"/>
    <cellStyle name="Output 7 13 2" xfId="4557" xr:uid="{44B77459-851F-4023-B6F0-E6F1FA1246D3}"/>
    <cellStyle name="Output 7 14" xfId="4558" xr:uid="{3E14A45C-D17E-4C63-B000-D8709DC5F1DE}"/>
    <cellStyle name="Output 7 14 2" xfId="4559" xr:uid="{549C249A-5140-44F4-BF5B-5EED59E65B06}"/>
    <cellStyle name="Output 7 15" xfId="4560" xr:uid="{846F6989-1C8F-45AD-A1A1-AF261417DFBA}"/>
    <cellStyle name="Output 7 15 2" xfId="4561" xr:uid="{D2431E24-9263-4CA9-9763-6882985B2749}"/>
    <cellStyle name="Output 7 2" xfId="4562" xr:uid="{25A2F0E9-2B50-4E9A-B883-46D401F87115}"/>
    <cellStyle name="Output 7 2 2" xfId="4563" xr:uid="{695D8638-54E7-49E4-9507-1344FC5808CD}"/>
    <cellStyle name="Output 7 3" xfId="4564" xr:uid="{64446B6E-9618-43F1-B9B6-5ACB99A0CC6E}"/>
    <cellStyle name="Output 7 3 2" xfId="4565" xr:uid="{7D26828B-4A18-4702-8DDC-CCAE79627CDC}"/>
    <cellStyle name="Output 7 4" xfId="4566" xr:uid="{2F11577C-3A64-4C4B-BF65-7688E4086EA9}"/>
    <cellStyle name="Output 7 4 2" xfId="4567" xr:uid="{6C58F256-679C-4A13-963D-080802158EBC}"/>
    <cellStyle name="Output 7 5" xfId="4568" xr:uid="{A57A65FD-075E-4285-BEB3-425AEF8C9A43}"/>
    <cellStyle name="Output 7 5 2" xfId="4569" xr:uid="{88E5E940-87BB-4B89-BEAA-AD39A1087E3B}"/>
    <cellStyle name="Output 7 6" xfId="4570" xr:uid="{EB25B381-AD18-4803-BC0B-53273A22D7FE}"/>
    <cellStyle name="Output 7 6 2" xfId="4571" xr:uid="{923FBA92-B82F-48E3-BDDD-986F4143B2B6}"/>
    <cellStyle name="Output 7 7" xfId="4572" xr:uid="{4003D452-8B22-43FA-BF12-A3E0DE1E361E}"/>
    <cellStyle name="Output 7 7 2" xfId="4573" xr:uid="{1931E0A8-08C9-417B-829A-3FC680EAC482}"/>
    <cellStyle name="Output 7 8" xfId="4574" xr:uid="{B22B719A-1E13-4BDF-974F-A5D5AA91378C}"/>
    <cellStyle name="Output 7 8 2" xfId="4575" xr:uid="{AF869F8E-30B3-4F32-A662-6830A5032624}"/>
    <cellStyle name="Output 7 9" xfId="4576" xr:uid="{3EA6C925-47EB-4BB1-AFB4-6A840040940D}"/>
    <cellStyle name="Output 7 9 2" xfId="4577" xr:uid="{42E9DBA3-7C3C-4ED9-AD44-CF4DF1FF1F3C}"/>
    <cellStyle name="Output 8" xfId="4578" xr:uid="{E2994B38-C917-4029-988C-013924A04432}"/>
    <cellStyle name="Output 8 2" xfId="4579" xr:uid="{372CB9F5-30CE-4BA2-AA83-072D3FA7C577}"/>
    <cellStyle name="Output 9" xfId="4580" xr:uid="{96CB49D5-9711-4B64-8BD9-1FD2D7DC7909}"/>
    <cellStyle name="Output 9 2" xfId="4581" xr:uid="{F726C7B7-96B0-412A-817A-C264202B2B94}"/>
    <cellStyle name="Overskrift 1" xfId="645" xr:uid="{00000000-0005-0000-0000-0000B9040000}"/>
    <cellStyle name="Overskrift 2" xfId="646" xr:uid="{00000000-0005-0000-0000-0000BA040000}"/>
    <cellStyle name="Overskrift 3" xfId="647" xr:uid="{00000000-0005-0000-0000-0000BB040000}"/>
    <cellStyle name="Overskrift 4" xfId="648" xr:uid="{00000000-0005-0000-0000-0000BC040000}"/>
    <cellStyle name="Page Heading Large" xfId="4582" xr:uid="{CD612236-457B-46C6-8E25-4C3201D1FB2A}"/>
    <cellStyle name="Page Heading Small" xfId="4583" xr:uid="{8E75715A-463A-474B-A5C2-07D7AF126045}"/>
    <cellStyle name="Page Number" xfId="4584" xr:uid="{95A15AE6-0833-4566-AE03-26321238CC4A}"/>
    <cellStyle name="Paryškinimas 1" xfId="649" xr:uid="{00000000-0005-0000-0000-0000BD040000}"/>
    <cellStyle name="Paryškinimas 2" xfId="650" xr:uid="{00000000-0005-0000-0000-0000BE040000}"/>
    <cellStyle name="Paryškinimas 3" xfId="651" xr:uid="{00000000-0005-0000-0000-0000BF040000}"/>
    <cellStyle name="Paryškinimas 4" xfId="652" xr:uid="{00000000-0005-0000-0000-0000C0040000}"/>
    <cellStyle name="Paryškinimas 5" xfId="653" xr:uid="{00000000-0005-0000-0000-0000C1040000}"/>
    <cellStyle name="Paryškinimas 6" xfId="654" xr:uid="{00000000-0005-0000-0000-0000C2040000}"/>
    <cellStyle name="Pastaba" xfId="655" xr:uid="{00000000-0005-0000-0000-0000C3040000}"/>
    <cellStyle name="Pastaba 2" xfId="1221" xr:uid="{00000000-0005-0000-0000-0000C4040000}"/>
    <cellStyle name="Pastaba 2 2" xfId="1513" xr:uid="{00000000-0005-0000-0000-0000C5040000}"/>
    <cellStyle name="Pastaba 3" xfId="1222" xr:uid="{00000000-0005-0000-0000-0000C6040000}"/>
    <cellStyle name="Pavadinimas" xfId="656" xr:uid="{00000000-0005-0000-0000-0000C7040000}"/>
    <cellStyle name="pb_page_heading_LS" xfId="4585" xr:uid="{3FB18DFF-5A68-4824-A38A-C86E59FF65B2}"/>
    <cellStyle name="Pcent" xfId="4586" xr:uid="{EDDF05D2-582A-488D-9D01-E57FD9DCC9AE}"/>
    <cellStyle name="Pealkiri" xfId="657" xr:uid="{00000000-0005-0000-0000-0000C8040000}"/>
    <cellStyle name="Pealkiri 1" xfId="658" xr:uid="{00000000-0005-0000-0000-0000C9040000}"/>
    <cellStyle name="Pealkiri 1 2" xfId="1223" xr:uid="{00000000-0005-0000-0000-0000CA040000}"/>
    <cellStyle name="Pealkiri 1 3" xfId="1224" xr:uid="{00000000-0005-0000-0000-0000CB040000}"/>
    <cellStyle name="Pealkiri 2" xfId="659" xr:uid="{00000000-0005-0000-0000-0000CC040000}"/>
    <cellStyle name="Pealkiri 2 2" xfId="1225" xr:uid="{00000000-0005-0000-0000-0000CD040000}"/>
    <cellStyle name="Pealkiri 2 3" xfId="1226" xr:uid="{00000000-0005-0000-0000-0000CE040000}"/>
    <cellStyle name="Pealkiri 3" xfId="660" xr:uid="{00000000-0005-0000-0000-0000CF040000}"/>
    <cellStyle name="Pealkiri 3 2" xfId="1227" xr:uid="{00000000-0005-0000-0000-0000D0040000}"/>
    <cellStyle name="Pealkiri 3 3" xfId="1228" xr:uid="{00000000-0005-0000-0000-0000D1040000}"/>
    <cellStyle name="Pealkiri 4" xfId="661" xr:uid="{00000000-0005-0000-0000-0000D2040000}"/>
    <cellStyle name="Pealkiri 4 2" xfId="1229" xr:uid="{00000000-0005-0000-0000-0000D3040000}"/>
    <cellStyle name="Pealkiri 4 3" xfId="1230" xr:uid="{00000000-0005-0000-0000-0000D4040000}"/>
    <cellStyle name="Pealkiri 5" xfId="1231" xr:uid="{00000000-0005-0000-0000-0000D5040000}"/>
    <cellStyle name="Pealkiri 6" xfId="1232" xr:uid="{00000000-0005-0000-0000-0000D6040000}"/>
    <cellStyle name="Percen - Style2" xfId="662" xr:uid="{00000000-0005-0000-0000-0000D7040000}"/>
    <cellStyle name="Percent" xfId="14" builtinId="5"/>
    <cellStyle name="Percent [0%]" xfId="663" xr:uid="{00000000-0005-0000-0000-0000D9040000}"/>
    <cellStyle name="Percent [0.00%]" xfId="664" xr:uid="{00000000-0005-0000-0000-0000DA040000}"/>
    <cellStyle name="Percent 10" xfId="665" xr:uid="{00000000-0005-0000-0000-0000DB040000}"/>
    <cellStyle name="Percent 10 2" xfId="849" xr:uid="{00000000-0005-0000-0000-0000DC040000}"/>
    <cellStyle name="Percent 10 2 2" xfId="4589" xr:uid="{8CBF77CD-532D-4C1F-9717-94C5844CEE4A}"/>
    <cellStyle name="Percent 10 2 3" xfId="4590" xr:uid="{E15283B6-3C8E-4CFB-BEBE-3734D456B0D9}"/>
    <cellStyle name="Percent 10 2_T1 ANSP" xfId="4588" xr:uid="{AA732AE5-E609-47F9-BE58-89365079A44B}"/>
    <cellStyle name="Percent 10 3" xfId="4591" xr:uid="{19EEA3CB-FDA8-4BBB-BADE-162664909F28}"/>
    <cellStyle name="Percent 10 4" xfId="4592" xr:uid="{3AA243A2-B85A-42C1-922B-FDAD489FDE4E}"/>
    <cellStyle name="Percent 10_T1 ANSP" xfId="4587" xr:uid="{BA5BAD77-F0F7-4303-B32A-EB82E252E8D1}"/>
    <cellStyle name="Percent 11" xfId="666" xr:uid="{00000000-0005-0000-0000-0000DD040000}"/>
    <cellStyle name="Percent 11 2" xfId="1066" xr:uid="{00000000-0005-0000-0000-0000DE040000}"/>
    <cellStyle name="Percent 11 3" xfId="4594" xr:uid="{96BBD047-0A2E-4FED-B39F-EFEE39D61730}"/>
    <cellStyle name="Percent 11_T1 ANSP" xfId="4593" xr:uid="{61FBFC57-C19A-4664-9E07-CEBE0F20FA76}"/>
    <cellStyle name="Percent 12" xfId="667" xr:uid="{00000000-0005-0000-0000-0000DF040000}"/>
    <cellStyle name="Percent 12 2" xfId="1067" xr:uid="{00000000-0005-0000-0000-0000E0040000}"/>
    <cellStyle name="Percent 12 3" xfId="1602" xr:uid="{00000000-0005-0000-0000-0000E1040000}"/>
    <cellStyle name="Percent 12_T1 ANSP" xfId="4595" xr:uid="{7AF954EF-71CE-4C22-93C7-8BF5435011C8}"/>
    <cellStyle name="Percent 13" xfId="8" xr:uid="{00000000-0005-0000-0000-0000E2040000}"/>
    <cellStyle name="Percent 13 2" xfId="848" xr:uid="{00000000-0005-0000-0000-0000E3040000}"/>
    <cellStyle name="Percent 13_T1 ANSP" xfId="4596" xr:uid="{AC865254-4723-475E-A614-F197FB6A46D6}"/>
    <cellStyle name="Percent 14" xfId="668" xr:uid="{00000000-0005-0000-0000-0000E4040000}"/>
    <cellStyle name="Percent 14 2" xfId="1068" xr:uid="{00000000-0005-0000-0000-0000E5040000}"/>
    <cellStyle name="Percent 14_T1 ANSP" xfId="4597" xr:uid="{4A0DB26B-210D-4762-9406-02C6B01D18B0}"/>
    <cellStyle name="Percent 15" xfId="669" xr:uid="{00000000-0005-0000-0000-0000E6040000}"/>
    <cellStyle name="Percent 16" xfId="1233" xr:uid="{00000000-0005-0000-0000-0000E7040000}"/>
    <cellStyle name="Percent 17" xfId="1234" xr:uid="{00000000-0005-0000-0000-0000E8040000}"/>
    <cellStyle name="Percent 18" xfId="1235" xr:uid="{00000000-0005-0000-0000-0000E9040000}"/>
    <cellStyle name="Percent 19" xfId="4598" xr:uid="{F15F7FEC-D2FF-4E9E-8FD8-EEDC81364B05}"/>
    <cellStyle name="Percent 2" xfId="670" xr:uid="{00000000-0005-0000-0000-0000EA040000}"/>
    <cellStyle name="Percent 2 2" xfId="671" xr:uid="{00000000-0005-0000-0000-0000EB040000}"/>
    <cellStyle name="Percent 2 2 2" xfId="672" xr:uid="{00000000-0005-0000-0000-0000EC040000}"/>
    <cellStyle name="Percent 2 2 2 2" xfId="13" xr:uid="{00000000-0005-0000-0000-0000ED040000}"/>
    <cellStyle name="Percent 2 2 2 2 2" xfId="673" xr:uid="{00000000-0005-0000-0000-0000EE040000}"/>
    <cellStyle name="Percent 2 2 2 2_T1 ANSP" xfId="4602" xr:uid="{30D10E87-5D5E-42ED-8201-63DA688DC6D5}"/>
    <cellStyle name="Percent 2 2 2_T1 ANSP" xfId="4601" xr:uid="{45E96D45-8DDE-4480-B789-8CB5639D2DF8}"/>
    <cellStyle name="Percent 2 2 3" xfId="1236" xr:uid="{00000000-0005-0000-0000-0000EF040000}"/>
    <cellStyle name="Percent 2 2 4" xfId="4603" xr:uid="{86ECBAED-89B1-4731-9FC2-DFB719BF1E47}"/>
    <cellStyle name="Percent 2 2_T1 ANSP" xfId="4600" xr:uid="{E32005BB-F49B-4534-A7C6-BCAA2B636B64}"/>
    <cellStyle name="Percent 2 3" xfId="674" xr:uid="{00000000-0005-0000-0000-0000F0040000}"/>
    <cellStyle name="Percent 2 3 2" xfId="4605" xr:uid="{2F823306-F615-4C9A-9653-AEE84D37BDBB}"/>
    <cellStyle name="Percent 2 3_T1 ANSP" xfId="4604" xr:uid="{6A363FE8-645F-4C6A-AD9A-CD710C2351D3}"/>
    <cellStyle name="Percent 2 4" xfId="5" xr:uid="{00000000-0005-0000-0000-0000F1040000}"/>
    <cellStyle name="Percent 2 5" xfId="1069" xr:uid="{00000000-0005-0000-0000-0000F2040000}"/>
    <cellStyle name="Percent 2 6" xfId="1286" xr:uid="{00000000-0005-0000-0000-0000F3040000}"/>
    <cellStyle name="Percent 2 7" xfId="4606" xr:uid="{14085272-D417-43DA-A399-714250653499}"/>
    <cellStyle name="Percent 2 8" xfId="4607" xr:uid="{47E55850-C686-43C8-AB8A-AA6A1480FAA2}"/>
    <cellStyle name="Percent 2_T1 ANSP" xfId="4599" xr:uid="{45E3F725-2302-4AF6-9CC0-FB7600E7CC80}"/>
    <cellStyle name="Percent 20" xfId="4608" xr:uid="{E065D57E-3572-4CEE-B7BF-8E17B4991E2A}"/>
    <cellStyle name="Percent 21" xfId="4609" xr:uid="{CB5F3C28-44C8-494D-8398-FDDDD2F1954B}"/>
    <cellStyle name="Percent 22" xfId="4610" xr:uid="{F564E583-D887-40A9-BD92-D80207B1F7A7}"/>
    <cellStyle name="Percent 23" xfId="4611" xr:uid="{7518D8B3-4E1A-46D8-A175-2D750A0C12ED}"/>
    <cellStyle name="Percent 24" xfId="4612" xr:uid="{90A800AF-53CA-4924-843C-58A69D4E60C8}"/>
    <cellStyle name="Percent 25" xfId="4613" xr:uid="{381B3B44-BF71-427E-9110-0ED62DB2F192}"/>
    <cellStyle name="Percent 26" xfId="4614" xr:uid="{55934EB3-7233-47E5-A634-6D89246B4DE7}"/>
    <cellStyle name="Percent 27" xfId="4615" xr:uid="{AB15663D-293B-4A9D-A5FB-C5DDC41F5A32}"/>
    <cellStyle name="Percent 27 2" xfId="4616" xr:uid="{9FC76835-801D-40BF-ADC2-357AC66932F4}"/>
    <cellStyle name="Percent 28" xfId="4617" xr:uid="{2835338A-E87C-47F6-A4D2-A4C48FFF291B}"/>
    <cellStyle name="Percent 29" xfId="4618" xr:uid="{619D65A1-0E13-4B08-9C38-766992D70F11}"/>
    <cellStyle name="Percent 3" xfId="675" xr:uid="{00000000-0005-0000-0000-0000F4040000}"/>
    <cellStyle name="Percent 3 2" xfId="676" xr:uid="{00000000-0005-0000-0000-0000F5040000}"/>
    <cellStyle name="Percent 3 3" xfId="677" xr:uid="{00000000-0005-0000-0000-0000F6040000}"/>
    <cellStyle name="Percent 3 3 2" xfId="1093" xr:uid="{00000000-0005-0000-0000-0000F7040000}"/>
    <cellStyle name="Percent 3 3_T1 ANSP" xfId="4620" xr:uid="{65F0FB0C-B18B-4E36-8816-0B2FA16D51D5}"/>
    <cellStyle name="Percent 3 4" xfId="1451" xr:uid="{00000000-0005-0000-0000-0000F8040000}"/>
    <cellStyle name="Percent 3_T1 ANSP" xfId="4619" xr:uid="{DC4CA613-6BBA-4E12-872C-656302F79788}"/>
    <cellStyle name="Percent 30" xfId="4621" xr:uid="{36E2D994-0D4C-40D1-9428-F643BED118C8}"/>
    <cellStyle name="Percent 31" xfId="4622" xr:uid="{283BEA13-C7A6-469B-BE05-C40895D2A04F}"/>
    <cellStyle name="Percent 32" xfId="4623" xr:uid="{376A8D23-0C1B-446A-85E5-86174A0FB125}"/>
    <cellStyle name="Percent 33" xfId="1237" xr:uid="{00000000-0005-0000-0000-0000F9040000}"/>
    <cellStyle name="Percent 34" xfId="4624" xr:uid="{75303788-0EEA-4F45-AC30-0FF2790684E9}"/>
    <cellStyle name="Percent 35" xfId="4625" xr:uid="{6BB0B760-F02F-4CC9-BABC-CCFEA804692F}"/>
    <cellStyle name="Percent 36" xfId="4626" xr:uid="{E0242F44-67F3-455C-9C51-89149D76D83D}"/>
    <cellStyle name="Percent 37" xfId="4627" xr:uid="{94DD92E9-8534-4E41-AE37-49090671658B}"/>
    <cellStyle name="Percent 38" xfId="4628" xr:uid="{BE98A02F-B33F-4109-98C8-9C8DD7CE9327}"/>
    <cellStyle name="Percent 39" xfId="4629" xr:uid="{3491E010-569D-4EC3-9ABA-7F045CDFC8CF}"/>
    <cellStyle name="Percent 4" xfId="678" xr:uid="{00000000-0005-0000-0000-0000FA040000}"/>
    <cellStyle name="Percent 4 2" xfId="679" xr:uid="{00000000-0005-0000-0000-0000FB040000}"/>
    <cellStyle name="Percent 4 3" xfId="1238" xr:uid="{00000000-0005-0000-0000-0000FC040000}"/>
    <cellStyle name="Percent 4 4" xfId="4631" xr:uid="{FC19425F-AEC3-4425-B593-848954393A37}"/>
    <cellStyle name="Percent 4_T1 ANSP" xfId="4630" xr:uid="{7636990E-8759-4831-AAB4-8258FBC55AFC}"/>
    <cellStyle name="Percent 40" xfId="4632" xr:uid="{963CEDB9-B432-464F-9256-29D99463682F}"/>
    <cellStyle name="Percent 5" xfId="6" xr:uid="{00000000-0005-0000-0000-0000FD040000}"/>
    <cellStyle name="Percent 5 2" xfId="4" xr:uid="{00000000-0005-0000-0000-0000FE040000}"/>
    <cellStyle name="Percent 5 2 2" xfId="1092" xr:uid="{00000000-0005-0000-0000-0000FF040000}"/>
    <cellStyle name="Percent 5 2_T1 ANSP" xfId="4634" xr:uid="{E0896768-8FC7-4B8F-AC0A-438E510D2137}"/>
    <cellStyle name="Percent 5 3" xfId="1070" xr:uid="{00000000-0005-0000-0000-000000050000}"/>
    <cellStyle name="Percent 5 4" xfId="4635" xr:uid="{A1C84D18-E146-46BA-8F2F-5B60D399FBC4}"/>
    <cellStyle name="Percent 5_T1 ANSP" xfId="4633" xr:uid="{C3067DC8-69C9-4484-ADD9-DD6A40467D41}"/>
    <cellStyle name="Percent 6" xfId="680" xr:uid="{00000000-0005-0000-0000-000001050000}"/>
    <cellStyle name="Percent 6 2" xfId="1071" xr:uid="{00000000-0005-0000-0000-000002050000}"/>
    <cellStyle name="Percent 6 2 2" xfId="4638" xr:uid="{BE18C7BD-224C-407E-902E-B7439E75A422}"/>
    <cellStyle name="Percent 6 2 3" xfId="4639" xr:uid="{705DC09E-C725-4FF2-877F-0BAA3093C407}"/>
    <cellStyle name="Percent 6 2_T1 ANSP" xfId="4637" xr:uid="{ABF79AC4-0A19-4FD8-A981-8AE78E166BD2}"/>
    <cellStyle name="Percent 6 3" xfId="4640" xr:uid="{C35C2C90-2ADE-40BA-B814-563459401CE7}"/>
    <cellStyle name="Percent 6 4" xfId="4641" xr:uid="{7AADA054-BA8A-4AE4-8363-7E252559BB19}"/>
    <cellStyle name="Percent 6_T1 ANSP" xfId="4636" xr:uid="{73A2E43F-FB34-4CCF-9E7A-49809EBC3257}"/>
    <cellStyle name="Percent 7" xfId="681" xr:uid="{00000000-0005-0000-0000-000003050000}"/>
    <cellStyle name="Percent 7 2" xfId="1072" xr:uid="{00000000-0005-0000-0000-000004050000}"/>
    <cellStyle name="Percent 7 3" xfId="4643" xr:uid="{E1E4AB90-15AB-4451-BA30-0043E4693446}"/>
    <cellStyle name="Percent 7_T1 ANSP" xfId="4642" xr:uid="{8BD835CF-31F9-44CB-931A-0C5243AD76DC}"/>
    <cellStyle name="Percent 8" xfId="682" xr:uid="{00000000-0005-0000-0000-000005050000}"/>
    <cellStyle name="Percent 8 2" xfId="1073" xr:uid="{00000000-0005-0000-0000-000006050000}"/>
    <cellStyle name="Percent 8 3" xfId="4645" xr:uid="{67F3A6E6-821D-4FAF-8C80-5F962DED5F3E}"/>
    <cellStyle name="Percent 8_T1 ANSP" xfId="4644" xr:uid="{B75750C3-ADCE-47DF-A6C7-0C324C4AD4FF}"/>
    <cellStyle name="Percent 9" xfId="683" xr:uid="{00000000-0005-0000-0000-000007050000}"/>
    <cellStyle name="Percent 9 2" xfId="1074" xr:uid="{00000000-0005-0000-0000-000008050000}"/>
    <cellStyle name="Percent 9 2 2" xfId="4648" xr:uid="{1A8A8E4B-4231-4ABF-8A22-28C5A459EC9B}"/>
    <cellStyle name="Percent 9 2 3" xfId="4649" xr:uid="{03BBE3B1-89C6-495C-A90E-F65805C866DA}"/>
    <cellStyle name="Percent 9 2_T1 ANSP" xfId="4647" xr:uid="{479748DC-6743-4523-86E8-C5679611E082}"/>
    <cellStyle name="Percent 9 3" xfId="4650" xr:uid="{00D510D8-4447-4280-96BA-D90EA7D11640}"/>
    <cellStyle name="Percent 9 4" xfId="4651" xr:uid="{C3355DA6-C090-4DF7-869B-41275F5DF7CE}"/>
    <cellStyle name="Percent 9_T1 ANSP" xfId="4646" xr:uid="{1208F653-B562-401C-BBFB-910FCFF58031}"/>
    <cellStyle name="Percent Hard" xfId="4652" xr:uid="{48F53497-637C-49F6-B9F2-9EAE6FB25270}"/>
    <cellStyle name="Percent Hard 2" xfId="4653" xr:uid="{2B1BD4AE-299E-4578-AAF1-C1AE415AACD4}"/>
    <cellStyle name="Percentuale 10" xfId="684" xr:uid="{00000000-0005-0000-0000-000009050000}"/>
    <cellStyle name="Percentuale 10 2" xfId="1075" xr:uid="{00000000-0005-0000-0000-00000A050000}"/>
    <cellStyle name="Percentuale 10_T1 ANSP" xfId="4654" xr:uid="{7DF1028C-AD6A-4385-B386-197DD8FAE80A}"/>
    <cellStyle name="Percentuale 11" xfId="685" xr:uid="{00000000-0005-0000-0000-00000B050000}"/>
    <cellStyle name="Percentuale 11 2" xfId="1076" xr:uid="{00000000-0005-0000-0000-00000C050000}"/>
    <cellStyle name="Percentuale 11_T1 ANSP" xfId="4655" xr:uid="{2DB51FA2-A60F-4F72-9A6A-C50FCCEE2454}"/>
    <cellStyle name="Percentuale 12" xfId="686" xr:uid="{00000000-0005-0000-0000-00000D050000}"/>
    <cellStyle name="Percentuale 12 2" xfId="1077" xr:uid="{00000000-0005-0000-0000-00000E050000}"/>
    <cellStyle name="Percentuale 12_T1 ANSP" xfId="4656" xr:uid="{72CD41E0-4A85-47F9-9683-D0A714AA7FBB}"/>
    <cellStyle name="Percentuale 13" xfId="687" xr:uid="{00000000-0005-0000-0000-00000F050000}"/>
    <cellStyle name="Percentuale 13 2" xfId="1078" xr:uid="{00000000-0005-0000-0000-000010050000}"/>
    <cellStyle name="Percentuale 13_T1 ANSP" xfId="4657" xr:uid="{78189A00-4986-40DB-A045-8D04ED835192}"/>
    <cellStyle name="Percentuale 2" xfId="688" xr:uid="{00000000-0005-0000-0000-000011050000}"/>
    <cellStyle name="Percentuale 2 2" xfId="689" xr:uid="{00000000-0005-0000-0000-000012050000}"/>
    <cellStyle name="Percentuale 2_T1 ANSP" xfId="4658" xr:uid="{EA2BAA6F-2CE7-40BA-8211-C1DFF5EF2E68}"/>
    <cellStyle name="Percentuale 3" xfId="690" xr:uid="{00000000-0005-0000-0000-000013050000}"/>
    <cellStyle name="Percentuale 3 2" xfId="691" xr:uid="{00000000-0005-0000-0000-000014050000}"/>
    <cellStyle name="Percentuale 3_T1 ANSP" xfId="4659" xr:uid="{0E344CC2-C98D-4CF7-BE24-90C4B7622458}"/>
    <cellStyle name="Percentuale 4" xfId="692" xr:uid="{00000000-0005-0000-0000-000015050000}"/>
    <cellStyle name="Percentuale 5" xfId="693" xr:uid="{00000000-0005-0000-0000-000016050000}"/>
    <cellStyle name="Percentuale 5 2" xfId="1079" xr:uid="{00000000-0005-0000-0000-000017050000}"/>
    <cellStyle name="Percentuale 5_T1 ANSP" xfId="4660" xr:uid="{59F7387B-3E93-42DD-917D-B663034DB20F}"/>
    <cellStyle name="Percentuale 6" xfId="694" xr:uid="{00000000-0005-0000-0000-000018050000}"/>
    <cellStyle name="Percentuale 6 2" xfId="1080" xr:uid="{00000000-0005-0000-0000-000019050000}"/>
    <cellStyle name="Percentuale 6_T1 ANSP" xfId="4661" xr:uid="{9C561879-095C-491A-9DB0-E423CEF054A4}"/>
    <cellStyle name="Percentuale 7" xfId="695" xr:uid="{00000000-0005-0000-0000-00001A050000}"/>
    <cellStyle name="Percentuale 7 2" xfId="1081" xr:uid="{00000000-0005-0000-0000-00001B050000}"/>
    <cellStyle name="Percentuale 7_T1 ANSP" xfId="4662" xr:uid="{4989EF69-99DD-4197-B039-E9463793FA68}"/>
    <cellStyle name="Percentuale 8" xfId="696" xr:uid="{00000000-0005-0000-0000-00001C050000}"/>
    <cellStyle name="Percentuale 8 2" xfId="1082" xr:uid="{00000000-0005-0000-0000-00001D050000}"/>
    <cellStyle name="Percentuale 8_T1 ANSP" xfId="4663" xr:uid="{15DC875C-3C10-46C5-A18F-5CFCED92694A}"/>
    <cellStyle name="Percentuale 9" xfId="697" xr:uid="{00000000-0005-0000-0000-00001E050000}"/>
    <cellStyle name="percnt" xfId="4664" xr:uid="{08C94015-49E4-45DB-96B5-21305A1CC229}"/>
    <cellStyle name="periodformat" xfId="4665" xr:uid="{570B2D38-7DAB-4227-8C64-4766F012A617}"/>
    <cellStyle name="Pilkku_Layo9704" xfId="4666" xr:uid="{CDB89893-C4C5-4FC9-9D4D-2F7AD1C1EB9A}"/>
    <cellStyle name="pivot item labels &amp; totals" xfId="698" xr:uid="{00000000-0005-0000-0000-00001F050000}"/>
    <cellStyle name="pivot item labels &amp; totals 10" xfId="4668" xr:uid="{82A3075F-459F-4893-8114-A24DF5A65549}"/>
    <cellStyle name="pivot item labels &amp; totals 10 2" xfId="4669" xr:uid="{02D70AEB-2F19-4EF9-939E-462CC81D4FE2}"/>
    <cellStyle name="pivot item labels &amp; totals 11" xfId="4670" xr:uid="{29E531D2-2722-4924-9F30-DFC859788C2E}"/>
    <cellStyle name="pivot item labels &amp; totals 11 2" xfId="4671" xr:uid="{E991E336-C5AF-4C97-AB62-2F938E4DBB17}"/>
    <cellStyle name="pivot item labels &amp; totals 12" xfId="4672" xr:uid="{A5699015-5F94-4F20-9899-1FE6A08D2962}"/>
    <cellStyle name="pivot item labels &amp; totals 12 2" xfId="4673" xr:uid="{1E79FF29-25EA-46ED-92B0-23D1859B5152}"/>
    <cellStyle name="pivot item labels &amp; totals 13" xfId="4674" xr:uid="{04E0E1AC-A670-408E-9F4D-DBDE65716C87}"/>
    <cellStyle name="pivot item labels &amp; totals 13 2" xfId="4675" xr:uid="{F312B028-226F-487A-A7D3-C282ACF606C8}"/>
    <cellStyle name="pivot item labels &amp; totals 14" xfId="4676" xr:uid="{EDA07409-F789-4175-ACA1-223D7B65F548}"/>
    <cellStyle name="pivot item labels &amp; totals 14 2" xfId="4677" xr:uid="{C38D465B-47DA-4A0D-B3C6-A9415AE5CA5A}"/>
    <cellStyle name="pivot item labels &amp; totals 15" xfId="4678" xr:uid="{B8E44403-9577-462C-83DF-1453C3EC5CCB}"/>
    <cellStyle name="pivot item labels &amp; totals 15 2" xfId="4679" xr:uid="{09A67BAF-A916-49BE-B39D-6C6B6396BF7B}"/>
    <cellStyle name="pivot item labels &amp; totals 16" xfId="4680" xr:uid="{3B99086B-D16F-41E9-B511-491A00A90A08}"/>
    <cellStyle name="pivot item labels &amp; totals 17" xfId="4681" xr:uid="{9C586DB3-6217-4071-96D9-2D09FAA912E6}"/>
    <cellStyle name="pivot item labels &amp; totals 2" xfId="4682" xr:uid="{4C15E9A6-AD9A-49B2-B864-2FAD81D1FAB8}"/>
    <cellStyle name="pivot item labels &amp; totals 2 2" xfId="4683" xr:uid="{6B19DE8A-4F25-45E9-8FAC-1B7FE2BC1EB6}"/>
    <cellStyle name="pivot item labels &amp; totals 3" xfId="4684" xr:uid="{5D43C76F-64A4-424F-BE5E-4DEE354CB971}"/>
    <cellStyle name="pivot item labels &amp; totals 3 2" xfId="4685" xr:uid="{899605AE-2756-4C11-B363-B44B7BDB5C3D}"/>
    <cellStyle name="pivot item labels &amp; totals 4" xfId="4686" xr:uid="{99E24AD4-44ED-4EF1-96AF-1ED11F322386}"/>
    <cellStyle name="pivot item labels &amp; totals 4 2" xfId="4687" xr:uid="{6E338CCD-F790-4C07-9753-0002E3463CEF}"/>
    <cellStyle name="pivot item labels &amp; totals 5" xfId="4688" xr:uid="{F6E9272D-34D9-48D1-A315-828BE889D762}"/>
    <cellStyle name="pivot item labels &amp; totals 5 2" xfId="4689" xr:uid="{11C2A298-1DAD-45AC-B423-33AFD5C4FD26}"/>
    <cellStyle name="pivot item labels &amp; totals 6" xfId="4690" xr:uid="{E74957FD-862C-43EF-84E4-770ED391C8ED}"/>
    <cellStyle name="pivot item labels &amp; totals 6 2" xfId="4691" xr:uid="{BF9312E9-DB64-4692-BC48-17FD8555B7C5}"/>
    <cellStyle name="pivot item labels &amp; totals 7" xfId="4692" xr:uid="{8F9EED39-BC3D-4129-8B7C-DD3FDDE9DF59}"/>
    <cellStyle name="pivot item labels &amp; totals 7 2" xfId="4693" xr:uid="{BFB66817-5D63-47DE-A489-41E82BC283E5}"/>
    <cellStyle name="pivot item labels &amp; totals 8" xfId="4694" xr:uid="{D02FE905-3F3D-48BC-8589-344E3C8FA2A3}"/>
    <cellStyle name="pivot item labels &amp; totals 8 2" xfId="4695" xr:uid="{CD5242F9-D07A-41C8-93D4-1C9FD2FE1070}"/>
    <cellStyle name="pivot item labels &amp; totals 9" xfId="4696" xr:uid="{7A120D33-C34A-4C84-9B69-40D05848559B}"/>
    <cellStyle name="pivot item labels &amp; totals 9 2" xfId="4697" xr:uid="{B388F057-B78D-4DD4-B138-4C3387E27283}"/>
    <cellStyle name="pivot item labels &amp; totals_T1 ANSP" xfId="4667" xr:uid="{5487EBB9-5CB9-418F-B5F1-F04900E44222}"/>
    <cellStyle name="pivot nation" xfId="699" xr:uid="{00000000-0005-0000-0000-000020050000}"/>
    <cellStyle name="pivotdata" xfId="700" xr:uid="{00000000-0005-0000-0000-000021050000}"/>
    <cellStyle name="pivotdata 2" xfId="701" xr:uid="{00000000-0005-0000-0000-000022050000}"/>
    <cellStyle name="pivotdata_Cyprus en route fin 11 Nov - DUR" xfId="702" xr:uid="{00000000-0005-0000-0000-000023050000}"/>
    <cellStyle name="Pourcentage 2" xfId="1239" xr:uid="{00000000-0005-0000-0000-000024050000}"/>
    <cellStyle name="Pourcentage 3" xfId="1240" xr:uid="{00000000-0005-0000-0000-000025050000}"/>
    <cellStyle name="Pourcentage_tocmodel_final" xfId="703" xr:uid="{00000000-0005-0000-0000-000026050000}"/>
    <cellStyle name="Procent 2" xfId="704" xr:uid="{00000000-0005-0000-0000-000027050000}"/>
    <cellStyle name="Procent 2 2" xfId="705" xr:uid="{00000000-0005-0000-0000-000028050000}"/>
    <cellStyle name="Procent 2 2 2" xfId="1083" xr:uid="{00000000-0005-0000-0000-000029050000}"/>
    <cellStyle name="Procent 2 2_T1 ANSP" xfId="4699" xr:uid="{25D30EFF-9059-4AD4-B945-BEE10315BC3F}"/>
    <cellStyle name="Procent 2 3" xfId="706" xr:uid="{00000000-0005-0000-0000-00002A050000}"/>
    <cellStyle name="Procent 2_T1 ANSP" xfId="4698" xr:uid="{F1B4E2F6-7B38-4016-A576-9E978189A8B9}"/>
    <cellStyle name="Procent 3" xfId="707" xr:uid="{00000000-0005-0000-0000-00002B050000}"/>
    <cellStyle name="Procentowy 2" xfId="708" xr:uid="{00000000-0005-0000-0000-00002C050000}"/>
    <cellStyle name="Profile" xfId="709" xr:uid="{00000000-0005-0000-0000-00002D050000}"/>
    <cellStyle name="Profit figure" xfId="4700" xr:uid="{0A4F41E1-40C3-4264-B567-5E725E5BA98E}"/>
    <cellStyle name="Prosentti 2" xfId="1241" xr:uid="{00000000-0005-0000-0000-00002E050000}"/>
    <cellStyle name="Prozent 2" xfId="710" xr:uid="{00000000-0005-0000-0000-00002F050000}"/>
    <cellStyle name="Prozent 2 2" xfId="711" xr:uid="{00000000-0005-0000-0000-000030050000}"/>
    <cellStyle name="Prozent 2 2 2" xfId="1085" xr:uid="{00000000-0005-0000-0000-000031050000}"/>
    <cellStyle name="Prozent 2 2_T1 ANSP" xfId="4702" xr:uid="{0EC7483F-B449-4A2E-AC34-F0C7920291AD}"/>
    <cellStyle name="Prozent 2 3" xfId="1084" xr:uid="{00000000-0005-0000-0000-000032050000}"/>
    <cellStyle name="Prozent 2_T1 ANSP" xfId="4701" xr:uid="{5D86ED3F-E48A-40FE-B8CE-CCE8A99B9F52}"/>
    <cellStyle name="Pyör. luku_Layo9704" xfId="4703" xr:uid="{ABB6C493-0BAB-435E-A838-9DA6F4A72DD2}"/>
    <cellStyle name="Pyör. valuutta_Layo9704" xfId="4704" xr:uid="{82694DF5-C42F-427E-9C00-90F3F7E51E03}"/>
    <cellStyle name="quarterformat" xfId="4705" xr:uid="{B3A676AB-CBF8-4A55-997B-9F09B5D3A599}"/>
    <cellStyle name="quarterformat 2" xfId="4706" xr:uid="{AF3DAF59-B80F-4286-BFF5-09517893442D}"/>
    <cellStyle name="Results % 1 dp" xfId="4707" xr:uid="{5C3D6244-404E-44DC-94FD-34F10C815D1F}"/>
    <cellStyle name="Results % 1 dp 2" xfId="4708" xr:uid="{7E60D626-A2F3-45E6-9C6E-80C3DB2414DE}"/>
    <cellStyle name="Results 0 dp" xfId="4709" xr:uid="{29DF8D5D-FFC9-4E43-95C9-7A07BD9207D7}"/>
    <cellStyle name="Results 0 dp 2" xfId="4710" xr:uid="{C44B3D4F-B7F2-414D-A829-A0740E4892DF}"/>
    <cellStyle name="Results 2 dp" xfId="4711" xr:uid="{0F7E0A28-1BE7-4699-9AF7-CC0ADCE0AB62}"/>
    <cellStyle name="Results 2 dp 2" xfId="4712" xr:uid="{304D14DC-1829-42C7-816B-6627B10F0A56}"/>
    <cellStyle name="ROA Ref" xfId="712" xr:uid="{00000000-0005-0000-0000-000033050000}"/>
    <cellStyle name="Rõhk1" xfId="713" xr:uid="{00000000-0005-0000-0000-000034050000}"/>
    <cellStyle name="Rõhk1 2" xfId="1242" xr:uid="{00000000-0005-0000-0000-000035050000}"/>
    <cellStyle name="Rõhk1 3" xfId="1243" xr:uid="{00000000-0005-0000-0000-000036050000}"/>
    <cellStyle name="Rõhk1_T1 ANSP" xfId="4713" xr:uid="{285D6B1D-0EAF-494A-A892-B2A57AEA6F13}"/>
    <cellStyle name="Rõhk2" xfId="714" xr:uid="{00000000-0005-0000-0000-000037050000}"/>
    <cellStyle name="Rõhk2 2" xfId="1244" xr:uid="{00000000-0005-0000-0000-000038050000}"/>
    <cellStyle name="Rõhk2 3" xfId="1245" xr:uid="{00000000-0005-0000-0000-000039050000}"/>
    <cellStyle name="Rõhk2_T1 ANSP" xfId="4714" xr:uid="{F07AFE49-8888-4933-8DD8-3C4DA427BCB9}"/>
    <cellStyle name="Rõhk3" xfId="715" xr:uid="{00000000-0005-0000-0000-00003A050000}"/>
    <cellStyle name="Rõhk3 2" xfId="1246" xr:uid="{00000000-0005-0000-0000-00003B050000}"/>
    <cellStyle name="Rõhk3 3" xfId="1247" xr:uid="{00000000-0005-0000-0000-00003C050000}"/>
    <cellStyle name="Rõhk3_T1 ANSP" xfId="4715" xr:uid="{219C8DDF-98ED-45BB-8B83-857DDAAC11B3}"/>
    <cellStyle name="Rõhk4" xfId="716" xr:uid="{00000000-0005-0000-0000-00003D050000}"/>
    <cellStyle name="Rõhk4 2" xfId="1248" xr:uid="{00000000-0005-0000-0000-00003E050000}"/>
    <cellStyle name="Rõhk4 3" xfId="1249" xr:uid="{00000000-0005-0000-0000-00003F050000}"/>
    <cellStyle name="Rõhk4_T1 ANSP" xfId="4716" xr:uid="{DF63D2D3-71E5-4B5B-B5FE-2720547C0916}"/>
    <cellStyle name="Rõhk5" xfId="717" xr:uid="{00000000-0005-0000-0000-000040050000}"/>
    <cellStyle name="Rõhk5 2" xfId="1250" xr:uid="{00000000-0005-0000-0000-000041050000}"/>
    <cellStyle name="Rõhk5 3" xfId="1251" xr:uid="{00000000-0005-0000-0000-000042050000}"/>
    <cellStyle name="Rõhk5_T1 ANSP" xfId="4717" xr:uid="{EF5654D3-3810-44A2-9C00-1B8D48F5859F}"/>
    <cellStyle name="Rõhk6" xfId="718" xr:uid="{00000000-0005-0000-0000-000043050000}"/>
    <cellStyle name="Rõhk6 2" xfId="1252" xr:uid="{00000000-0005-0000-0000-000044050000}"/>
    <cellStyle name="Rõhk6 3" xfId="1253" xr:uid="{00000000-0005-0000-0000-000045050000}"/>
    <cellStyle name="Rõhk6_T1 ANSP" xfId="4718" xr:uid="{13BE2BDA-997C-4989-993F-2E8E5DF4D4EE}"/>
    <cellStyle name="Rossz 2" xfId="1254" xr:uid="{00000000-0005-0000-0000-000046050000}"/>
    <cellStyle name="Rubrik" xfId="719" xr:uid="{00000000-0005-0000-0000-000047050000}"/>
    <cellStyle name="Rubrik 1" xfId="720" xr:uid="{00000000-0005-0000-0000-000048050000}"/>
    <cellStyle name="Rubrik 2" xfId="721" xr:uid="{00000000-0005-0000-0000-000049050000}"/>
    <cellStyle name="Rubrik 3" xfId="722" xr:uid="{00000000-0005-0000-0000-00004A050000}"/>
    <cellStyle name="Rubrik 4" xfId="723" xr:uid="{00000000-0005-0000-0000-00004B050000}"/>
    <cellStyle name="Rubrik_T1 ANSP" xfId="4719" xr:uid="{A77FEE59-56E6-4C13-BA81-9240ACCAAF82}"/>
    <cellStyle name="Salida" xfId="724" xr:uid="{00000000-0005-0000-0000-00004D050000}"/>
    <cellStyle name="Salida 2" xfId="1540" xr:uid="{00000000-0005-0000-0000-00004E050000}"/>
    <cellStyle name="Salida 3" xfId="1497" xr:uid="{00000000-0005-0000-0000-00004F050000}"/>
    <cellStyle name="Salida_T1 ANSP" xfId="4720" xr:uid="{1B042F4C-B864-4B28-84B7-0275F2CCF2F0}"/>
    <cellStyle name="Sammenkædet celle" xfId="725" xr:uid="{00000000-0005-0000-0000-000050050000}"/>
    <cellStyle name="SAPBEXaggData" xfId="726" xr:uid="{00000000-0005-0000-0000-000051050000}"/>
    <cellStyle name="SAPBEXaggData 10" xfId="4721" xr:uid="{49C1C7D5-C935-4D25-A25A-7B062D2CECC9}"/>
    <cellStyle name="SAPBEXaggData 10 2" xfId="4722" xr:uid="{F332527A-8BF2-4C43-86A6-F4A950E9FF5F}"/>
    <cellStyle name="SAPBEXaggData 11" xfId="4723" xr:uid="{7B8293DA-B533-4D58-B8DB-A4EAFE7B329C}"/>
    <cellStyle name="SAPBEXaggData 11 2" xfId="4724" xr:uid="{B90302DE-BF97-4041-9659-CD3626AC1FC0}"/>
    <cellStyle name="SAPBEXaggData 12" xfId="4725" xr:uid="{1E7D0F27-319C-46CE-95F5-07CBE47C7BD8}"/>
    <cellStyle name="SAPBEXaggData 12 2" xfId="4726" xr:uid="{C60E2776-4274-4D92-B819-7954DEE7AE6E}"/>
    <cellStyle name="SAPBEXaggData 13" xfId="4727" xr:uid="{D3B82B3E-387B-49B5-AA0D-B55214454EC0}"/>
    <cellStyle name="SAPBEXaggData 13 2" xfId="4728" xr:uid="{A73D9005-DEBF-40FB-92AE-AFAA81B1A07B}"/>
    <cellStyle name="SAPBEXaggData 14" xfId="4729" xr:uid="{021C847A-9C72-4085-B4B5-E3A2DF65C716}"/>
    <cellStyle name="SAPBEXaggData 14 2" xfId="4730" xr:uid="{286A38FA-1743-4E6C-9DBC-2AF1E8B3774B}"/>
    <cellStyle name="SAPBEXaggData 15" xfId="4731" xr:uid="{F8E02E16-01EF-4E7A-AA76-76E7F285A672}"/>
    <cellStyle name="SAPBEXaggData 15 2" xfId="4732" xr:uid="{1E8A4DC2-2993-4FB9-89C4-45A59EA57317}"/>
    <cellStyle name="SAPBEXaggData 16" xfId="4733" xr:uid="{A46BBE03-3808-467A-860A-EB700BC4859F}"/>
    <cellStyle name="SAPBEXaggData 16 2" xfId="4734" xr:uid="{7FEECE7E-CC34-4B66-A23E-B42BA92D1A41}"/>
    <cellStyle name="SAPBEXaggData 17" xfId="4735" xr:uid="{1B53D739-8031-4D21-9995-6955D3FC6D20}"/>
    <cellStyle name="SAPBEXaggData 17 2" xfId="4736" xr:uid="{72A91B8D-8E5A-4543-AB4D-AFBD0075DE34}"/>
    <cellStyle name="SAPBEXaggData 18" xfId="4737" xr:uid="{A1AD26DA-B8C6-477E-81CA-C933969A5130}"/>
    <cellStyle name="SAPBEXaggData 18 2" xfId="4738" xr:uid="{23F4B09B-DF52-456E-9850-63FF3A5CF121}"/>
    <cellStyle name="SAPBEXaggData 19" xfId="4739" xr:uid="{7DB0C01F-A30C-4761-B539-7080806DAAC9}"/>
    <cellStyle name="SAPBEXaggData 19 2" xfId="4740" xr:uid="{C6BE8836-9F86-4D5A-B46F-132651485611}"/>
    <cellStyle name="SAPBEXaggData 2" xfId="1541" xr:uid="{00000000-0005-0000-0000-000052050000}"/>
    <cellStyle name="SAPBEXaggData 2 10" xfId="4742" xr:uid="{82BA0CDE-4619-4D40-8C58-53F598285A49}"/>
    <cellStyle name="SAPBEXaggData 2 10 2" xfId="4743" xr:uid="{9326DFF9-0E4C-4423-A2F6-9C27452B1E8A}"/>
    <cellStyle name="SAPBEXaggData 2 11" xfId="4744" xr:uid="{7DB19FF9-3038-4CC8-854D-EDDE912771F0}"/>
    <cellStyle name="SAPBEXaggData 2 11 2" xfId="4745" xr:uid="{FEBB19A1-B65A-495F-BBFA-FBB8F5EED8B7}"/>
    <cellStyle name="SAPBEXaggData 2 12" xfId="4746" xr:uid="{FF839509-F9A7-4400-A7C3-D77B9B920642}"/>
    <cellStyle name="SAPBEXaggData 2 12 2" xfId="4747" xr:uid="{1EB599B6-1B50-4103-851E-62D207BE3562}"/>
    <cellStyle name="SAPBEXaggData 2 13" xfId="4748" xr:uid="{A7B9B2B9-6A22-4822-BF76-5217BF42F696}"/>
    <cellStyle name="SAPBEXaggData 2 13 2" xfId="4749" xr:uid="{72F2CD1C-9722-473D-A3C9-DD34CFD92745}"/>
    <cellStyle name="SAPBEXaggData 2 14" xfId="4750" xr:uid="{B436E7FF-F697-458F-9E30-D9B7CC4D84E6}"/>
    <cellStyle name="SAPBEXaggData 2 14 2" xfId="4751" xr:uid="{8534F2A0-4DDE-4542-8892-B0818D1857F6}"/>
    <cellStyle name="SAPBEXaggData 2 15" xfId="4752" xr:uid="{A05D18C2-3BC5-4064-B215-BD90136DB656}"/>
    <cellStyle name="SAPBEXaggData 2 15 2" xfId="4753" xr:uid="{C1F57FB5-625B-4BD6-9AB4-2F96AA1EBB6A}"/>
    <cellStyle name="SAPBEXaggData 2 16" xfId="4754" xr:uid="{AF606357-9018-402B-B512-02AFC454404A}"/>
    <cellStyle name="SAPBEXaggData 2 16 2" xfId="4755" xr:uid="{1485F408-4D3C-4A7D-BE30-68A044A35051}"/>
    <cellStyle name="SAPBEXaggData 2 17" xfId="4756" xr:uid="{F4996559-E596-44F5-A623-B0A43393F558}"/>
    <cellStyle name="SAPBEXaggData 2 17 2" xfId="4757" xr:uid="{B09D1AE2-9483-40A2-9284-55C17430BADF}"/>
    <cellStyle name="SAPBEXaggData 2 18" xfId="4758" xr:uid="{F745AAEB-DDBE-40FA-A526-2E12AB090B1F}"/>
    <cellStyle name="SAPBEXaggData 2 18 2" xfId="4759" xr:uid="{17C7615E-F64D-432A-A9CA-4A3105CF5088}"/>
    <cellStyle name="SAPBEXaggData 2 2" xfId="4760" xr:uid="{ACC3D1E6-4E17-4F0B-8030-1497138DB971}"/>
    <cellStyle name="SAPBEXaggData 2 2 10" xfId="4761" xr:uid="{7369D824-817F-400F-B25F-887F78B63F3B}"/>
    <cellStyle name="SAPBEXaggData 2 2 10 2" xfId="4762" xr:uid="{9E16A78E-6B9B-4F15-BF11-4A379D0AC71A}"/>
    <cellStyle name="SAPBEXaggData 2 2 11" xfId="4763" xr:uid="{07113852-6E3C-41E7-9221-D20183BE0546}"/>
    <cellStyle name="SAPBEXaggData 2 2 11 2" xfId="4764" xr:uid="{28E7DAD6-10D0-4796-A18C-B5B0F1502153}"/>
    <cellStyle name="SAPBEXaggData 2 2 12" xfId="4765" xr:uid="{212A1A28-7217-4C1F-B410-27165F0142AD}"/>
    <cellStyle name="SAPBEXaggData 2 2 12 2" xfId="4766" xr:uid="{0A15E9FB-F6DD-49AC-A65B-8C38914DF8C8}"/>
    <cellStyle name="SAPBEXaggData 2 2 13" xfId="4767" xr:uid="{1F081055-A5F2-439E-9859-2EED4A38A0F3}"/>
    <cellStyle name="SAPBEXaggData 2 2 13 2" xfId="4768" xr:uid="{34F1221F-CD21-4483-8D9E-587D9281F87E}"/>
    <cellStyle name="SAPBEXaggData 2 2 14" xfId="4769" xr:uid="{9DF26B17-A03F-4D17-A814-B617111452AB}"/>
    <cellStyle name="SAPBEXaggData 2 2 14 2" xfId="4770" xr:uid="{383D24C8-1AC2-44DC-AA8E-F36AA249AD04}"/>
    <cellStyle name="SAPBEXaggData 2 2 15" xfId="4771" xr:uid="{E8702334-7E83-45AF-B372-7A023BA52492}"/>
    <cellStyle name="SAPBEXaggData 2 2 15 2" xfId="4772" xr:uid="{1EF0D1F8-C35E-4F89-B026-0D526B6BEB70}"/>
    <cellStyle name="SAPBEXaggData 2 2 16" xfId="4773" xr:uid="{7626CD5A-57FC-4F95-BF85-963406A9CA8E}"/>
    <cellStyle name="SAPBEXaggData 2 2 16 2" xfId="4774" xr:uid="{046A4E42-79E0-46C9-8D39-3FCBE35A1BFB}"/>
    <cellStyle name="SAPBEXaggData 2 2 17" xfId="4775" xr:uid="{64287626-FA83-4A1B-BD7D-2E621BEC16E0}"/>
    <cellStyle name="SAPBEXaggData 2 2 17 2" xfId="4776" xr:uid="{4B8756BD-F9CB-478B-8AC0-92572A93377F}"/>
    <cellStyle name="SAPBEXaggData 2 2 2" xfId="4777" xr:uid="{A3A008AB-1987-4869-87A5-7AFDF9C68E0C}"/>
    <cellStyle name="SAPBEXaggData 2 2 2 10" xfId="4778" xr:uid="{0312CAE9-39D6-4FCF-A9AF-0C6DD5579DD3}"/>
    <cellStyle name="SAPBEXaggData 2 2 2 10 2" xfId="4779" xr:uid="{6753D348-BDA3-446B-8FD3-486A6878B38D}"/>
    <cellStyle name="SAPBEXaggData 2 2 2 11" xfId="4780" xr:uid="{31B84604-86DD-46A5-A88B-177F4E773508}"/>
    <cellStyle name="SAPBEXaggData 2 2 2 11 2" xfId="4781" xr:uid="{1D107B9C-C226-44C3-9D86-1C58F5FB0FED}"/>
    <cellStyle name="SAPBEXaggData 2 2 2 12" xfId="4782" xr:uid="{22EB1E4B-F206-4BF3-972D-A5FB3799457B}"/>
    <cellStyle name="SAPBEXaggData 2 2 2 12 2" xfId="4783" xr:uid="{ED688DC0-00F4-48B9-81BD-A37E0C6FD027}"/>
    <cellStyle name="SAPBEXaggData 2 2 2 13" xfId="4784" xr:uid="{4D4DEBB9-07A3-4FE5-B77B-12ED9F03351C}"/>
    <cellStyle name="SAPBEXaggData 2 2 2 13 2" xfId="4785" xr:uid="{662FBE2F-C1FA-4B82-9AD4-B95A86B7522F}"/>
    <cellStyle name="SAPBEXaggData 2 2 2 14" xfId="4786" xr:uid="{2AF9CA63-C78F-4BE1-BDD7-8DE19EF82A61}"/>
    <cellStyle name="SAPBEXaggData 2 2 2 14 2" xfId="4787" xr:uid="{78AA63B3-3C2D-4E74-9941-9042D19EB5A8}"/>
    <cellStyle name="SAPBEXaggData 2 2 2 15" xfId="4788" xr:uid="{FD34F392-190A-4C86-A6BE-8F33A373F28D}"/>
    <cellStyle name="SAPBEXaggData 2 2 2 15 2" xfId="4789" xr:uid="{5EC06CD0-8076-41C4-9E88-B2FC64BF0200}"/>
    <cellStyle name="SAPBEXaggData 2 2 2 2" xfId="4790" xr:uid="{6ED64FF4-3868-49BE-BE7C-4AE17662349E}"/>
    <cellStyle name="SAPBEXaggData 2 2 2 2 2" xfId="4791" xr:uid="{C40744A9-5F5F-4CD8-B2EC-CDC600AC7830}"/>
    <cellStyle name="SAPBEXaggData 2 2 2 3" xfId="4792" xr:uid="{F4C2DBDE-A824-414B-8719-879ACB145D04}"/>
    <cellStyle name="SAPBEXaggData 2 2 2 3 2" xfId="4793" xr:uid="{0ADFA7C8-B044-4FD3-A08F-38C25E10E0BB}"/>
    <cellStyle name="SAPBEXaggData 2 2 2 4" xfId="4794" xr:uid="{84A4194F-D0CB-4F6B-9420-1CEA6C16D9F0}"/>
    <cellStyle name="SAPBEXaggData 2 2 2 4 2" xfId="4795" xr:uid="{D27C2047-99B9-47D7-9D0A-CA3D0A3B1284}"/>
    <cellStyle name="SAPBEXaggData 2 2 2 5" xfId="4796" xr:uid="{900D51D5-B4F7-4682-90F8-BFAD11322848}"/>
    <cellStyle name="SAPBEXaggData 2 2 2 5 2" xfId="4797" xr:uid="{99765C36-F2F8-4513-BDF4-8EEA7D040EA4}"/>
    <cellStyle name="SAPBEXaggData 2 2 2 6" xfId="4798" xr:uid="{E3683BA2-728B-489B-8EAF-1AFAF6E4DC33}"/>
    <cellStyle name="SAPBEXaggData 2 2 2 6 2" xfId="4799" xr:uid="{482226E9-EBDF-4023-A954-3F8E40F4C2DC}"/>
    <cellStyle name="SAPBEXaggData 2 2 2 7" xfId="4800" xr:uid="{8D922E6F-D237-423B-B983-B0238F2341D4}"/>
    <cellStyle name="SAPBEXaggData 2 2 2 7 2" xfId="4801" xr:uid="{1D66E507-4A62-487C-8F0D-D4A0D4F34ABA}"/>
    <cellStyle name="SAPBEXaggData 2 2 2 8" xfId="4802" xr:uid="{A0446CA5-5C3A-4754-A384-72F2EE6296BE}"/>
    <cellStyle name="SAPBEXaggData 2 2 2 8 2" xfId="4803" xr:uid="{C82C15D9-2865-43F1-BE30-6424E5F2FEE3}"/>
    <cellStyle name="SAPBEXaggData 2 2 2 9" xfId="4804" xr:uid="{CA68F181-A27C-482C-B44B-950E551E0186}"/>
    <cellStyle name="SAPBEXaggData 2 2 2 9 2" xfId="4805" xr:uid="{BA0F8A5F-0DCB-49E8-885D-BA75F3D9B19B}"/>
    <cellStyle name="SAPBEXaggData 2 2 3" xfId="4806" xr:uid="{846C7C3D-B9D7-4B14-86FD-458E7DAA23BC}"/>
    <cellStyle name="SAPBEXaggData 2 2 3 10" xfId="4807" xr:uid="{1EC568C6-70F6-4CEA-B413-33BA4529275F}"/>
    <cellStyle name="SAPBEXaggData 2 2 3 10 2" xfId="4808" xr:uid="{277ABE88-CC44-4C82-8742-C3E7207C07C7}"/>
    <cellStyle name="SAPBEXaggData 2 2 3 11" xfId="4809" xr:uid="{82F2D73D-1389-453C-B432-2044A718E096}"/>
    <cellStyle name="SAPBEXaggData 2 2 3 11 2" xfId="4810" xr:uid="{F40D75EB-6B05-4D7A-A7B7-1480ECAAE58D}"/>
    <cellStyle name="SAPBEXaggData 2 2 3 12" xfId="4811" xr:uid="{100D8103-2FEE-4AD1-97D3-7E94E58E1B03}"/>
    <cellStyle name="SAPBEXaggData 2 2 3 12 2" xfId="4812" xr:uid="{1E4A3A77-07C9-4BFD-A512-A942AFDCEF88}"/>
    <cellStyle name="SAPBEXaggData 2 2 3 13" xfId="4813" xr:uid="{BFF9BAAF-3A60-4F4D-9229-ED2E45946D60}"/>
    <cellStyle name="SAPBEXaggData 2 2 3 13 2" xfId="4814" xr:uid="{DC2C4347-732B-4FFF-B20A-641580F2083D}"/>
    <cellStyle name="SAPBEXaggData 2 2 3 14" xfId="4815" xr:uid="{50E2C8DA-3791-4174-8E71-ED49BA8A3095}"/>
    <cellStyle name="SAPBEXaggData 2 2 3 14 2" xfId="4816" xr:uid="{AA37E029-CE60-4127-9DAB-C914474450E9}"/>
    <cellStyle name="SAPBEXaggData 2 2 3 15" xfId="4817" xr:uid="{34924BFD-198F-4709-AFC6-ACBE0980704A}"/>
    <cellStyle name="SAPBEXaggData 2 2 3 15 2" xfId="4818" xr:uid="{E8906646-80EE-435B-B3B5-92DFA86642C7}"/>
    <cellStyle name="SAPBEXaggData 2 2 3 2" xfId="4819" xr:uid="{B70C321C-1316-4DDC-9E79-E842744EBDBF}"/>
    <cellStyle name="SAPBEXaggData 2 2 3 2 2" xfId="4820" xr:uid="{3ABBA942-3526-4E13-9625-FCA5F4DC365F}"/>
    <cellStyle name="SAPBEXaggData 2 2 3 3" xfId="4821" xr:uid="{F5ACC291-3B46-488E-BF30-D3CEFC2E8F02}"/>
    <cellStyle name="SAPBEXaggData 2 2 3 3 2" xfId="4822" xr:uid="{B31EC0CE-0728-40B8-9458-DF8028FC79D3}"/>
    <cellStyle name="SAPBEXaggData 2 2 3 4" xfId="4823" xr:uid="{1853B6DF-52D3-4143-B576-22C1D763729F}"/>
    <cellStyle name="SAPBEXaggData 2 2 3 4 2" xfId="4824" xr:uid="{F5BE85CB-87F8-427F-9229-8101656DB890}"/>
    <cellStyle name="SAPBEXaggData 2 2 3 5" xfId="4825" xr:uid="{D5BC36B0-B872-489F-A714-03F62803B794}"/>
    <cellStyle name="SAPBEXaggData 2 2 3 5 2" xfId="4826" xr:uid="{A8D7FDCC-4457-471F-BAD6-9ADF3471DCEC}"/>
    <cellStyle name="SAPBEXaggData 2 2 3 6" xfId="4827" xr:uid="{501E7319-E021-4BBE-9456-1870A82F39C5}"/>
    <cellStyle name="SAPBEXaggData 2 2 3 6 2" xfId="4828" xr:uid="{526378FF-E44E-423B-A537-73F2DE19FB94}"/>
    <cellStyle name="SAPBEXaggData 2 2 3 7" xfId="4829" xr:uid="{E287C916-9223-4DBE-81DD-325C90557901}"/>
    <cellStyle name="SAPBEXaggData 2 2 3 7 2" xfId="4830" xr:uid="{ABEE8200-878C-4DCD-B02E-11EC865C4C9C}"/>
    <cellStyle name="SAPBEXaggData 2 2 3 8" xfId="4831" xr:uid="{806411D6-044A-4922-86A6-825DCD160E49}"/>
    <cellStyle name="SAPBEXaggData 2 2 3 8 2" xfId="4832" xr:uid="{3A3A8468-E76F-494B-9BA4-5E8A54B19414}"/>
    <cellStyle name="SAPBEXaggData 2 2 3 9" xfId="4833" xr:uid="{23E9880E-EAA4-410F-BD4E-6F0498B277B3}"/>
    <cellStyle name="SAPBEXaggData 2 2 3 9 2" xfId="4834" xr:uid="{5D73CFE9-A15E-4A1A-A7F6-20A08606F230}"/>
    <cellStyle name="SAPBEXaggData 2 2 4" xfId="4835" xr:uid="{2FFA2FAB-BCA3-449B-A6F7-C9E820654CA3}"/>
    <cellStyle name="SAPBEXaggData 2 2 4 2" xfId="4836" xr:uid="{82CB2AD7-24E8-444D-80B0-B51BA2080055}"/>
    <cellStyle name="SAPBEXaggData 2 2 5" xfId="4837" xr:uid="{E8228865-E5C4-4864-BC27-BC3A5B5D75FA}"/>
    <cellStyle name="SAPBEXaggData 2 2 5 2" xfId="4838" xr:uid="{E5F58741-991D-44D6-AC3E-34C9267A7A63}"/>
    <cellStyle name="SAPBEXaggData 2 2 6" xfId="4839" xr:uid="{F98D18DA-5075-4890-9A66-9192C4C74D8C}"/>
    <cellStyle name="SAPBEXaggData 2 2 6 2" xfId="4840" xr:uid="{D81730CA-A413-4CC4-8AF3-9B2332B30A50}"/>
    <cellStyle name="SAPBEXaggData 2 2 7" xfId="4841" xr:uid="{A81942FE-BEFC-461F-BF4D-A9782F3CB1E9}"/>
    <cellStyle name="SAPBEXaggData 2 2 7 2" xfId="4842" xr:uid="{C9C5EA1F-4CEA-4313-BD67-DE8A3BFE65C6}"/>
    <cellStyle name="SAPBEXaggData 2 2 8" xfId="4843" xr:uid="{4C473835-307D-4983-8374-61FF49241F80}"/>
    <cellStyle name="SAPBEXaggData 2 2 8 2" xfId="4844" xr:uid="{F3853A06-3C36-4F93-A9F1-40AC800F0588}"/>
    <cellStyle name="SAPBEXaggData 2 2 9" xfId="4845" xr:uid="{4290FB7D-B31B-402D-9474-0DBB44A4AD59}"/>
    <cellStyle name="SAPBEXaggData 2 2 9 2" xfId="4846" xr:uid="{CAEFB9CC-7C30-4334-BD31-E3FF52351A39}"/>
    <cellStyle name="SAPBEXaggData 2 3" xfId="4847" xr:uid="{06D115F7-0A47-40B7-9B79-9B98551480F9}"/>
    <cellStyle name="SAPBEXaggData 2 3 10" xfId="4848" xr:uid="{F2818F82-54D4-4A13-8941-82AA665D0BD6}"/>
    <cellStyle name="SAPBEXaggData 2 3 10 2" xfId="4849" xr:uid="{21DEE1B4-0745-4745-825D-C45B9DB9E12B}"/>
    <cellStyle name="SAPBEXaggData 2 3 11" xfId="4850" xr:uid="{F9AA8C46-D5D4-433F-B313-3B32682EEB84}"/>
    <cellStyle name="SAPBEXaggData 2 3 11 2" xfId="4851" xr:uid="{8915FB8A-76DE-47E0-885B-0AAA8649E435}"/>
    <cellStyle name="SAPBEXaggData 2 3 12" xfId="4852" xr:uid="{4B82FC9C-C0DB-476F-AC7D-84B33F387F5A}"/>
    <cellStyle name="SAPBEXaggData 2 3 12 2" xfId="4853" xr:uid="{092B665C-71D5-4E99-B17A-CAC6423CC6DC}"/>
    <cellStyle name="SAPBEXaggData 2 3 13" xfId="4854" xr:uid="{5B9B2DD3-79B9-498D-ADB6-3172BA567676}"/>
    <cellStyle name="SAPBEXaggData 2 3 13 2" xfId="4855" xr:uid="{F5FB207D-1DD0-483D-9B66-BD4725498E46}"/>
    <cellStyle name="SAPBEXaggData 2 3 14" xfId="4856" xr:uid="{A81CD198-4878-45EE-9633-B55CDAC71BF0}"/>
    <cellStyle name="SAPBEXaggData 2 3 14 2" xfId="4857" xr:uid="{EA28A2A5-C5D1-4B7D-9C29-A804A4715FEF}"/>
    <cellStyle name="SAPBEXaggData 2 3 15" xfId="4858" xr:uid="{87194B69-4A8F-4480-8AFA-F1AD35FD1616}"/>
    <cellStyle name="SAPBEXaggData 2 3 15 2" xfId="4859" xr:uid="{745C0DDE-2F39-4047-9E7D-6B5292F1095A}"/>
    <cellStyle name="SAPBEXaggData 2 3 16" xfId="4860" xr:uid="{E8841A58-B5E6-4CD4-9659-76320E2BB3F7}"/>
    <cellStyle name="SAPBEXaggData 2 3 16 2" xfId="4861" xr:uid="{E54BD64A-5A18-47D2-BC19-7C5E25C08880}"/>
    <cellStyle name="SAPBEXaggData 2 3 17" xfId="4862" xr:uid="{7E03F9B9-AE19-4B38-ABE0-1CF92E7E51C1}"/>
    <cellStyle name="SAPBEXaggData 2 3 17 2" xfId="4863" xr:uid="{960C8AAA-D1BB-49AE-9EB5-0BED6D5ABF42}"/>
    <cellStyle name="SAPBEXaggData 2 3 2" xfId="4864" xr:uid="{E4529276-FA1E-489D-8F87-99CA0C92FBD2}"/>
    <cellStyle name="SAPBEXaggData 2 3 2 10" xfId="4865" xr:uid="{EA9CB0CC-10BE-4C9C-9E66-95E395615C5F}"/>
    <cellStyle name="SAPBEXaggData 2 3 2 10 2" xfId="4866" xr:uid="{915BBDCA-43F6-490A-8088-5BC317C0C3D9}"/>
    <cellStyle name="SAPBEXaggData 2 3 2 11" xfId="4867" xr:uid="{DBF43786-656E-449F-98A4-2C456D7F2F50}"/>
    <cellStyle name="SAPBEXaggData 2 3 2 11 2" xfId="4868" xr:uid="{5A5CBA20-3D33-458D-BA11-6BEE3AD22F93}"/>
    <cellStyle name="SAPBEXaggData 2 3 2 12" xfId="4869" xr:uid="{C5F41CB9-9631-4DA2-89FC-EBF55B425E0F}"/>
    <cellStyle name="SAPBEXaggData 2 3 2 12 2" xfId="4870" xr:uid="{B2DA695A-5892-456F-99EB-AFCB93761C13}"/>
    <cellStyle name="SAPBEXaggData 2 3 2 13" xfId="4871" xr:uid="{53C637C6-4186-4B56-A683-0297676750A3}"/>
    <cellStyle name="SAPBEXaggData 2 3 2 13 2" xfId="4872" xr:uid="{30EBD9B4-D069-4653-A231-2956EECE0EA1}"/>
    <cellStyle name="SAPBEXaggData 2 3 2 14" xfId="4873" xr:uid="{F742ED38-ED24-42E7-BFE1-644FED8BC6DB}"/>
    <cellStyle name="SAPBEXaggData 2 3 2 14 2" xfId="4874" xr:uid="{1C8BB0A5-A584-4EEE-9BD6-F8DCC8727FEB}"/>
    <cellStyle name="SAPBEXaggData 2 3 2 15" xfId="4875" xr:uid="{1EF5D01A-2178-44BC-8301-F116CD40D2B4}"/>
    <cellStyle name="SAPBEXaggData 2 3 2 15 2" xfId="4876" xr:uid="{DEA2568F-7950-47E4-88DB-B8081ADD0852}"/>
    <cellStyle name="SAPBEXaggData 2 3 2 2" xfId="4877" xr:uid="{F62E73FA-35EE-440A-8BB0-3B65EA1A13A0}"/>
    <cellStyle name="SAPBEXaggData 2 3 2 2 2" xfId="4878" xr:uid="{B3650E49-F981-4581-BFC4-1535B50455F2}"/>
    <cellStyle name="SAPBEXaggData 2 3 2 3" xfId="4879" xr:uid="{E7A40544-2EB9-4180-AD18-94BFB5FE94B1}"/>
    <cellStyle name="SAPBEXaggData 2 3 2 3 2" xfId="4880" xr:uid="{BA59C806-6632-47CA-9A2A-4B7D401FEEE7}"/>
    <cellStyle name="SAPBEXaggData 2 3 2 4" xfId="4881" xr:uid="{3C990CE9-107C-4FE2-B0A7-BB6F1DE8676C}"/>
    <cellStyle name="SAPBEXaggData 2 3 2 4 2" xfId="4882" xr:uid="{D12EEAB9-0165-40A9-A3F7-4BA68A63CF45}"/>
    <cellStyle name="SAPBEXaggData 2 3 2 5" xfId="4883" xr:uid="{5D6868D8-6BB3-4ACC-B87C-C75F7C9D5863}"/>
    <cellStyle name="SAPBEXaggData 2 3 2 5 2" xfId="4884" xr:uid="{A478E5F4-24A9-43A6-BCF8-768FC129DF4E}"/>
    <cellStyle name="SAPBEXaggData 2 3 2 6" xfId="4885" xr:uid="{097A1B3C-401C-4FA1-98A5-16B72B76C758}"/>
    <cellStyle name="SAPBEXaggData 2 3 2 6 2" xfId="4886" xr:uid="{1BC2EEC6-34FE-446E-BF83-9725C1112876}"/>
    <cellStyle name="SAPBEXaggData 2 3 2 7" xfId="4887" xr:uid="{5F27487C-6D8E-4C9D-AFCE-1B1EB2368BF1}"/>
    <cellStyle name="SAPBEXaggData 2 3 2 7 2" xfId="4888" xr:uid="{8EF1EEC6-5793-4DE3-A45A-949A367E0A07}"/>
    <cellStyle name="SAPBEXaggData 2 3 2 8" xfId="4889" xr:uid="{5734434E-8045-40D0-9560-974DE0D7E421}"/>
    <cellStyle name="SAPBEXaggData 2 3 2 8 2" xfId="4890" xr:uid="{C34313BA-A266-4926-831B-CFEE7D458432}"/>
    <cellStyle name="SAPBEXaggData 2 3 2 9" xfId="4891" xr:uid="{A93BFF53-91FD-4DC4-94A3-9146E46E251E}"/>
    <cellStyle name="SAPBEXaggData 2 3 2 9 2" xfId="4892" xr:uid="{BAA03AA9-4BD1-4C08-B9C3-BA401167E915}"/>
    <cellStyle name="SAPBEXaggData 2 3 3" xfId="4893" xr:uid="{5F78E76E-28E9-4D78-B3D2-F74968530142}"/>
    <cellStyle name="SAPBEXaggData 2 3 3 10" xfId="4894" xr:uid="{4E6CF7C1-1427-4831-9AC2-50A8EFB50060}"/>
    <cellStyle name="SAPBEXaggData 2 3 3 10 2" xfId="4895" xr:uid="{D914EEC1-B634-4746-9384-E76972D038C9}"/>
    <cellStyle name="SAPBEXaggData 2 3 3 11" xfId="4896" xr:uid="{A6140790-1D41-433C-B850-F05D753C9B27}"/>
    <cellStyle name="SAPBEXaggData 2 3 3 11 2" xfId="4897" xr:uid="{F8E0DF5D-9A99-402C-A545-976A7B6D2327}"/>
    <cellStyle name="SAPBEXaggData 2 3 3 12" xfId="4898" xr:uid="{7C59F143-6B72-4EE3-A2A9-AF2323378781}"/>
    <cellStyle name="SAPBEXaggData 2 3 3 12 2" xfId="4899" xr:uid="{3801F416-FE6B-430C-9A5B-4B5E3C031146}"/>
    <cellStyle name="SAPBEXaggData 2 3 3 13" xfId="4900" xr:uid="{DA466F21-7F60-42F7-95BB-7834ED928331}"/>
    <cellStyle name="SAPBEXaggData 2 3 3 13 2" xfId="4901" xr:uid="{ED9402DC-0231-407A-AA96-98B67C8E6F9A}"/>
    <cellStyle name="SAPBEXaggData 2 3 3 14" xfId="4902" xr:uid="{4B5318B9-9AB4-453C-BA27-68C8F8377A9B}"/>
    <cellStyle name="SAPBEXaggData 2 3 3 14 2" xfId="4903" xr:uid="{2C2D8E8A-08B4-4F1B-9F71-765BDB1CA405}"/>
    <cellStyle name="SAPBEXaggData 2 3 3 15" xfId="4904" xr:uid="{36847BED-3366-4073-A68A-D01D66F9AC96}"/>
    <cellStyle name="SAPBEXaggData 2 3 3 15 2" xfId="4905" xr:uid="{F7064DA0-0FCB-4097-9292-8D5E2C45CFF5}"/>
    <cellStyle name="SAPBEXaggData 2 3 3 2" xfId="4906" xr:uid="{F6FBC1D0-E769-4BF4-98FF-07755B620A00}"/>
    <cellStyle name="SAPBEXaggData 2 3 3 2 2" xfId="4907" xr:uid="{8BA308DD-C05B-477E-BAC4-EC3E184B0BB6}"/>
    <cellStyle name="SAPBEXaggData 2 3 3 3" xfId="4908" xr:uid="{63A7A3AD-7172-45B8-8496-13A03E9777F6}"/>
    <cellStyle name="SAPBEXaggData 2 3 3 3 2" xfId="4909" xr:uid="{638C7A48-F821-4014-A6A2-0550A50E15B3}"/>
    <cellStyle name="SAPBEXaggData 2 3 3 4" xfId="4910" xr:uid="{C56B0EAD-D943-44CD-B34D-F61851688FAE}"/>
    <cellStyle name="SAPBEXaggData 2 3 3 4 2" xfId="4911" xr:uid="{43DF5F1E-0CC3-4610-AF90-3E08820D6C38}"/>
    <cellStyle name="SAPBEXaggData 2 3 3 5" xfId="4912" xr:uid="{006787A2-15CD-4D18-9ABE-B450E4D64C33}"/>
    <cellStyle name="SAPBEXaggData 2 3 3 5 2" xfId="4913" xr:uid="{4E3780A5-266B-416F-B5C6-4B71232625CC}"/>
    <cellStyle name="SAPBEXaggData 2 3 3 6" xfId="4914" xr:uid="{B62B2711-43BB-4187-B5BD-2D6B02F942D9}"/>
    <cellStyle name="SAPBEXaggData 2 3 3 6 2" xfId="4915" xr:uid="{0A6E09AE-1A13-4343-B7BE-6B2A7E20E670}"/>
    <cellStyle name="SAPBEXaggData 2 3 3 7" xfId="4916" xr:uid="{4CE15AAB-4345-437C-A946-E6F38ED32EB3}"/>
    <cellStyle name="SAPBEXaggData 2 3 3 7 2" xfId="4917" xr:uid="{8616E27A-03B2-444E-BAD6-09EF1DB615E6}"/>
    <cellStyle name="SAPBEXaggData 2 3 3 8" xfId="4918" xr:uid="{02EA7D63-F0E3-44D5-94F2-8CCB33CE7A70}"/>
    <cellStyle name="SAPBEXaggData 2 3 3 8 2" xfId="4919" xr:uid="{3F00C5B4-1990-4782-989F-5F6424AF5AD0}"/>
    <cellStyle name="SAPBEXaggData 2 3 3 9" xfId="4920" xr:uid="{3CDE93BA-1FCA-4C2A-9F1D-53737BB01291}"/>
    <cellStyle name="SAPBEXaggData 2 3 3 9 2" xfId="4921" xr:uid="{3613427D-E948-458B-8E28-F5D305B614A0}"/>
    <cellStyle name="SAPBEXaggData 2 3 4" xfId="4922" xr:uid="{C2EEA7E1-8480-4ECA-871D-239904C996B9}"/>
    <cellStyle name="SAPBEXaggData 2 3 4 2" xfId="4923" xr:uid="{1EA22AB3-FB16-4CB0-8F95-29178B2254F1}"/>
    <cellStyle name="SAPBEXaggData 2 3 5" xfId="4924" xr:uid="{62231410-7AEA-4987-99C4-7067190BADFC}"/>
    <cellStyle name="SAPBEXaggData 2 3 5 2" xfId="4925" xr:uid="{28C48E81-B4F7-421D-9130-540ED8D293E8}"/>
    <cellStyle name="SAPBEXaggData 2 3 6" xfId="4926" xr:uid="{E4EEE6B5-53EF-4DB9-A8FC-FC0CE70F2597}"/>
    <cellStyle name="SAPBEXaggData 2 3 6 2" xfId="4927" xr:uid="{26BCFE27-4DD5-4394-83A5-E7815C6849AD}"/>
    <cellStyle name="SAPBEXaggData 2 3 7" xfId="4928" xr:uid="{7EED5B20-4FF6-4637-826D-CA37AC57C689}"/>
    <cellStyle name="SAPBEXaggData 2 3 7 2" xfId="4929" xr:uid="{3B090D31-60CB-4431-9AE0-E7A06F64BADD}"/>
    <cellStyle name="SAPBEXaggData 2 3 8" xfId="4930" xr:uid="{FC2AED64-4AA1-438E-9EC5-ABAD98C419EE}"/>
    <cellStyle name="SAPBEXaggData 2 3 8 2" xfId="4931" xr:uid="{D9F8E31F-6339-42E2-86E4-D9E90373C5C4}"/>
    <cellStyle name="SAPBEXaggData 2 3 9" xfId="4932" xr:uid="{5C5A8679-CFB7-49A8-B44F-9FE820248D82}"/>
    <cellStyle name="SAPBEXaggData 2 3 9 2" xfId="4933" xr:uid="{113DAA05-3031-4549-9FF7-E07B2D8D1171}"/>
    <cellStyle name="SAPBEXaggData 2 4" xfId="4934" xr:uid="{B94550E1-72B9-4E14-9973-862F0BDDD33C}"/>
    <cellStyle name="SAPBEXaggData 2 4 10" xfId="4935" xr:uid="{A2DBE1C1-2942-4040-B918-1A297286BF01}"/>
    <cellStyle name="SAPBEXaggData 2 4 10 2" xfId="4936" xr:uid="{A37A30C9-7E90-481F-98F3-2CA805F66602}"/>
    <cellStyle name="SAPBEXaggData 2 4 11" xfId="4937" xr:uid="{83A34B32-289E-4DD6-A4CF-5AE30BEDEC09}"/>
    <cellStyle name="SAPBEXaggData 2 4 11 2" xfId="4938" xr:uid="{966D10C8-D843-413F-958E-21125B414D98}"/>
    <cellStyle name="SAPBEXaggData 2 4 12" xfId="4939" xr:uid="{33A150FD-685D-4A39-8909-5965968EAE13}"/>
    <cellStyle name="SAPBEXaggData 2 4 12 2" xfId="4940" xr:uid="{D8569DEA-04E7-4C64-9379-CE7360171534}"/>
    <cellStyle name="SAPBEXaggData 2 4 13" xfId="4941" xr:uid="{E44561B7-3156-4996-8448-F4B4801D0BAB}"/>
    <cellStyle name="SAPBEXaggData 2 4 13 2" xfId="4942" xr:uid="{2E312F3F-B161-4839-B8A9-88DD3FFAD790}"/>
    <cellStyle name="SAPBEXaggData 2 4 14" xfId="4943" xr:uid="{30280CDD-AFBA-451F-AB16-F78C389CFF96}"/>
    <cellStyle name="SAPBEXaggData 2 4 14 2" xfId="4944" xr:uid="{22ECB14C-23BD-4E8E-ABD6-20BD71070FEC}"/>
    <cellStyle name="SAPBEXaggData 2 4 15" xfId="4945" xr:uid="{030A671B-E898-44F8-978F-73B69F3CD437}"/>
    <cellStyle name="SAPBEXaggData 2 4 15 2" xfId="4946" xr:uid="{EE96683B-2A63-4939-9622-A58AA52167E1}"/>
    <cellStyle name="SAPBEXaggData 2 4 16" xfId="4947" xr:uid="{12E8ECEA-A26E-4EC6-AE64-3A168016D3F5}"/>
    <cellStyle name="SAPBEXaggData 2 4 16 2" xfId="4948" xr:uid="{94DA2BBC-F24B-4090-9677-02CAC5D5FCB6}"/>
    <cellStyle name="SAPBEXaggData 2 4 17" xfId="4949" xr:uid="{87434F46-76CF-42FA-969D-26534847304C}"/>
    <cellStyle name="SAPBEXaggData 2 4 17 2" xfId="4950" xr:uid="{BA07E6AE-01E9-43F2-B3FB-9A95614A30CD}"/>
    <cellStyle name="SAPBEXaggData 2 4 2" xfId="4951" xr:uid="{AAF1A686-196C-4592-8BD5-C7E7C77A5D64}"/>
    <cellStyle name="SAPBEXaggData 2 4 2 10" xfId="4952" xr:uid="{7613B6D2-C978-49F9-9CD7-CDEBD423B93B}"/>
    <cellStyle name="SAPBEXaggData 2 4 2 10 2" xfId="4953" xr:uid="{187713F0-856E-4BDE-AAF3-3EF450FC6C65}"/>
    <cellStyle name="SAPBEXaggData 2 4 2 11" xfId="4954" xr:uid="{32C1CDA5-F84A-4740-BE3D-32D4CAE2D969}"/>
    <cellStyle name="SAPBEXaggData 2 4 2 11 2" xfId="4955" xr:uid="{44B499A2-082C-441C-BD55-8148E825EB10}"/>
    <cellStyle name="SAPBEXaggData 2 4 2 12" xfId="4956" xr:uid="{13A0AD75-5200-4468-90B3-CA17B0417FA9}"/>
    <cellStyle name="SAPBEXaggData 2 4 2 12 2" xfId="4957" xr:uid="{14033635-CD75-4080-8239-E060773F54A0}"/>
    <cellStyle name="SAPBEXaggData 2 4 2 13" xfId="4958" xr:uid="{65A95F1E-9ABA-46E8-8376-7CCB8D7C04C7}"/>
    <cellStyle name="SAPBEXaggData 2 4 2 13 2" xfId="4959" xr:uid="{729962FB-C8C1-4198-A51A-5101C1F4A235}"/>
    <cellStyle name="SAPBEXaggData 2 4 2 14" xfId="4960" xr:uid="{A5A9B0E7-15A5-4238-A22F-9D38C58CB225}"/>
    <cellStyle name="SAPBEXaggData 2 4 2 14 2" xfId="4961" xr:uid="{4562BB35-7697-493A-B270-8A23B6437FB0}"/>
    <cellStyle name="SAPBEXaggData 2 4 2 15" xfId="4962" xr:uid="{9BBB0F02-4A13-48B9-9BDE-9B27BEBB33F4}"/>
    <cellStyle name="SAPBEXaggData 2 4 2 15 2" xfId="4963" xr:uid="{F5F07745-E835-4DC3-B34A-AABDBBF41A42}"/>
    <cellStyle name="SAPBEXaggData 2 4 2 2" xfId="4964" xr:uid="{E4A6854D-EF8A-435E-B596-061B1E2C3E6A}"/>
    <cellStyle name="SAPBEXaggData 2 4 2 2 2" xfId="4965" xr:uid="{7A701277-1482-4D47-8029-F56CD42A1045}"/>
    <cellStyle name="SAPBEXaggData 2 4 2 3" xfId="4966" xr:uid="{FAA0AFFD-9A05-467B-BAB5-FE13B13A175F}"/>
    <cellStyle name="SAPBEXaggData 2 4 2 3 2" xfId="4967" xr:uid="{E7D470E2-5610-475B-8F93-4E8E1334D3DF}"/>
    <cellStyle name="SAPBEXaggData 2 4 2 4" xfId="4968" xr:uid="{18C56337-7717-4C2F-84FD-9D3CAFDBD8D5}"/>
    <cellStyle name="SAPBEXaggData 2 4 2 4 2" xfId="4969" xr:uid="{A6318361-7AFE-4D36-A71E-2DAF1070342F}"/>
    <cellStyle name="SAPBEXaggData 2 4 2 5" xfId="4970" xr:uid="{8CE0DF88-5AE8-40D5-8B78-3AAB442517B4}"/>
    <cellStyle name="SAPBEXaggData 2 4 2 5 2" xfId="4971" xr:uid="{C5F59156-8246-43E3-9CC4-62EC81B6EFF2}"/>
    <cellStyle name="SAPBEXaggData 2 4 2 6" xfId="4972" xr:uid="{DE5B248A-8CBF-4DF1-AC50-07BD8ACAAAD6}"/>
    <cellStyle name="SAPBEXaggData 2 4 2 6 2" xfId="4973" xr:uid="{47A92C46-6E8B-4CAB-830D-9E3098EA2586}"/>
    <cellStyle name="SAPBEXaggData 2 4 2 7" xfId="4974" xr:uid="{F9297B69-12E9-486A-B54E-94E226A8824E}"/>
    <cellStyle name="SAPBEXaggData 2 4 2 7 2" xfId="4975" xr:uid="{34394A85-B7CB-4050-9B71-CED4D1696500}"/>
    <cellStyle name="SAPBEXaggData 2 4 2 8" xfId="4976" xr:uid="{8D00E4AC-B2D0-4983-9AE6-835BD614B79C}"/>
    <cellStyle name="SAPBEXaggData 2 4 2 8 2" xfId="4977" xr:uid="{A288598D-732E-44EE-AD02-A5847D2180EB}"/>
    <cellStyle name="SAPBEXaggData 2 4 2 9" xfId="4978" xr:uid="{89F9FA1F-95A9-47E7-8C7B-277C05F31815}"/>
    <cellStyle name="SAPBEXaggData 2 4 2 9 2" xfId="4979" xr:uid="{BC19EBE1-ACA7-48B8-87AA-B054B276D4FA}"/>
    <cellStyle name="SAPBEXaggData 2 4 3" xfId="4980" xr:uid="{51A2693B-8EEB-40B8-8AF1-78842D407AE0}"/>
    <cellStyle name="SAPBEXaggData 2 4 3 10" xfId="4981" xr:uid="{97CE59AC-FB65-48C0-B5BF-ABDA84C6B37E}"/>
    <cellStyle name="SAPBEXaggData 2 4 3 10 2" xfId="4982" xr:uid="{240EE86E-C0B5-425D-AE9E-4B101EE79A89}"/>
    <cellStyle name="SAPBEXaggData 2 4 3 11" xfId="4983" xr:uid="{5DCF4C95-5CFD-47C4-BF9B-2E6EE63407B4}"/>
    <cellStyle name="SAPBEXaggData 2 4 3 11 2" xfId="4984" xr:uid="{CD5B573C-DB0D-41A4-9B15-F2ADAD8B48CE}"/>
    <cellStyle name="SAPBEXaggData 2 4 3 12" xfId="4985" xr:uid="{684352AA-1FC9-426B-959E-4640F05A6C9D}"/>
    <cellStyle name="SAPBEXaggData 2 4 3 12 2" xfId="4986" xr:uid="{64157612-3FDB-44F1-91E6-1AC3CEE11932}"/>
    <cellStyle name="SAPBEXaggData 2 4 3 13" xfId="4987" xr:uid="{212A46CB-2C6E-4C9C-B3FB-E29C3014FC60}"/>
    <cellStyle name="SAPBEXaggData 2 4 3 13 2" xfId="4988" xr:uid="{38ECD38D-E90C-4576-B149-D7FB2E8550AD}"/>
    <cellStyle name="SAPBEXaggData 2 4 3 14" xfId="4989" xr:uid="{AC041C49-E766-4129-9D0E-C4FABDE1237B}"/>
    <cellStyle name="SAPBEXaggData 2 4 3 14 2" xfId="4990" xr:uid="{8DB89EA3-3903-48B9-8D47-12C8982C5FF4}"/>
    <cellStyle name="SAPBEXaggData 2 4 3 15" xfId="4991" xr:uid="{D5B51FA9-83FC-4FE0-8510-BFA1E4E7B8EF}"/>
    <cellStyle name="SAPBEXaggData 2 4 3 15 2" xfId="4992" xr:uid="{20441B50-5C2D-44E5-B6E2-069B58E61142}"/>
    <cellStyle name="SAPBEXaggData 2 4 3 2" xfId="4993" xr:uid="{48850228-A7C2-4C25-9A21-A50FACC64DC5}"/>
    <cellStyle name="SAPBEXaggData 2 4 3 2 2" xfId="4994" xr:uid="{B424183A-25CA-4F50-B247-4DB819858C71}"/>
    <cellStyle name="SAPBEXaggData 2 4 3 3" xfId="4995" xr:uid="{4A5733E7-9393-48CA-92D0-A1A1E2BA3B36}"/>
    <cellStyle name="SAPBEXaggData 2 4 3 3 2" xfId="4996" xr:uid="{3698EBC4-8943-4472-9DC4-CA2C7D9B809F}"/>
    <cellStyle name="SAPBEXaggData 2 4 3 4" xfId="4997" xr:uid="{63BFD8EA-7F1E-44C6-A53B-BEFAF9BE5AD1}"/>
    <cellStyle name="SAPBEXaggData 2 4 3 4 2" xfId="4998" xr:uid="{94CCF5D7-7684-41B4-B93D-2D9489CFC980}"/>
    <cellStyle name="SAPBEXaggData 2 4 3 5" xfId="4999" xr:uid="{3E1EACF7-FA29-42F3-9A5C-5EC85FC275F2}"/>
    <cellStyle name="SAPBEXaggData 2 4 3 5 2" xfId="5000" xr:uid="{0796DC84-71EF-42EA-8256-3FE5509FECDB}"/>
    <cellStyle name="SAPBEXaggData 2 4 3 6" xfId="5001" xr:uid="{E4C275F7-8B9A-4DA8-AFA4-A5A601EB3E70}"/>
    <cellStyle name="SAPBEXaggData 2 4 3 6 2" xfId="5002" xr:uid="{14F7C3EB-F813-4B98-9A79-D4D6DB6F1E12}"/>
    <cellStyle name="SAPBEXaggData 2 4 3 7" xfId="5003" xr:uid="{72E41E7D-9F46-48A2-8858-D452B3B4CF9E}"/>
    <cellStyle name="SAPBEXaggData 2 4 3 7 2" xfId="5004" xr:uid="{D108FACB-A89B-4E27-B7A3-13C3A91938D0}"/>
    <cellStyle name="SAPBEXaggData 2 4 3 8" xfId="5005" xr:uid="{DBB856D6-5860-47B9-9EE0-F77C445CC5CE}"/>
    <cellStyle name="SAPBEXaggData 2 4 3 8 2" xfId="5006" xr:uid="{E7457DB9-18D6-411D-93D3-6E515BC5F549}"/>
    <cellStyle name="SAPBEXaggData 2 4 3 9" xfId="5007" xr:uid="{D6EDA762-284D-4253-8BB9-B60858D23303}"/>
    <cellStyle name="SAPBEXaggData 2 4 3 9 2" xfId="5008" xr:uid="{02EA9807-48C1-452B-8291-B0B1621531FE}"/>
    <cellStyle name="SAPBEXaggData 2 4 4" xfId="5009" xr:uid="{F158398C-0B78-4A4B-B648-93CA61C20641}"/>
    <cellStyle name="SAPBEXaggData 2 4 4 2" xfId="5010" xr:uid="{5B4D810C-933D-45A1-920C-E03FD2AF8F72}"/>
    <cellStyle name="SAPBEXaggData 2 4 5" xfId="5011" xr:uid="{A68D7B21-D795-47E4-B1BF-252905DAF290}"/>
    <cellStyle name="SAPBEXaggData 2 4 5 2" xfId="5012" xr:uid="{7573C93C-E325-4767-88F4-5F0D1F76CCF0}"/>
    <cellStyle name="SAPBEXaggData 2 4 6" xfId="5013" xr:uid="{17F68E84-D8E1-4091-BB6B-F87737D45980}"/>
    <cellStyle name="SAPBEXaggData 2 4 6 2" xfId="5014" xr:uid="{BB5529AE-8B46-4B25-B4F7-1FB516470536}"/>
    <cellStyle name="SAPBEXaggData 2 4 7" xfId="5015" xr:uid="{996033C1-8A23-4318-A4F7-CDE477164CC2}"/>
    <cellStyle name="SAPBEXaggData 2 4 7 2" xfId="5016" xr:uid="{ABB5F6D4-69F0-4047-90EE-AB0E7918F642}"/>
    <cellStyle name="SAPBEXaggData 2 4 8" xfId="5017" xr:uid="{E81F4870-33EC-40D3-B8B3-2FB80E552942}"/>
    <cellStyle name="SAPBEXaggData 2 4 8 2" xfId="5018" xr:uid="{5DDAC21A-24E6-416C-99B3-AE3251916D09}"/>
    <cellStyle name="SAPBEXaggData 2 4 9" xfId="5019" xr:uid="{EA7095CB-C279-421D-B04A-A4AAD2173833}"/>
    <cellStyle name="SAPBEXaggData 2 4 9 2" xfId="5020" xr:uid="{0A0000A8-6C92-4AA8-81FA-1C249D89CF0D}"/>
    <cellStyle name="SAPBEXaggData 2 5" xfId="5021" xr:uid="{4C116626-0C38-41D2-8E2B-5225587DB334}"/>
    <cellStyle name="SAPBEXaggData 2 5 2" xfId="5022" xr:uid="{10879EFF-485E-44B8-B1DB-A2926ADC17B9}"/>
    <cellStyle name="SAPBEXaggData 2 6" xfId="5023" xr:uid="{A327D28B-9EA2-4530-A396-8FA106B5FF95}"/>
    <cellStyle name="SAPBEXaggData 2 6 2" xfId="5024" xr:uid="{DE91BF33-2664-48CF-88E5-23C7CF537865}"/>
    <cellStyle name="SAPBEXaggData 2 7" xfId="5025" xr:uid="{2EF433B8-9DEF-4437-B4F9-C8FDC6CF703C}"/>
    <cellStyle name="SAPBEXaggData 2 7 2" xfId="5026" xr:uid="{E74F783A-EFB6-45CE-AF18-FC01E79ABC31}"/>
    <cellStyle name="SAPBEXaggData 2 8" xfId="5027" xr:uid="{D1716BD6-CABD-4E70-9264-BA0A10E47ABD}"/>
    <cellStyle name="SAPBEXaggData 2 8 2" xfId="5028" xr:uid="{4D59CF8F-A0F7-4B89-B89B-DD53077466BA}"/>
    <cellStyle name="SAPBEXaggData 2 9" xfId="5029" xr:uid="{6BBB3E36-1773-4420-A3FD-3940783F8D4C}"/>
    <cellStyle name="SAPBEXaggData 2 9 2" xfId="5030" xr:uid="{2AECF2F8-1C7B-493F-A52B-EC4EB8F28309}"/>
    <cellStyle name="SAPBEXaggData 2_T1 ANSP" xfId="4741" xr:uid="{1FD89144-71DD-429D-9F3C-288B50627A03}"/>
    <cellStyle name="SAPBEXaggData 20" xfId="5031" xr:uid="{BBD66FAD-C859-43DF-9395-8D3EB027BC73}"/>
    <cellStyle name="SAPBEXaggData 3" xfId="1498" xr:uid="{00000000-0005-0000-0000-000053050000}"/>
    <cellStyle name="SAPBEXaggData 3 10" xfId="5033" xr:uid="{EFCC1BEC-1128-4721-9EF2-074E008E6938}"/>
    <cellStyle name="SAPBEXaggData 3 10 2" xfId="5034" xr:uid="{C66CA603-5817-4D36-BF31-3F3A4C241159}"/>
    <cellStyle name="SAPBEXaggData 3 11" xfId="5035" xr:uid="{87234578-A0A5-48F2-BF69-A6904AAE25DD}"/>
    <cellStyle name="SAPBEXaggData 3 11 2" xfId="5036" xr:uid="{129F575E-7A50-49B8-A9B4-A16D2AC179A0}"/>
    <cellStyle name="SAPBEXaggData 3 12" xfId="5037" xr:uid="{4CD39208-5F52-4A95-8743-28430AA722F7}"/>
    <cellStyle name="SAPBEXaggData 3 12 2" xfId="5038" xr:uid="{1A96CF16-FE97-408E-8FB3-5737F02CB1EE}"/>
    <cellStyle name="SAPBEXaggData 3 13" xfId="5039" xr:uid="{F22AAE9A-8FD0-4905-A61A-E65DFEBA2A31}"/>
    <cellStyle name="SAPBEXaggData 3 13 2" xfId="5040" xr:uid="{9DDD9438-6100-4C1A-BF0C-FE4D5021C41E}"/>
    <cellStyle name="SAPBEXaggData 3 14" xfId="5041" xr:uid="{B9B0BF1B-CCFC-48B0-AF5B-AA9F68A3A40D}"/>
    <cellStyle name="SAPBEXaggData 3 14 2" xfId="5042" xr:uid="{37F30D12-AD7F-4446-978B-7E2287BE2255}"/>
    <cellStyle name="SAPBEXaggData 3 15" xfId="5043" xr:uid="{3CD73210-D3B0-4B16-BF02-AB411C13C8A8}"/>
    <cellStyle name="SAPBEXaggData 3 15 2" xfId="5044" xr:uid="{F79D7232-F3D4-4B8E-9A8A-DE8318711498}"/>
    <cellStyle name="SAPBEXaggData 3 16" xfId="5045" xr:uid="{905390B7-E0A9-460B-AFDB-2E4071F1060D}"/>
    <cellStyle name="SAPBEXaggData 3 16 2" xfId="5046" xr:uid="{56E83922-623E-46B3-AF29-218520A2C1D1}"/>
    <cellStyle name="SAPBEXaggData 3 17" xfId="5047" xr:uid="{159194A4-996A-4889-B0A1-21AA837D44E1}"/>
    <cellStyle name="SAPBEXaggData 3 17 2" xfId="5048" xr:uid="{3D26802B-AE2E-4AE1-99A0-FCBA2BC9B498}"/>
    <cellStyle name="SAPBEXaggData 3 18" xfId="5049" xr:uid="{BCD11282-E52A-4BD4-BF18-711DE0C394CF}"/>
    <cellStyle name="SAPBEXaggData 3 2" xfId="5050" xr:uid="{819E7381-5B9A-4C65-92BD-A63614CB0CDB}"/>
    <cellStyle name="SAPBEXaggData 3 2 10" xfId="5051" xr:uid="{0E1E1014-5296-4504-B1F6-E2E5CF3984E9}"/>
    <cellStyle name="SAPBEXaggData 3 2 10 2" xfId="5052" xr:uid="{38A618EF-2AC8-4690-9AE1-5A6D89C73E35}"/>
    <cellStyle name="SAPBEXaggData 3 2 11" xfId="5053" xr:uid="{26E14276-6EBC-41DE-BD6B-43CAF3A13CFE}"/>
    <cellStyle name="SAPBEXaggData 3 2 11 2" xfId="5054" xr:uid="{E03C8F5F-84A9-48FF-83B2-FA1AAC12E877}"/>
    <cellStyle name="SAPBEXaggData 3 2 12" xfId="5055" xr:uid="{6CCB8D03-A97C-4DBC-9546-7DBF5E1BF303}"/>
    <cellStyle name="SAPBEXaggData 3 2 12 2" xfId="5056" xr:uid="{B6BF7469-CF00-471E-9A44-DDF4D73D889E}"/>
    <cellStyle name="SAPBEXaggData 3 2 13" xfId="5057" xr:uid="{DEA1A652-CB53-41B8-B9FA-5D92435DFFF0}"/>
    <cellStyle name="SAPBEXaggData 3 2 13 2" xfId="5058" xr:uid="{6C4BC56E-5F64-4076-A07E-B8A1394A5AF3}"/>
    <cellStyle name="SAPBEXaggData 3 2 14" xfId="5059" xr:uid="{9143A9EB-EA8A-413A-B5E8-C1947F564F1C}"/>
    <cellStyle name="SAPBEXaggData 3 2 14 2" xfId="5060" xr:uid="{6EB3207D-8DCD-425F-B0EF-63F70A2724B2}"/>
    <cellStyle name="SAPBEXaggData 3 2 15" xfId="5061" xr:uid="{0F88D577-1FB2-41CB-898E-A06D174EE3A9}"/>
    <cellStyle name="SAPBEXaggData 3 2 15 2" xfId="5062" xr:uid="{E1B0D5FB-D410-4D11-B61B-1AE0EB7A84B2}"/>
    <cellStyle name="SAPBEXaggData 3 2 16" xfId="5063" xr:uid="{9D5A81D4-C327-4A84-8DA0-41EE5844A2F9}"/>
    <cellStyle name="SAPBEXaggData 3 2 2" xfId="5064" xr:uid="{6B9C4903-A567-47A2-B919-45621CDD4935}"/>
    <cellStyle name="SAPBEXaggData 3 2 2 2" xfId="5065" xr:uid="{E84990DA-3E92-488B-8F67-8E75D3C9EE00}"/>
    <cellStyle name="SAPBEXaggData 3 2 3" xfId="5066" xr:uid="{6B35DC99-3B40-413A-A1EA-A01977DCE9ED}"/>
    <cellStyle name="SAPBEXaggData 3 2 3 2" xfId="5067" xr:uid="{BFEECEF0-80B6-477D-B756-18FA6FA90131}"/>
    <cellStyle name="SAPBEXaggData 3 2 4" xfId="5068" xr:uid="{D9341D74-9B1F-4622-8FE7-B3E5DA7B9746}"/>
    <cellStyle name="SAPBEXaggData 3 2 4 2" xfId="5069" xr:uid="{F6821A5A-BC3A-4114-99BC-E9ECE26D0067}"/>
    <cellStyle name="SAPBEXaggData 3 2 5" xfId="5070" xr:uid="{E18002E1-52F2-45C1-838D-306396AD35F0}"/>
    <cellStyle name="SAPBEXaggData 3 2 5 2" xfId="5071" xr:uid="{E9991D0D-A7AD-47B2-B2FB-7CC2F03086FC}"/>
    <cellStyle name="SAPBEXaggData 3 2 6" xfId="5072" xr:uid="{C8D9F2C6-0666-4404-8CBB-EB23DE198721}"/>
    <cellStyle name="SAPBEXaggData 3 2 6 2" xfId="5073" xr:uid="{C1D08CA5-695C-40CA-AE82-B2EED8D6DD04}"/>
    <cellStyle name="SAPBEXaggData 3 2 7" xfId="5074" xr:uid="{D2741B43-8F03-4C5E-B3EE-85B96F1A57D7}"/>
    <cellStyle name="SAPBEXaggData 3 2 7 2" xfId="5075" xr:uid="{D83CCF1E-DBF3-4729-AF99-299BF4C0CAC3}"/>
    <cellStyle name="SAPBEXaggData 3 2 8" xfId="5076" xr:uid="{6042F0C3-C325-44E3-8557-EDFF1D7D9978}"/>
    <cellStyle name="SAPBEXaggData 3 2 8 2" xfId="5077" xr:uid="{D480A54B-03BF-4349-A690-BF3127769CEC}"/>
    <cellStyle name="SAPBEXaggData 3 2 9" xfId="5078" xr:uid="{E7A0B64C-2841-4DC1-8D27-373A4EAFBAA0}"/>
    <cellStyle name="SAPBEXaggData 3 2 9 2" xfId="5079" xr:uid="{BB5F6268-4FF9-41D9-83A4-8D07568E05FD}"/>
    <cellStyle name="SAPBEXaggData 3 3" xfId="5080" xr:uid="{CA7E4A2A-30F9-44CF-8F43-AA6BA83FF1B0}"/>
    <cellStyle name="SAPBEXaggData 3 3 10" xfId="5081" xr:uid="{EE65C765-8D19-42AD-9468-CE7FD4AE80DA}"/>
    <cellStyle name="SAPBEXaggData 3 3 10 2" xfId="5082" xr:uid="{032B27F4-76B2-446E-B48C-3D15E207CF71}"/>
    <cellStyle name="SAPBEXaggData 3 3 11" xfId="5083" xr:uid="{34725E8D-6E0A-4FC6-ADD4-F3EEA0564B82}"/>
    <cellStyle name="SAPBEXaggData 3 3 11 2" xfId="5084" xr:uid="{8865E7E5-3E43-4A42-8267-03AF76D8425D}"/>
    <cellStyle name="SAPBEXaggData 3 3 12" xfId="5085" xr:uid="{CEF1CA29-AF1D-443B-972A-E281C0F66F3A}"/>
    <cellStyle name="SAPBEXaggData 3 3 12 2" xfId="5086" xr:uid="{BCEC92F4-4939-4DFA-B0D0-78221FFDBF2D}"/>
    <cellStyle name="SAPBEXaggData 3 3 13" xfId="5087" xr:uid="{A3F67F18-527C-449E-A374-DECA27FC4215}"/>
    <cellStyle name="SAPBEXaggData 3 3 13 2" xfId="5088" xr:uid="{C3C3FED0-0DDE-400B-87B6-039984681646}"/>
    <cellStyle name="SAPBEXaggData 3 3 14" xfId="5089" xr:uid="{770335E2-A139-40B6-8593-27EB56305030}"/>
    <cellStyle name="SAPBEXaggData 3 3 14 2" xfId="5090" xr:uid="{C7531CDB-AAAF-436C-8423-CEE5EAEB81E8}"/>
    <cellStyle name="SAPBEXaggData 3 3 15" xfId="5091" xr:uid="{C19194DD-1CA2-46F0-965A-6E7CBEC1FBF2}"/>
    <cellStyle name="SAPBEXaggData 3 3 15 2" xfId="5092" xr:uid="{0B26063C-E2BB-4595-BA10-B4B6A0598EA5}"/>
    <cellStyle name="SAPBEXaggData 3 3 16" xfId="5093" xr:uid="{9D8DC54E-68AB-4EC1-AF87-379FC00E1558}"/>
    <cellStyle name="SAPBEXaggData 3 3 2" xfId="5094" xr:uid="{8C298BF0-7AD4-4B6D-8C14-323AD839668B}"/>
    <cellStyle name="SAPBEXaggData 3 3 2 2" xfId="5095" xr:uid="{743ACBE0-BCA9-4445-B177-935854A183FE}"/>
    <cellStyle name="SAPBEXaggData 3 3 3" xfId="5096" xr:uid="{926E6B70-5614-404C-A2BC-8731B85D4761}"/>
    <cellStyle name="SAPBEXaggData 3 3 3 2" xfId="5097" xr:uid="{2DC6751C-55B8-4E47-B7CA-D6F9B6CD2139}"/>
    <cellStyle name="SAPBEXaggData 3 3 4" xfId="5098" xr:uid="{9D6152FF-4A32-46C3-BE9A-DF6610C2E969}"/>
    <cellStyle name="SAPBEXaggData 3 3 4 2" xfId="5099" xr:uid="{7F4A762A-EA2D-4772-AFD0-F2FAEE443942}"/>
    <cellStyle name="SAPBEXaggData 3 3 5" xfId="5100" xr:uid="{58805874-6B13-49F0-BA5E-5B81F12DD11E}"/>
    <cellStyle name="SAPBEXaggData 3 3 5 2" xfId="5101" xr:uid="{6B586055-42EC-4FA7-BEB7-BFB5E4549A81}"/>
    <cellStyle name="SAPBEXaggData 3 3 6" xfId="5102" xr:uid="{DEBFABDC-0E95-4483-BE4D-A4DB707218A3}"/>
    <cellStyle name="SAPBEXaggData 3 3 6 2" xfId="5103" xr:uid="{7D7F17D4-7883-4890-A6E9-A075349EB7AD}"/>
    <cellStyle name="SAPBEXaggData 3 3 7" xfId="5104" xr:uid="{FF1DBEEE-6CEA-4AFD-AF2E-CB94FA90FA42}"/>
    <cellStyle name="SAPBEXaggData 3 3 7 2" xfId="5105" xr:uid="{2B8667FD-A020-4EDB-BA4C-621AE87B4F70}"/>
    <cellStyle name="SAPBEXaggData 3 3 8" xfId="5106" xr:uid="{E444FA66-265C-46FC-81B4-79AA4F0978FC}"/>
    <cellStyle name="SAPBEXaggData 3 3 8 2" xfId="5107" xr:uid="{7E7C3106-6F81-43D7-BAD4-F8806C21CAC3}"/>
    <cellStyle name="SAPBEXaggData 3 3 9" xfId="5108" xr:uid="{758EA981-F8A4-4845-BD6D-020678119D38}"/>
    <cellStyle name="SAPBEXaggData 3 3 9 2" xfId="5109" xr:uid="{2F187AAC-36D7-443A-819F-5CB2750FD9B0}"/>
    <cellStyle name="SAPBEXaggData 3 4" xfId="5110" xr:uid="{683B2D7F-7A99-4745-99D4-D9F2EAC3188C}"/>
    <cellStyle name="SAPBEXaggData 3 4 2" xfId="5111" xr:uid="{EF48F54D-3751-4D17-96EF-9D4449D199E4}"/>
    <cellStyle name="SAPBEXaggData 3 5" xfId="5112" xr:uid="{50D9421E-724D-4ABF-B617-91E57BEF78B7}"/>
    <cellStyle name="SAPBEXaggData 3 5 2" xfId="5113" xr:uid="{91443DA1-8207-406C-8F11-11FAFE2485AF}"/>
    <cellStyle name="SAPBEXaggData 3 6" xfId="5114" xr:uid="{E64C0672-0BC3-4220-B6B2-A22B744E6511}"/>
    <cellStyle name="SAPBEXaggData 3 6 2" xfId="5115" xr:uid="{44689B65-A26D-4AB6-AA70-1022CCCCD211}"/>
    <cellStyle name="SAPBEXaggData 3 7" xfId="5116" xr:uid="{63240424-459C-4A87-B0BA-8E0D48043201}"/>
    <cellStyle name="SAPBEXaggData 3 7 2" xfId="5117" xr:uid="{1981AEF9-C4C0-4A27-BB3C-8A3723964E01}"/>
    <cellStyle name="SAPBEXaggData 3 8" xfId="5118" xr:uid="{6AB339D0-544E-4327-84A8-1CAAD555055E}"/>
    <cellStyle name="SAPBEXaggData 3 8 2" xfId="5119" xr:uid="{BA0DDE56-D17D-4BC9-B679-B1A6B025AD64}"/>
    <cellStyle name="SAPBEXaggData 3 9" xfId="5120" xr:uid="{D34F14BE-3B81-429B-9C66-935B6B17A9B4}"/>
    <cellStyle name="SAPBEXaggData 3 9 2" xfId="5121" xr:uid="{D15CA4FF-C590-4A48-840D-031EC6A74E99}"/>
    <cellStyle name="SAPBEXaggData 3_T1 ANSP" xfId="5032" xr:uid="{501BD2D9-33E0-49C9-869A-ED8C9F53F7E9}"/>
    <cellStyle name="SAPBEXaggData 4" xfId="5122" xr:uid="{6A5E57F5-89A6-4C81-93A7-74B76E28D629}"/>
    <cellStyle name="SAPBEXaggData 4 10" xfId="5123" xr:uid="{ADE5D1F6-6C0D-40E8-87C8-6F83F63E25CB}"/>
    <cellStyle name="SAPBEXaggData 4 10 2" xfId="5124" xr:uid="{0B15C349-FD68-4391-89AB-39D5D7BE627D}"/>
    <cellStyle name="SAPBEXaggData 4 11" xfId="5125" xr:uid="{C66FEF9B-F142-46D0-8D95-608044DAF553}"/>
    <cellStyle name="SAPBEXaggData 4 11 2" xfId="5126" xr:uid="{A6B834FA-503F-4879-B987-A8948BBEFE16}"/>
    <cellStyle name="SAPBEXaggData 4 12" xfId="5127" xr:uid="{DFB80C8D-1159-4815-BCD4-EFB7D455BBD9}"/>
    <cellStyle name="SAPBEXaggData 4 12 2" xfId="5128" xr:uid="{B9AE1923-9075-4341-B440-592A3E215ED7}"/>
    <cellStyle name="SAPBEXaggData 4 13" xfId="5129" xr:uid="{BFAD2BA5-C660-4B2F-8316-A0554AFE34A3}"/>
    <cellStyle name="SAPBEXaggData 4 13 2" xfId="5130" xr:uid="{4D7E4A52-FFCA-4E42-9C7F-3F5D945E21EF}"/>
    <cellStyle name="SAPBEXaggData 4 14" xfId="5131" xr:uid="{3F9F70BF-3C5E-40E4-9317-857384335846}"/>
    <cellStyle name="SAPBEXaggData 4 14 2" xfId="5132" xr:uid="{CC99FEA4-8E1F-4275-AD6E-52C09160299B}"/>
    <cellStyle name="SAPBEXaggData 4 15" xfId="5133" xr:uid="{3EF5357A-467F-4754-9B59-6AF6447E9981}"/>
    <cellStyle name="SAPBEXaggData 4 15 2" xfId="5134" xr:uid="{041EFD8A-791F-4569-9317-265E6A621DE2}"/>
    <cellStyle name="SAPBEXaggData 4 16" xfId="5135" xr:uid="{AEF82D96-0123-49A1-8317-EBF321FB01E3}"/>
    <cellStyle name="SAPBEXaggData 4 16 2" xfId="5136" xr:uid="{C01F4A03-19A6-468B-8465-D51021849089}"/>
    <cellStyle name="SAPBEXaggData 4 17" xfId="5137" xr:uid="{CF01DC94-74FC-4A2E-B5A0-BCFB9198D6C7}"/>
    <cellStyle name="SAPBEXaggData 4 17 2" xfId="5138" xr:uid="{BA667A92-3C42-434C-9BD3-C14633271D73}"/>
    <cellStyle name="SAPBEXaggData 4 18" xfId="5139" xr:uid="{C0216818-57A4-4159-8177-4A9017169B66}"/>
    <cellStyle name="SAPBEXaggData 4 2" xfId="5140" xr:uid="{5C96A205-DA7E-4325-9396-1AE1D1AC179A}"/>
    <cellStyle name="SAPBEXaggData 4 2 10" xfId="5141" xr:uid="{3F368D4A-9575-4536-AC8A-4973537A02EF}"/>
    <cellStyle name="SAPBEXaggData 4 2 10 2" xfId="5142" xr:uid="{E22E93D1-82E7-4E42-B667-C192D477A590}"/>
    <cellStyle name="SAPBEXaggData 4 2 11" xfId="5143" xr:uid="{92EED6C6-2513-43B7-9DD9-D930BBCE8885}"/>
    <cellStyle name="SAPBEXaggData 4 2 11 2" xfId="5144" xr:uid="{AF5A9440-E145-4C6A-896E-B33FB0A584D3}"/>
    <cellStyle name="SAPBEXaggData 4 2 12" xfId="5145" xr:uid="{FFB9F23A-0C27-48A8-8BB9-5E6105D9EF2D}"/>
    <cellStyle name="SAPBEXaggData 4 2 12 2" xfId="5146" xr:uid="{A575335F-8438-4B1D-BA66-50BB9E3D34AA}"/>
    <cellStyle name="SAPBEXaggData 4 2 13" xfId="5147" xr:uid="{AC4F8982-BD65-4427-868D-E624EFB2DAA2}"/>
    <cellStyle name="SAPBEXaggData 4 2 13 2" xfId="5148" xr:uid="{5072A18C-CC33-4CD8-AF4E-644909BA78E4}"/>
    <cellStyle name="SAPBEXaggData 4 2 14" xfId="5149" xr:uid="{EC7CB4CF-414B-44CA-B732-090EA272E037}"/>
    <cellStyle name="SAPBEXaggData 4 2 14 2" xfId="5150" xr:uid="{397CD4D3-2283-4675-BD0A-2715FF063F78}"/>
    <cellStyle name="SAPBEXaggData 4 2 15" xfId="5151" xr:uid="{F7B2CD4A-FDD0-409E-9329-13F92771B58E}"/>
    <cellStyle name="SAPBEXaggData 4 2 15 2" xfId="5152" xr:uid="{793259E3-6D6D-41F9-BB01-EDD5DF876218}"/>
    <cellStyle name="SAPBEXaggData 4 2 16" xfId="5153" xr:uid="{AEC8EAE6-D258-4EB9-824B-577714761786}"/>
    <cellStyle name="SAPBEXaggData 4 2 2" xfId="5154" xr:uid="{8D5EE005-9304-45BD-8FEB-125F075B82C6}"/>
    <cellStyle name="SAPBEXaggData 4 2 2 2" xfId="5155" xr:uid="{A67E0488-94B7-41D8-963E-AE1D4524AF07}"/>
    <cellStyle name="SAPBEXaggData 4 2 3" xfId="5156" xr:uid="{E8F255A8-6D27-4016-9E4A-25B041974247}"/>
    <cellStyle name="SAPBEXaggData 4 2 3 2" xfId="5157" xr:uid="{8E589B69-3B8C-4E78-A2E7-7D6CB2256C83}"/>
    <cellStyle name="SAPBEXaggData 4 2 4" xfId="5158" xr:uid="{E7220F86-29BD-4DDA-954B-0910F40239BD}"/>
    <cellStyle name="SAPBEXaggData 4 2 4 2" xfId="5159" xr:uid="{254DB0B5-42DC-4A81-A41A-03D61241B985}"/>
    <cellStyle name="SAPBEXaggData 4 2 5" xfId="5160" xr:uid="{1C7B57F5-A516-48ED-B39D-CB7D740535EE}"/>
    <cellStyle name="SAPBEXaggData 4 2 5 2" xfId="5161" xr:uid="{D8D891F7-213C-463A-BA5B-2BB1040489E6}"/>
    <cellStyle name="SAPBEXaggData 4 2 6" xfId="5162" xr:uid="{8DEC5351-4787-422C-B836-F2313297F483}"/>
    <cellStyle name="SAPBEXaggData 4 2 6 2" xfId="5163" xr:uid="{7B94347F-4293-4FCE-B87D-2895C9DB6898}"/>
    <cellStyle name="SAPBEXaggData 4 2 7" xfId="5164" xr:uid="{29DA1EAC-F097-4BBE-823C-BA652C571036}"/>
    <cellStyle name="SAPBEXaggData 4 2 7 2" xfId="5165" xr:uid="{17E7D9CC-F17D-4758-8EB9-EA3D6CC09233}"/>
    <cellStyle name="SAPBEXaggData 4 2 8" xfId="5166" xr:uid="{BE13BFA7-8A30-498A-AB81-71F1F2CA1814}"/>
    <cellStyle name="SAPBEXaggData 4 2 8 2" xfId="5167" xr:uid="{D97150AA-7177-4191-8E94-36D585ACB671}"/>
    <cellStyle name="SAPBEXaggData 4 2 9" xfId="5168" xr:uid="{3E4689A8-40A3-4A10-A169-FE6B87FDBA53}"/>
    <cellStyle name="SAPBEXaggData 4 2 9 2" xfId="5169" xr:uid="{FFEDAE6A-E314-4C20-9104-8FC323124307}"/>
    <cellStyle name="SAPBEXaggData 4 3" xfId="5170" xr:uid="{B2E691A0-1576-49B3-B914-40CB913F82DA}"/>
    <cellStyle name="SAPBEXaggData 4 3 10" xfId="5171" xr:uid="{D130DC05-773A-437B-B6FF-D300761662D6}"/>
    <cellStyle name="SAPBEXaggData 4 3 10 2" xfId="5172" xr:uid="{DA283F7E-EAA8-4F88-A0C4-86153FE5664E}"/>
    <cellStyle name="SAPBEXaggData 4 3 11" xfId="5173" xr:uid="{E2153956-74ED-4698-8FD9-992EEB96BB02}"/>
    <cellStyle name="SAPBEXaggData 4 3 11 2" xfId="5174" xr:uid="{F6F52F2C-10CF-484C-A618-E337C712C8E9}"/>
    <cellStyle name="SAPBEXaggData 4 3 12" xfId="5175" xr:uid="{118EAF15-8389-49CC-905D-147AE58CAEA7}"/>
    <cellStyle name="SAPBEXaggData 4 3 12 2" xfId="5176" xr:uid="{192A947B-7D88-4B5D-82B4-B25229BDD8A7}"/>
    <cellStyle name="SAPBEXaggData 4 3 13" xfId="5177" xr:uid="{092CCF5A-DD31-4803-AA2C-9D9DACA360FB}"/>
    <cellStyle name="SAPBEXaggData 4 3 13 2" xfId="5178" xr:uid="{82E4BF78-EDB1-4F58-AD10-65158432FE21}"/>
    <cellStyle name="SAPBEXaggData 4 3 14" xfId="5179" xr:uid="{BEAD8CBE-961E-4CC9-A80E-FA13C3847B7B}"/>
    <cellStyle name="SAPBEXaggData 4 3 14 2" xfId="5180" xr:uid="{F169A7AC-221F-4AC0-BD13-6B742C2E4450}"/>
    <cellStyle name="SAPBEXaggData 4 3 15" xfId="5181" xr:uid="{648C2B10-0755-4399-B9A3-22CC418653BB}"/>
    <cellStyle name="SAPBEXaggData 4 3 15 2" xfId="5182" xr:uid="{7FF195E1-0A4C-4A8A-A0A9-76F545632C71}"/>
    <cellStyle name="SAPBEXaggData 4 3 16" xfId="5183" xr:uid="{E1805BC9-770C-4F49-9184-64F1062AE752}"/>
    <cellStyle name="SAPBEXaggData 4 3 2" xfId="5184" xr:uid="{668CE821-A0A5-4BB6-90F2-8632D4405F87}"/>
    <cellStyle name="SAPBEXaggData 4 3 2 2" xfId="5185" xr:uid="{03B0042A-A76E-4DDA-B8DC-BF41C6C7CD6D}"/>
    <cellStyle name="SAPBEXaggData 4 3 3" xfId="5186" xr:uid="{D33B42BB-BC43-4A94-B239-9BF0493DAE62}"/>
    <cellStyle name="SAPBEXaggData 4 3 3 2" xfId="5187" xr:uid="{8AFF18B5-4E8C-400C-99D3-1D0EB203A498}"/>
    <cellStyle name="SAPBEXaggData 4 3 4" xfId="5188" xr:uid="{088284BD-7779-48EC-8A54-D5610C24C317}"/>
    <cellStyle name="SAPBEXaggData 4 3 4 2" xfId="5189" xr:uid="{56D6F08A-F41E-4E97-A391-F3F865DD7A99}"/>
    <cellStyle name="SAPBEXaggData 4 3 5" xfId="5190" xr:uid="{33E5226F-4F20-4E95-A49D-4200E5B39FD7}"/>
    <cellStyle name="SAPBEXaggData 4 3 5 2" xfId="5191" xr:uid="{93184C8F-3781-4566-8F6F-D9745A878304}"/>
    <cellStyle name="SAPBEXaggData 4 3 6" xfId="5192" xr:uid="{1C7FC1F6-6A66-4D41-BC4F-244358B63C25}"/>
    <cellStyle name="SAPBEXaggData 4 3 6 2" xfId="5193" xr:uid="{497C9663-1131-4D93-A2D6-4FB24FC78D9F}"/>
    <cellStyle name="SAPBEXaggData 4 3 7" xfId="5194" xr:uid="{6E869E9C-7EE3-4DFE-A335-E661C378C78A}"/>
    <cellStyle name="SAPBEXaggData 4 3 7 2" xfId="5195" xr:uid="{9D34C2ED-FFCE-4A59-AD71-82B2C2FA5A7D}"/>
    <cellStyle name="SAPBEXaggData 4 3 8" xfId="5196" xr:uid="{2D3BE761-713F-432E-BDC7-76FA0B9A1528}"/>
    <cellStyle name="SAPBEXaggData 4 3 8 2" xfId="5197" xr:uid="{D98AC3D9-1800-4592-9F16-753713799612}"/>
    <cellStyle name="SAPBEXaggData 4 3 9" xfId="5198" xr:uid="{F7195208-6B98-4D1F-9948-66CF60A8FE48}"/>
    <cellStyle name="SAPBEXaggData 4 3 9 2" xfId="5199" xr:uid="{36CE86D3-F1F2-41F5-AB3F-53FF38C27412}"/>
    <cellStyle name="SAPBEXaggData 4 4" xfId="5200" xr:uid="{1488C9CD-EFC0-491B-856D-DBC0F723261A}"/>
    <cellStyle name="SAPBEXaggData 4 4 2" xfId="5201" xr:uid="{75D6803F-7C5F-4A33-9FBC-93EA81160F44}"/>
    <cellStyle name="SAPBEXaggData 4 5" xfId="5202" xr:uid="{969B5120-21A3-4027-A294-6B0450350346}"/>
    <cellStyle name="SAPBEXaggData 4 5 2" xfId="5203" xr:uid="{ABEC9731-0047-4D19-9C56-6085292C8E6E}"/>
    <cellStyle name="SAPBEXaggData 4 6" xfId="5204" xr:uid="{A3FF3598-2BF0-431E-9FA6-4ADB318FC467}"/>
    <cellStyle name="SAPBEXaggData 4 6 2" xfId="5205" xr:uid="{F89F1D1C-272B-4B8E-8624-4754C6C75386}"/>
    <cellStyle name="SAPBEXaggData 4 7" xfId="5206" xr:uid="{9AB19130-5206-4999-B93B-76406C933897}"/>
    <cellStyle name="SAPBEXaggData 4 7 2" xfId="5207" xr:uid="{4EE349FB-8EF2-4100-B15E-E91F81276AE7}"/>
    <cellStyle name="SAPBEXaggData 4 8" xfId="5208" xr:uid="{3E8EC74E-D7A8-4A2E-B6FE-34FEAE05BB42}"/>
    <cellStyle name="SAPBEXaggData 4 8 2" xfId="5209" xr:uid="{005F0BA8-8BE0-467C-905A-425F450CF803}"/>
    <cellStyle name="SAPBEXaggData 4 9" xfId="5210" xr:uid="{792E8B57-390C-4E88-95FF-7B637821D701}"/>
    <cellStyle name="SAPBEXaggData 4 9 2" xfId="5211" xr:uid="{E7D512C8-F58D-4D77-A378-09AA76E8337A}"/>
    <cellStyle name="SAPBEXaggData 5" xfId="5212" xr:uid="{07109E21-4AE7-4667-B86C-EC190DEEDBA8}"/>
    <cellStyle name="SAPBEXaggData 5 10" xfId="5213" xr:uid="{0C8F8F8B-AD09-4117-B808-8F1DC1C71F24}"/>
    <cellStyle name="SAPBEXaggData 5 10 2" xfId="5214" xr:uid="{89167AEF-C852-4D56-8DF3-D64F65C1147C}"/>
    <cellStyle name="SAPBEXaggData 5 11" xfId="5215" xr:uid="{8B807FD3-6365-457E-93F6-469B926BB2BC}"/>
    <cellStyle name="SAPBEXaggData 5 11 2" xfId="5216" xr:uid="{6DAD06C6-B10B-48CA-B886-842DF0CA6DE8}"/>
    <cellStyle name="SAPBEXaggData 5 12" xfId="5217" xr:uid="{BEE8175A-BF2A-40AD-B9E1-8D5E354E37BD}"/>
    <cellStyle name="SAPBEXaggData 5 12 2" xfId="5218" xr:uid="{E9C5E722-9FAC-4F3E-AF87-429BD8E8EA98}"/>
    <cellStyle name="SAPBEXaggData 5 13" xfId="5219" xr:uid="{039B2E19-96BD-40D2-A93F-D73EA440C03F}"/>
    <cellStyle name="SAPBEXaggData 5 13 2" xfId="5220" xr:uid="{C2E7932F-4626-4DA3-9FE1-4EB24AF1861B}"/>
    <cellStyle name="SAPBEXaggData 5 14" xfId="5221" xr:uid="{C939F2AD-1F12-4877-B8E7-64727680CA65}"/>
    <cellStyle name="SAPBEXaggData 5 14 2" xfId="5222" xr:uid="{004BAA32-246D-458B-8425-ED41E69261BC}"/>
    <cellStyle name="SAPBEXaggData 5 15" xfId="5223" xr:uid="{9F7B69FB-93CA-4300-8233-C3B039625F64}"/>
    <cellStyle name="SAPBEXaggData 5 15 2" xfId="5224" xr:uid="{0EB3529E-9AED-4D63-BF3F-929D7F0AD6CC}"/>
    <cellStyle name="SAPBEXaggData 5 16" xfId="5225" xr:uid="{3DD72F76-FCD8-4654-9B84-0764AE69B91A}"/>
    <cellStyle name="SAPBEXaggData 5 2" xfId="5226" xr:uid="{3C33C624-72D7-4499-8996-C23D941825D5}"/>
    <cellStyle name="SAPBEXaggData 5 2 2" xfId="5227" xr:uid="{B64508AE-2D22-4678-ACD3-44DC2D6F1C3D}"/>
    <cellStyle name="SAPBEXaggData 5 3" xfId="5228" xr:uid="{43C2C366-2EB7-4CAB-B06A-6CAFFCD03407}"/>
    <cellStyle name="SAPBEXaggData 5 3 2" xfId="5229" xr:uid="{1E98E487-5D06-4803-812B-8DC1E07483FB}"/>
    <cellStyle name="SAPBEXaggData 5 4" xfId="5230" xr:uid="{32603E0F-DE39-49EA-8850-58CB2A2FDB74}"/>
    <cellStyle name="SAPBEXaggData 5 4 2" xfId="5231" xr:uid="{3B013349-A934-4A9F-8195-9AFAC9D0E48B}"/>
    <cellStyle name="SAPBEXaggData 5 5" xfId="5232" xr:uid="{A160B16D-5CC4-4F9A-8410-45563FE0A581}"/>
    <cellStyle name="SAPBEXaggData 5 5 2" xfId="5233" xr:uid="{4C622E70-3872-4D3B-9293-E70F97255922}"/>
    <cellStyle name="SAPBEXaggData 5 6" xfId="5234" xr:uid="{9CB29F7A-29D0-4C91-92C5-AD9A48C8BB95}"/>
    <cellStyle name="SAPBEXaggData 5 6 2" xfId="5235" xr:uid="{2E0CC8D0-8C53-4A57-80DF-ECE823679524}"/>
    <cellStyle name="SAPBEXaggData 5 7" xfId="5236" xr:uid="{A68CF730-7245-4EBE-9834-8CFC61459680}"/>
    <cellStyle name="SAPBEXaggData 5 7 2" xfId="5237" xr:uid="{7F8C24E2-B952-414D-ACB8-DE7DC3F49948}"/>
    <cellStyle name="SAPBEXaggData 5 8" xfId="5238" xr:uid="{E6F36348-8D7C-465E-A31B-80F5356DC1CB}"/>
    <cellStyle name="SAPBEXaggData 5 8 2" xfId="5239" xr:uid="{3AF4D59B-209D-477A-B0AB-751C3758AE42}"/>
    <cellStyle name="SAPBEXaggData 5 9" xfId="5240" xr:uid="{6BABF057-D715-440D-BB79-482BE4B69704}"/>
    <cellStyle name="SAPBEXaggData 5 9 2" xfId="5241" xr:uid="{A84FB015-223E-4162-BA07-F5D55BCE88ED}"/>
    <cellStyle name="SAPBEXaggData 6" xfId="5242" xr:uid="{D765773C-1754-4374-BB13-54147366963C}"/>
    <cellStyle name="SAPBEXaggData 6 2" xfId="5243" xr:uid="{79F7323C-8222-44E9-81D1-EE74C1C71DBB}"/>
    <cellStyle name="SAPBEXaggData 7" xfId="5244" xr:uid="{2D2B3C33-B64C-4520-B404-18736A526EB3}"/>
    <cellStyle name="SAPBEXaggData 7 2" xfId="5245" xr:uid="{7A7AFEFA-9834-46D7-B4C0-0A3ACDFA40C7}"/>
    <cellStyle name="SAPBEXaggData 8" xfId="5246" xr:uid="{75AF03ED-F8F4-41D4-875E-8228CC28452D}"/>
    <cellStyle name="SAPBEXaggData 8 2" xfId="5247" xr:uid="{38AA41C5-94FE-4016-BFFF-84736113754C}"/>
    <cellStyle name="SAPBEXaggData 9" xfId="5248" xr:uid="{15A4A482-DC67-456E-B0B5-3E76008ECE55}"/>
    <cellStyle name="SAPBEXaggData 9 2" xfId="5249" xr:uid="{35411E7E-F40C-46D4-AA88-5262ABA6B308}"/>
    <cellStyle name="SAPBEXaggData_BEX Staff Costs Pensions Report(AllInOne)" xfId="5250" xr:uid="{E04F44EE-EB2B-4F56-A382-4D02B0132479}"/>
    <cellStyle name="SAPBEXaggDataEmph" xfId="727" xr:uid="{00000000-0005-0000-0000-000054050000}"/>
    <cellStyle name="SAPBEXaggDataEmph 10" xfId="5252" xr:uid="{83D329BC-8707-4D84-8536-114D43CA457D}"/>
    <cellStyle name="SAPBEXaggDataEmph 10 2" xfId="5253" xr:uid="{BEB780CA-8985-437D-91FE-5F463C1B67FA}"/>
    <cellStyle name="SAPBEXaggDataEmph 11" xfId="5254" xr:uid="{BBF7A1D3-BEC1-4380-AB9A-7E5C1300D5E7}"/>
    <cellStyle name="SAPBEXaggDataEmph 11 2" xfId="5255" xr:uid="{25DD8638-0BBA-4DEF-80E7-091B9DC8A24F}"/>
    <cellStyle name="SAPBEXaggDataEmph 12" xfId="5256" xr:uid="{AB66FA20-4BCA-46BC-A966-E25F0A57B79F}"/>
    <cellStyle name="SAPBEXaggDataEmph 12 2" xfId="5257" xr:uid="{78619ACE-95AD-4ECA-B3E6-FD734B44489A}"/>
    <cellStyle name="SAPBEXaggDataEmph 13" xfId="5258" xr:uid="{D600221A-D559-4B12-AC63-C4AA227863C3}"/>
    <cellStyle name="SAPBEXaggDataEmph 13 2" xfId="5259" xr:uid="{A391675F-2132-4F5A-BAF9-FE91F9FCF320}"/>
    <cellStyle name="SAPBEXaggDataEmph 14" xfId="5260" xr:uid="{8E2CED92-CD62-41E0-B9F8-24AA7F56AFBB}"/>
    <cellStyle name="SAPBEXaggDataEmph 14 2" xfId="5261" xr:uid="{7281D88A-93B9-407A-B123-CD866F76C19A}"/>
    <cellStyle name="SAPBEXaggDataEmph 15" xfId="5262" xr:uid="{7D63C1B3-7B26-4126-831A-FBEFFBFC6179}"/>
    <cellStyle name="SAPBEXaggDataEmph 15 2" xfId="5263" xr:uid="{33CFEF1C-4365-44A1-8A67-36922CA54447}"/>
    <cellStyle name="SAPBEXaggDataEmph 16" xfId="5264" xr:uid="{52834910-A18A-4D8B-A556-B28708E06188}"/>
    <cellStyle name="SAPBEXaggDataEmph 16 2" xfId="5265" xr:uid="{2E6F935D-C225-46E4-B7B7-8DF69EAD91AC}"/>
    <cellStyle name="SAPBEXaggDataEmph 17" xfId="5266" xr:uid="{EC5D810E-E13F-42EA-A74A-AD1040E092EB}"/>
    <cellStyle name="SAPBEXaggDataEmph 17 2" xfId="5267" xr:uid="{CCE91D39-C253-49EB-B4D4-24025D0BEEB1}"/>
    <cellStyle name="SAPBEXaggDataEmph 18" xfId="5268" xr:uid="{87CA2D45-56B0-4F34-9AD5-CAAF4D77A27A}"/>
    <cellStyle name="SAPBEXaggDataEmph 18 2" xfId="5269" xr:uid="{BFD1979E-A2C3-4E7D-A15E-005D87C89E16}"/>
    <cellStyle name="SAPBEXaggDataEmph 19" xfId="5270" xr:uid="{B32AC7D1-1E00-4F33-925E-ED206A2664AE}"/>
    <cellStyle name="SAPBEXaggDataEmph 19 2" xfId="5271" xr:uid="{887ED60F-0949-4641-B365-EB5644096CF9}"/>
    <cellStyle name="SAPBEXaggDataEmph 2" xfId="1542" xr:uid="{00000000-0005-0000-0000-000055050000}"/>
    <cellStyle name="SAPBEXaggDataEmph 2 10" xfId="5273" xr:uid="{7D3E3A69-6182-4FD8-A58F-0FB3172E2A53}"/>
    <cellStyle name="SAPBEXaggDataEmph 2 10 2" xfId="5274" xr:uid="{8E3E1BA5-A45C-4E7D-B66D-53B49AE62E1B}"/>
    <cellStyle name="SAPBEXaggDataEmph 2 11" xfId="5275" xr:uid="{33670027-8CED-4ECA-A864-C6BB1665A349}"/>
    <cellStyle name="SAPBEXaggDataEmph 2 11 2" xfId="5276" xr:uid="{7D861E8F-B38E-4FFB-A4A7-DB85511B4BE3}"/>
    <cellStyle name="SAPBEXaggDataEmph 2 12" xfId="5277" xr:uid="{C7FA8C03-F3CB-47C4-96F9-D6AFE0351D8D}"/>
    <cellStyle name="SAPBEXaggDataEmph 2 12 2" xfId="5278" xr:uid="{D2D0F8B8-9447-4B76-B79F-5D13B83B529F}"/>
    <cellStyle name="SAPBEXaggDataEmph 2 13" xfId="5279" xr:uid="{D5B58C8F-BD4B-4C7C-990D-0DBF213A0D9D}"/>
    <cellStyle name="SAPBEXaggDataEmph 2 13 2" xfId="5280" xr:uid="{029AFE26-FA6F-4159-9541-E2CBD6B2064A}"/>
    <cellStyle name="SAPBEXaggDataEmph 2 14" xfId="5281" xr:uid="{EE6C476D-C04B-4AEE-AFD7-267B53D02962}"/>
    <cellStyle name="SAPBEXaggDataEmph 2 14 2" xfId="5282" xr:uid="{9F54D392-E3ED-4832-9569-6F7A44A8ED74}"/>
    <cellStyle name="SAPBEXaggDataEmph 2 15" xfId="5283" xr:uid="{AB848BA4-BB54-461E-81DC-7D2B73146B03}"/>
    <cellStyle name="SAPBEXaggDataEmph 2 15 2" xfId="5284" xr:uid="{F7AA6D4D-2A09-43F3-A515-CAFC7B26FCA5}"/>
    <cellStyle name="SAPBEXaggDataEmph 2 16" xfId="5285" xr:uid="{7E2FC249-2462-4619-8E28-604055CA52F3}"/>
    <cellStyle name="SAPBEXaggDataEmph 2 16 2" xfId="5286" xr:uid="{76D95CA5-ADEC-42B7-BBE5-B05CCBFDC18D}"/>
    <cellStyle name="SAPBEXaggDataEmph 2 17" xfId="5287" xr:uid="{3E27B2ED-B671-4C29-A42A-26ADA9F159B6}"/>
    <cellStyle name="SAPBEXaggDataEmph 2 17 2" xfId="5288" xr:uid="{245E5643-7BB7-4BDE-A953-B4326C31CD0A}"/>
    <cellStyle name="SAPBEXaggDataEmph 2 18" xfId="5289" xr:uid="{766B7BB8-A0B8-400C-8A2F-B503A8E5619E}"/>
    <cellStyle name="SAPBEXaggDataEmph 2 18 2" xfId="5290" xr:uid="{A372BE26-E29F-4FBE-BED5-11AACFFF5786}"/>
    <cellStyle name="SAPBEXaggDataEmph 2 2" xfId="5291" xr:uid="{0BC1F672-D502-46D2-8BCB-1F35D96BEA07}"/>
    <cellStyle name="SAPBEXaggDataEmph 2 2 10" xfId="5292" xr:uid="{23D6EC8E-B9CE-405B-9712-6749C5B896A0}"/>
    <cellStyle name="SAPBEXaggDataEmph 2 2 10 2" xfId="5293" xr:uid="{3F878C01-A6DE-4330-91FF-69D79710F170}"/>
    <cellStyle name="SAPBEXaggDataEmph 2 2 11" xfId="5294" xr:uid="{AD03D541-45B5-4714-B4E3-7D5E038532B7}"/>
    <cellStyle name="SAPBEXaggDataEmph 2 2 11 2" xfId="5295" xr:uid="{F3124A2D-2666-464C-A908-EEAC204B8F47}"/>
    <cellStyle name="SAPBEXaggDataEmph 2 2 12" xfId="5296" xr:uid="{1C8B0595-4217-4217-BD7A-EE00A65DB335}"/>
    <cellStyle name="SAPBEXaggDataEmph 2 2 12 2" xfId="5297" xr:uid="{D23E168E-46A9-4320-A0FE-C7CBA42503C6}"/>
    <cellStyle name="SAPBEXaggDataEmph 2 2 13" xfId="5298" xr:uid="{3DEF3A60-DAA7-41A3-9F02-237CA76DBE3B}"/>
    <cellStyle name="SAPBEXaggDataEmph 2 2 13 2" xfId="5299" xr:uid="{CA49302D-43ED-423D-8B15-962DDFCA148A}"/>
    <cellStyle name="SAPBEXaggDataEmph 2 2 14" xfId="5300" xr:uid="{6607ADA0-C7E2-4846-ACDB-5C01D805B64D}"/>
    <cellStyle name="SAPBEXaggDataEmph 2 2 14 2" xfId="5301" xr:uid="{1E15AB8F-CD36-43EC-9E7D-88BAD32A8654}"/>
    <cellStyle name="SAPBEXaggDataEmph 2 2 15" xfId="5302" xr:uid="{5DFC4C2D-3B65-4FD5-A42D-2867FE77E44D}"/>
    <cellStyle name="SAPBEXaggDataEmph 2 2 15 2" xfId="5303" xr:uid="{B6DE8D2D-09E4-49D4-AC9B-A7218741E3BF}"/>
    <cellStyle name="SAPBEXaggDataEmph 2 2 16" xfId="5304" xr:uid="{08BFC7E6-CF56-4E00-90C4-B885EF1C6A9C}"/>
    <cellStyle name="SAPBEXaggDataEmph 2 2 16 2" xfId="5305" xr:uid="{CF1ED39E-A02C-45A7-AD02-64312ACFE2F9}"/>
    <cellStyle name="SAPBEXaggDataEmph 2 2 17" xfId="5306" xr:uid="{A5B98308-590A-4828-89DA-B3779132ED8D}"/>
    <cellStyle name="SAPBEXaggDataEmph 2 2 17 2" xfId="5307" xr:uid="{EC001DDC-A841-441E-86AC-0D39A54A0D9E}"/>
    <cellStyle name="SAPBEXaggDataEmph 2 2 2" xfId="5308" xr:uid="{2CEE8D5E-2D8E-4038-B19F-C9BA10600C1E}"/>
    <cellStyle name="SAPBEXaggDataEmph 2 2 2 10" xfId="5309" xr:uid="{B8749F00-8266-4F50-818E-847AFA921F45}"/>
    <cellStyle name="SAPBEXaggDataEmph 2 2 2 10 2" xfId="5310" xr:uid="{B1E762A7-3918-4133-8617-362EAA00BDD0}"/>
    <cellStyle name="SAPBEXaggDataEmph 2 2 2 11" xfId="5311" xr:uid="{370252B0-3BF8-4909-9D9A-2BE6A96CE4FC}"/>
    <cellStyle name="SAPBEXaggDataEmph 2 2 2 11 2" xfId="5312" xr:uid="{EA123339-BB99-4A45-B878-76726EF7217F}"/>
    <cellStyle name="SAPBEXaggDataEmph 2 2 2 12" xfId="5313" xr:uid="{0DF2ED73-432C-4938-8474-3E3E57145B16}"/>
    <cellStyle name="SAPBEXaggDataEmph 2 2 2 12 2" xfId="5314" xr:uid="{B1E84011-9351-461C-B46E-7DA3FDA97BFA}"/>
    <cellStyle name="SAPBEXaggDataEmph 2 2 2 13" xfId="5315" xr:uid="{FD37142D-4074-49CA-B7C0-83E2C24F0E1C}"/>
    <cellStyle name="SAPBEXaggDataEmph 2 2 2 13 2" xfId="5316" xr:uid="{70509111-4D6C-47C6-9276-C7D020E35CE8}"/>
    <cellStyle name="SAPBEXaggDataEmph 2 2 2 14" xfId="5317" xr:uid="{C1F964BA-AEE5-4E94-8D02-4F9C1C1F5230}"/>
    <cellStyle name="SAPBEXaggDataEmph 2 2 2 14 2" xfId="5318" xr:uid="{1ECC9F25-069A-42C6-8CD5-40967B73DB5D}"/>
    <cellStyle name="SAPBEXaggDataEmph 2 2 2 15" xfId="5319" xr:uid="{E08D1037-2CBE-4F20-B1A1-1B9BA91AEAEF}"/>
    <cellStyle name="SAPBEXaggDataEmph 2 2 2 15 2" xfId="5320" xr:uid="{40C7A6F6-EB80-4D8B-97EC-07902AD5C7DF}"/>
    <cellStyle name="SAPBEXaggDataEmph 2 2 2 2" xfId="5321" xr:uid="{6807275D-BA01-43F9-B3D4-189CFA6BCEFD}"/>
    <cellStyle name="SAPBEXaggDataEmph 2 2 2 2 2" xfId="5322" xr:uid="{907F2E16-5BCB-457B-B74D-02F1517AF2FE}"/>
    <cellStyle name="SAPBEXaggDataEmph 2 2 2 3" xfId="5323" xr:uid="{B127803F-3622-4956-ACB3-BF14909C77B4}"/>
    <cellStyle name="SAPBEXaggDataEmph 2 2 2 3 2" xfId="5324" xr:uid="{E28FE4BA-9DF8-4819-AE90-D157D20F0524}"/>
    <cellStyle name="SAPBEXaggDataEmph 2 2 2 4" xfId="5325" xr:uid="{4092EBCD-F185-427E-B7ED-37F13247CA3F}"/>
    <cellStyle name="SAPBEXaggDataEmph 2 2 2 4 2" xfId="5326" xr:uid="{C3FC0626-A2A3-4D69-89AE-5EDA7D62A163}"/>
    <cellStyle name="SAPBEXaggDataEmph 2 2 2 5" xfId="5327" xr:uid="{3149735A-F1A6-43AD-8FD6-60EB3A8694AA}"/>
    <cellStyle name="SAPBEXaggDataEmph 2 2 2 5 2" xfId="5328" xr:uid="{69A7B429-CC44-49F9-8136-34855BCF1949}"/>
    <cellStyle name="SAPBEXaggDataEmph 2 2 2 6" xfId="5329" xr:uid="{74F34F9D-DA9E-4EEF-99BA-FC09706219FA}"/>
    <cellStyle name="SAPBEXaggDataEmph 2 2 2 6 2" xfId="5330" xr:uid="{D0C3DD0C-89EF-4916-AFB1-DD80F21F89F7}"/>
    <cellStyle name="SAPBEXaggDataEmph 2 2 2 7" xfId="5331" xr:uid="{4EA3EF33-FD33-48F0-92B7-404B155D350D}"/>
    <cellStyle name="SAPBEXaggDataEmph 2 2 2 7 2" xfId="5332" xr:uid="{04A3F055-257C-48A6-9E94-07728F3A10D4}"/>
    <cellStyle name="SAPBEXaggDataEmph 2 2 2 8" xfId="5333" xr:uid="{FC1A0980-02C2-4170-B040-C1063551B21A}"/>
    <cellStyle name="SAPBEXaggDataEmph 2 2 2 8 2" xfId="5334" xr:uid="{8EF48D27-7C3C-4D56-B255-CBF06A13F1A7}"/>
    <cellStyle name="SAPBEXaggDataEmph 2 2 2 9" xfId="5335" xr:uid="{F1BC58B0-A28C-4626-B7DC-2F0EFBB9FA3F}"/>
    <cellStyle name="SAPBEXaggDataEmph 2 2 2 9 2" xfId="5336" xr:uid="{3D156330-A5E5-4E98-95F2-9A8D4B1DACCB}"/>
    <cellStyle name="SAPBEXaggDataEmph 2 2 3" xfId="5337" xr:uid="{5845563D-E1DD-48D0-A770-D77A0732DC3D}"/>
    <cellStyle name="SAPBEXaggDataEmph 2 2 3 10" xfId="5338" xr:uid="{8FF2F5A8-4648-48CE-B3E1-72785449BD17}"/>
    <cellStyle name="SAPBEXaggDataEmph 2 2 3 10 2" xfId="5339" xr:uid="{1ADB2756-375C-4969-88C4-591EAAB4AF42}"/>
    <cellStyle name="SAPBEXaggDataEmph 2 2 3 11" xfId="5340" xr:uid="{36A03B05-7214-40FF-B1FA-411F17ACADD4}"/>
    <cellStyle name="SAPBEXaggDataEmph 2 2 3 11 2" xfId="5341" xr:uid="{3B7C86FD-A9B7-4A56-A135-02AF074BBF31}"/>
    <cellStyle name="SAPBEXaggDataEmph 2 2 3 12" xfId="5342" xr:uid="{A5B5301E-CD3C-4DA5-BE92-D8BC94893A5D}"/>
    <cellStyle name="SAPBEXaggDataEmph 2 2 3 12 2" xfId="5343" xr:uid="{E82E3A0D-46FE-4528-8DFD-EF4C9A5789F7}"/>
    <cellStyle name="SAPBEXaggDataEmph 2 2 3 13" xfId="5344" xr:uid="{D2681141-743C-4D59-AD05-986A9CF112BD}"/>
    <cellStyle name="SAPBEXaggDataEmph 2 2 3 13 2" xfId="5345" xr:uid="{D8B2C5F4-68C3-47DD-B235-964BDF31F949}"/>
    <cellStyle name="SAPBEXaggDataEmph 2 2 3 14" xfId="5346" xr:uid="{C9828A9F-C402-4BF4-8CCB-5C6F332798AC}"/>
    <cellStyle name="SAPBEXaggDataEmph 2 2 3 14 2" xfId="5347" xr:uid="{6EF56FD9-A01C-4D9A-BEFD-74A93488B8DA}"/>
    <cellStyle name="SAPBEXaggDataEmph 2 2 3 15" xfId="5348" xr:uid="{3375EC30-197C-4D0F-AA82-7C60E4E96028}"/>
    <cellStyle name="SAPBEXaggDataEmph 2 2 3 15 2" xfId="5349" xr:uid="{55D65285-7D98-4ADC-8427-B5A76D5E4F7B}"/>
    <cellStyle name="SAPBEXaggDataEmph 2 2 3 2" xfId="5350" xr:uid="{9E399EDD-7171-4C26-9979-AB14B9ED183C}"/>
    <cellStyle name="SAPBEXaggDataEmph 2 2 3 2 2" xfId="5351" xr:uid="{E1339613-BB05-46A0-8898-F0C95C84BFC2}"/>
    <cellStyle name="SAPBEXaggDataEmph 2 2 3 3" xfId="5352" xr:uid="{53FF2402-76C7-4D68-8469-B42C90E56757}"/>
    <cellStyle name="SAPBEXaggDataEmph 2 2 3 3 2" xfId="5353" xr:uid="{F39C7FF9-7C43-4845-8521-129428E754C7}"/>
    <cellStyle name="SAPBEXaggDataEmph 2 2 3 4" xfId="5354" xr:uid="{DEB9D319-B007-4884-9F50-4533673B8996}"/>
    <cellStyle name="SAPBEXaggDataEmph 2 2 3 4 2" xfId="5355" xr:uid="{1D687451-20AE-4765-AFE4-6692F52FD965}"/>
    <cellStyle name="SAPBEXaggDataEmph 2 2 3 5" xfId="5356" xr:uid="{6193BF83-A8A4-4275-85DD-01C2639BC498}"/>
    <cellStyle name="SAPBEXaggDataEmph 2 2 3 5 2" xfId="5357" xr:uid="{2763E297-7016-44B7-999B-5EC0E0624738}"/>
    <cellStyle name="SAPBEXaggDataEmph 2 2 3 6" xfId="5358" xr:uid="{C17982DF-8FF1-4480-A368-244956A56087}"/>
    <cellStyle name="SAPBEXaggDataEmph 2 2 3 6 2" xfId="5359" xr:uid="{419112E4-7499-476E-A239-6AA36157C9DD}"/>
    <cellStyle name="SAPBEXaggDataEmph 2 2 3 7" xfId="5360" xr:uid="{279F0226-8E1B-4B94-9DC7-EF99D31A9CA3}"/>
    <cellStyle name="SAPBEXaggDataEmph 2 2 3 7 2" xfId="5361" xr:uid="{548151BE-0785-4B2D-8954-8717FFD824E5}"/>
    <cellStyle name="SAPBEXaggDataEmph 2 2 3 8" xfId="5362" xr:uid="{66A93880-77DC-4403-847B-0B27D3B6FFFF}"/>
    <cellStyle name="SAPBEXaggDataEmph 2 2 3 8 2" xfId="5363" xr:uid="{335B48BD-0644-48CE-9DDB-6F373D1C9898}"/>
    <cellStyle name="SAPBEXaggDataEmph 2 2 3 9" xfId="5364" xr:uid="{8530CC12-0AF8-42F5-BD95-1ADB93A5763C}"/>
    <cellStyle name="SAPBEXaggDataEmph 2 2 3 9 2" xfId="5365" xr:uid="{4C9F29F4-B021-4F90-8C32-09FDF7A88692}"/>
    <cellStyle name="SAPBEXaggDataEmph 2 2 4" xfId="5366" xr:uid="{2089D73D-FEEB-4602-80C7-74B7AF20F8E1}"/>
    <cellStyle name="SAPBEXaggDataEmph 2 2 4 2" xfId="5367" xr:uid="{536C5D92-A3FF-46FA-9A78-A05F69D3C3A3}"/>
    <cellStyle name="SAPBEXaggDataEmph 2 2 5" xfId="5368" xr:uid="{48476E31-A30A-41C9-ACD8-2B442C885DD8}"/>
    <cellStyle name="SAPBEXaggDataEmph 2 2 5 2" xfId="5369" xr:uid="{582231AB-760A-4E4A-BC9A-CC732E7AD00E}"/>
    <cellStyle name="SAPBEXaggDataEmph 2 2 6" xfId="5370" xr:uid="{FBB2D23C-6561-47DF-B175-44E79570D9E2}"/>
    <cellStyle name="SAPBEXaggDataEmph 2 2 6 2" xfId="5371" xr:uid="{86C3385E-A1DA-4D9E-A7CD-6EAB5CDABEF7}"/>
    <cellStyle name="SAPBEXaggDataEmph 2 2 7" xfId="5372" xr:uid="{0268CFF8-807B-4DE5-BAD4-7F7CF19B494F}"/>
    <cellStyle name="SAPBEXaggDataEmph 2 2 7 2" xfId="5373" xr:uid="{84EB2CEE-F057-4C18-9FCC-65E85354DB57}"/>
    <cellStyle name="SAPBEXaggDataEmph 2 2 8" xfId="5374" xr:uid="{22D6153E-D7D3-4989-BD09-45916DE6BF31}"/>
    <cellStyle name="SAPBEXaggDataEmph 2 2 8 2" xfId="5375" xr:uid="{68353D24-D995-4AC0-92F6-FF1AD57C4F16}"/>
    <cellStyle name="SAPBEXaggDataEmph 2 2 9" xfId="5376" xr:uid="{728B8016-F3B1-4EB0-86B4-27BC09AB88CE}"/>
    <cellStyle name="SAPBEXaggDataEmph 2 2 9 2" xfId="5377" xr:uid="{EB03D06B-D2F2-4B82-8490-1C7E10C70D46}"/>
    <cellStyle name="SAPBEXaggDataEmph 2 3" xfId="5378" xr:uid="{36421F5B-DA3E-48C7-BC43-AA64244CFD6B}"/>
    <cellStyle name="SAPBEXaggDataEmph 2 3 10" xfId="5379" xr:uid="{2B43AA4C-D270-45F6-84DB-D6A1BC9198B7}"/>
    <cellStyle name="SAPBEXaggDataEmph 2 3 10 2" xfId="5380" xr:uid="{41286AE8-3245-4FD3-A16A-283E3CC79AFB}"/>
    <cellStyle name="SAPBEXaggDataEmph 2 3 11" xfId="5381" xr:uid="{05F96A11-0D30-4EF8-8DFC-56E994543A3E}"/>
    <cellStyle name="SAPBEXaggDataEmph 2 3 11 2" xfId="5382" xr:uid="{32D4CAF5-A1A4-46CA-8885-13F9865866D6}"/>
    <cellStyle name="SAPBEXaggDataEmph 2 3 12" xfId="5383" xr:uid="{585EF16E-9008-4263-87F8-ADD3158C0042}"/>
    <cellStyle name="SAPBEXaggDataEmph 2 3 12 2" xfId="5384" xr:uid="{D4BDF054-7D1B-4F25-9A55-4434C4764EDF}"/>
    <cellStyle name="SAPBEXaggDataEmph 2 3 13" xfId="5385" xr:uid="{C1B04918-1FFF-400E-9490-8282147A2E1E}"/>
    <cellStyle name="SAPBEXaggDataEmph 2 3 13 2" xfId="5386" xr:uid="{22033C63-C909-49EF-AAD6-DA560A319EC0}"/>
    <cellStyle name="SAPBEXaggDataEmph 2 3 14" xfId="5387" xr:uid="{A524B1AE-9FCB-408F-99A2-EC508EAA0240}"/>
    <cellStyle name="SAPBEXaggDataEmph 2 3 14 2" xfId="5388" xr:uid="{828351B1-59ED-49D5-980C-1EAAFBF89FDF}"/>
    <cellStyle name="SAPBEXaggDataEmph 2 3 15" xfId="5389" xr:uid="{2BF4B4EA-3AFF-4F1E-AB6A-D886E0848C35}"/>
    <cellStyle name="SAPBEXaggDataEmph 2 3 15 2" xfId="5390" xr:uid="{D2BFF99A-25D0-404C-A275-CDA13BE8F9FF}"/>
    <cellStyle name="SAPBEXaggDataEmph 2 3 16" xfId="5391" xr:uid="{70242D65-40D7-40B6-90FF-30ECB845992D}"/>
    <cellStyle name="SAPBEXaggDataEmph 2 3 16 2" xfId="5392" xr:uid="{70E125BD-AD5E-47DB-B7EF-25445564FAFE}"/>
    <cellStyle name="SAPBEXaggDataEmph 2 3 17" xfId="5393" xr:uid="{5D03805B-DD43-4161-BD09-535E31C202DB}"/>
    <cellStyle name="SAPBEXaggDataEmph 2 3 17 2" xfId="5394" xr:uid="{00A36C58-AF5D-4F70-A97E-93844B2940B7}"/>
    <cellStyle name="SAPBEXaggDataEmph 2 3 2" xfId="5395" xr:uid="{3FA5F95D-2E29-4CBC-8029-CAA9F721D864}"/>
    <cellStyle name="SAPBEXaggDataEmph 2 3 2 10" xfId="5396" xr:uid="{39B4EB5D-02AA-45C5-ADAF-257FF05CF8C8}"/>
    <cellStyle name="SAPBEXaggDataEmph 2 3 2 10 2" xfId="5397" xr:uid="{18FC7CFA-35DD-42B1-9DD6-BFEC6FA2BADB}"/>
    <cellStyle name="SAPBEXaggDataEmph 2 3 2 11" xfId="5398" xr:uid="{987BC6A5-7655-428A-BF1C-5B28DA585C94}"/>
    <cellStyle name="SAPBEXaggDataEmph 2 3 2 11 2" xfId="5399" xr:uid="{53ABD4CC-CD46-4770-8957-29B7583F03B8}"/>
    <cellStyle name="SAPBEXaggDataEmph 2 3 2 12" xfId="5400" xr:uid="{DF9AEC08-A903-454B-845C-CB90B2CF99D4}"/>
    <cellStyle name="SAPBEXaggDataEmph 2 3 2 12 2" xfId="5401" xr:uid="{456D2537-53AE-4910-B77B-FA43DD2B2A3E}"/>
    <cellStyle name="SAPBEXaggDataEmph 2 3 2 13" xfId="5402" xr:uid="{56C475BB-9861-4AC2-936F-46CCAFA9D256}"/>
    <cellStyle name="SAPBEXaggDataEmph 2 3 2 13 2" xfId="5403" xr:uid="{A854FE86-6D25-4649-AE98-E9158803F986}"/>
    <cellStyle name="SAPBEXaggDataEmph 2 3 2 14" xfId="5404" xr:uid="{C3324231-F0F5-4C39-BA7F-8C5A5CE7FBBD}"/>
    <cellStyle name="SAPBEXaggDataEmph 2 3 2 14 2" xfId="5405" xr:uid="{D6B9833A-1C6D-40D1-913A-54D58502E1EC}"/>
    <cellStyle name="SAPBEXaggDataEmph 2 3 2 15" xfId="5406" xr:uid="{BE3C1536-22F5-41CC-98A5-12FE3FAD643A}"/>
    <cellStyle name="SAPBEXaggDataEmph 2 3 2 15 2" xfId="5407" xr:uid="{0CC2EB41-16C0-408B-8201-BD2071564692}"/>
    <cellStyle name="SAPBEXaggDataEmph 2 3 2 2" xfId="5408" xr:uid="{4894D8F7-6A84-45B7-8026-22B5E94FABA3}"/>
    <cellStyle name="SAPBEXaggDataEmph 2 3 2 2 2" xfId="5409" xr:uid="{FFB819C7-D9B3-4646-B62D-1F09D85130D2}"/>
    <cellStyle name="SAPBEXaggDataEmph 2 3 2 3" xfId="5410" xr:uid="{345AF5DD-9FBC-456A-8490-C8C6465F640A}"/>
    <cellStyle name="SAPBEXaggDataEmph 2 3 2 3 2" xfId="5411" xr:uid="{A34C336F-520F-4370-8A82-88324F8B0B32}"/>
    <cellStyle name="SAPBEXaggDataEmph 2 3 2 4" xfId="5412" xr:uid="{1F155194-D03A-49D1-B269-DCABF17FD7FE}"/>
    <cellStyle name="SAPBEXaggDataEmph 2 3 2 4 2" xfId="5413" xr:uid="{7CD59A83-ED6B-49E1-9CB1-737E07B4CDB7}"/>
    <cellStyle name="SAPBEXaggDataEmph 2 3 2 5" xfId="5414" xr:uid="{8F7F3024-9116-482A-8711-5977D33149A8}"/>
    <cellStyle name="SAPBEXaggDataEmph 2 3 2 5 2" xfId="5415" xr:uid="{4D12F602-71C7-4A32-86F2-7498C0270A86}"/>
    <cellStyle name="SAPBEXaggDataEmph 2 3 2 6" xfId="5416" xr:uid="{0F94BF15-F029-4C3E-AAB1-CE9D59ECD005}"/>
    <cellStyle name="SAPBEXaggDataEmph 2 3 2 6 2" xfId="5417" xr:uid="{087E7B67-0AD0-47DB-982D-6C23867DED8E}"/>
    <cellStyle name="SAPBEXaggDataEmph 2 3 2 7" xfId="5418" xr:uid="{FE95D538-4196-4929-96F0-4760DDAECA52}"/>
    <cellStyle name="SAPBEXaggDataEmph 2 3 2 7 2" xfId="5419" xr:uid="{182A747C-2325-4200-A57F-6A6F5D73C533}"/>
    <cellStyle name="SAPBEXaggDataEmph 2 3 2 8" xfId="5420" xr:uid="{75AE5445-5DB5-4647-A8BB-D987EED41D3B}"/>
    <cellStyle name="SAPBEXaggDataEmph 2 3 2 8 2" xfId="5421" xr:uid="{BA344744-51DE-4E47-9B09-9E73E4DB4541}"/>
    <cellStyle name="SAPBEXaggDataEmph 2 3 2 9" xfId="5422" xr:uid="{F0852E73-40F7-470B-81D0-45301F0F7BE8}"/>
    <cellStyle name="SAPBEXaggDataEmph 2 3 2 9 2" xfId="5423" xr:uid="{727CEB50-C526-4116-8018-4402037E6BFD}"/>
    <cellStyle name="SAPBEXaggDataEmph 2 3 3" xfId="5424" xr:uid="{97BC9091-1A3C-4AA0-A063-CB545AA5CF94}"/>
    <cellStyle name="SAPBEXaggDataEmph 2 3 3 10" xfId="5425" xr:uid="{458364CD-F5F9-4F3F-AC37-3C1C903963B7}"/>
    <cellStyle name="SAPBEXaggDataEmph 2 3 3 10 2" xfId="5426" xr:uid="{BC822A53-D53E-46E9-88B4-FB489EE4F1FA}"/>
    <cellStyle name="SAPBEXaggDataEmph 2 3 3 11" xfId="5427" xr:uid="{E7C263DB-F3B2-4CFA-87DF-F7EA6D706C27}"/>
    <cellStyle name="SAPBEXaggDataEmph 2 3 3 11 2" xfId="5428" xr:uid="{9A9E76A7-C51B-4721-9978-FC9713A19E12}"/>
    <cellStyle name="SAPBEXaggDataEmph 2 3 3 12" xfId="5429" xr:uid="{205D1941-D93D-42FE-BD8E-8ED7AAEE0D5F}"/>
    <cellStyle name="SAPBEXaggDataEmph 2 3 3 12 2" xfId="5430" xr:uid="{C5E64394-2A63-4B06-926D-FEC981EF63B0}"/>
    <cellStyle name="SAPBEXaggDataEmph 2 3 3 13" xfId="5431" xr:uid="{799B0719-AA47-401B-9CCB-E08FF848D55B}"/>
    <cellStyle name="SAPBEXaggDataEmph 2 3 3 13 2" xfId="5432" xr:uid="{13B48065-FA60-41F2-9F4B-088D77C0DE40}"/>
    <cellStyle name="SAPBEXaggDataEmph 2 3 3 14" xfId="5433" xr:uid="{6149E973-666B-45BB-8810-6A231F1FF322}"/>
    <cellStyle name="SAPBEXaggDataEmph 2 3 3 14 2" xfId="5434" xr:uid="{F512E279-186B-4088-ADA0-54416B0B0D71}"/>
    <cellStyle name="SAPBEXaggDataEmph 2 3 3 15" xfId="5435" xr:uid="{E1E64226-333B-4AF4-920A-ADA6B088A1F9}"/>
    <cellStyle name="SAPBEXaggDataEmph 2 3 3 15 2" xfId="5436" xr:uid="{26AE3033-D458-482A-82B8-D18121DA0299}"/>
    <cellStyle name="SAPBEXaggDataEmph 2 3 3 2" xfId="5437" xr:uid="{275AB38F-DA55-4ED6-B743-64DA8DDFBB89}"/>
    <cellStyle name="SAPBEXaggDataEmph 2 3 3 2 2" xfId="5438" xr:uid="{3BE2EAFA-BBF5-4F61-A193-7CEA5594B331}"/>
    <cellStyle name="SAPBEXaggDataEmph 2 3 3 3" xfId="5439" xr:uid="{ED1090EA-ECD3-4D41-B5B3-3238E9A958E5}"/>
    <cellStyle name="SAPBEXaggDataEmph 2 3 3 3 2" xfId="5440" xr:uid="{0D1A216C-2990-472B-ACD3-EF1319C0D631}"/>
    <cellStyle name="SAPBEXaggDataEmph 2 3 3 4" xfId="5441" xr:uid="{87DCFF48-492D-45CB-B96A-A868698ACCA9}"/>
    <cellStyle name="SAPBEXaggDataEmph 2 3 3 4 2" xfId="5442" xr:uid="{51DDE574-0CDF-4723-B450-B6A6F25BC298}"/>
    <cellStyle name="SAPBEXaggDataEmph 2 3 3 5" xfId="5443" xr:uid="{7CAB4E31-998D-479C-959D-9AB86F7B5673}"/>
    <cellStyle name="SAPBEXaggDataEmph 2 3 3 5 2" xfId="5444" xr:uid="{C9142842-D9FA-4CCC-B17C-B7D46A739E3A}"/>
    <cellStyle name="SAPBEXaggDataEmph 2 3 3 6" xfId="5445" xr:uid="{F3F74D45-8367-463B-A705-326AE00A88CE}"/>
    <cellStyle name="SAPBEXaggDataEmph 2 3 3 6 2" xfId="5446" xr:uid="{9F932DF3-C4C5-4460-8660-74AABE21B84A}"/>
    <cellStyle name="SAPBEXaggDataEmph 2 3 3 7" xfId="5447" xr:uid="{2872F8DA-ACE0-485C-8133-19E218C53C1D}"/>
    <cellStyle name="SAPBEXaggDataEmph 2 3 3 7 2" xfId="5448" xr:uid="{AA56CE2B-2546-4539-92A8-425374057991}"/>
    <cellStyle name="SAPBEXaggDataEmph 2 3 3 8" xfId="5449" xr:uid="{D7569469-DF84-489C-92AE-72ED60D5862E}"/>
    <cellStyle name="SAPBEXaggDataEmph 2 3 3 8 2" xfId="5450" xr:uid="{D2D944DC-C453-4791-A401-152B3749EDA1}"/>
    <cellStyle name="SAPBEXaggDataEmph 2 3 3 9" xfId="5451" xr:uid="{12472A6B-95EC-4176-89EA-E19A2E1AEB0D}"/>
    <cellStyle name="SAPBEXaggDataEmph 2 3 3 9 2" xfId="5452" xr:uid="{533BE249-4937-447A-A19C-188CD4ADCB5E}"/>
    <cellStyle name="SAPBEXaggDataEmph 2 3 4" xfId="5453" xr:uid="{41A578F6-1B52-48B5-8740-35718859F3D0}"/>
    <cellStyle name="SAPBEXaggDataEmph 2 3 4 2" xfId="5454" xr:uid="{B8AEE651-54CD-4374-8B18-34178C61C7CD}"/>
    <cellStyle name="SAPBEXaggDataEmph 2 3 5" xfId="5455" xr:uid="{D94562F1-5468-44B1-B14C-24BC1DEB257D}"/>
    <cellStyle name="SAPBEXaggDataEmph 2 3 5 2" xfId="5456" xr:uid="{CF925CE4-FDB6-47CF-92F7-1AB44AF46BBC}"/>
    <cellStyle name="SAPBEXaggDataEmph 2 3 6" xfId="5457" xr:uid="{C0DC0EDA-BAFD-46FC-90E8-DC4BD21C987E}"/>
    <cellStyle name="SAPBEXaggDataEmph 2 3 6 2" xfId="5458" xr:uid="{26BA5594-BBF4-42E5-BCA5-2FC16B49C07D}"/>
    <cellStyle name="SAPBEXaggDataEmph 2 3 7" xfId="5459" xr:uid="{E3737C40-E4F7-4D53-B3D6-922645AEF41F}"/>
    <cellStyle name="SAPBEXaggDataEmph 2 3 7 2" xfId="5460" xr:uid="{29F16355-E355-4291-807F-C3824BAC4772}"/>
    <cellStyle name="SAPBEXaggDataEmph 2 3 8" xfId="5461" xr:uid="{395A4E27-402A-4B60-93D8-BA845305BBB2}"/>
    <cellStyle name="SAPBEXaggDataEmph 2 3 8 2" xfId="5462" xr:uid="{D4B96C26-6BAC-40A7-BC52-CEE84B481C4D}"/>
    <cellStyle name="SAPBEXaggDataEmph 2 3 9" xfId="5463" xr:uid="{0B59B517-6878-483A-BA2E-C8F7E4D98490}"/>
    <cellStyle name="SAPBEXaggDataEmph 2 3 9 2" xfId="5464" xr:uid="{AAD03F0A-C7A4-4FC1-A687-795495EC566F}"/>
    <cellStyle name="SAPBEXaggDataEmph 2 4" xfId="5465" xr:uid="{64FDF383-BD1C-42A9-8591-138D7EDE4370}"/>
    <cellStyle name="SAPBEXaggDataEmph 2 4 10" xfId="5466" xr:uid="{E7FF2B1E-A9B5-4302-B9BB-B62C68D5837E}"/>
    <cellStyle name="SAPBEXaggDataEmph 2 4 10 2" xfId="5467" xr:uid="{876B6608-7AF5-485D-A46B-BFD7FAC090DE}"/>
    <cellStyle name="SAPBEXaggDataEmph 2 4 11" xfId="5468" xr:uid="{53950923-F8AA-4D70-905D-C1007631EC51}"/>
    <cellStyle name="SAPBEXaggDataEmph 2 4 11 2" xfId="5469" xr:uid="{1E6456C2-8CC0-417E-A039-F6B76CB85354}"/>
    <cellStyle name="SAPBEXaggDataEmph 2 4 12" xfId="5470" xr:uid="{022DD468-ABA2-48DE-B86A-813AF1FEEA8B}"/>
    <cellStyle name="SAPBEXaggDataEmph 2 4 12 2" xfId="5471" xr:uid="{C9D8F4CF-BD0B-45F5-9C83-11285F91600C}"/>
    <cellStyle name="SAPBEXaggDataEmph 2 4 13" xfId="5472" xr:uid="{A96EFB6C-5909-4593-B876-A095D398CFE8}"/>
    <cellStyle name="SAPBEXaggDataEmph 2 4 13 2" xfId="5473" xr:uid="{E4F54E8A-6BD4-417B-81E6-B5F456BA634D}"/>
    <cellStyle name="SAPBEXaggDataEmph 2 4 14" xfId="5474" xr:uid="{D8836804-14CB-4D4E-BFEE-D016E3D0A21C}"/>
    <cellStyle name="SAPBEXaggDataEmph 2 4 14 2" xfId="5475" xr:uid="{37DFF151-D411-4140-A006-EF77F5829208}"/>
    <cellStyle name="SAPBEXaggDataEmph 2 4 15" xfId="5476" xr:uid="{52A9B473-96CB-4D7A-BAF2-99E54FFD2892}"/>
    <cellStyle name="SAPBEXaggDataEmph 2 4 15 2" xfId="5477" xr:uid="{136CC6D3-39C4-4095-B521-24B65BDF50EA}"/>
    <cellStyle name="SAPBEXaggDataEmph 2 4 16" xfId="5478" xr:uid="{BF9EF370-C024-4E26-A8EA-77F2FE0A6B7B}"/>
    <cellStyle name="SAPBEXaggDataEmph 2 4 16 2" xfId="5479" xr:uid="{5949ABA7-A0E7-4B84-BB42-3E1C9EBB3FA9}"/>
    <cellStyle name="SAPBEXaggDataEmph 2 4 17" xfId="5480" xr:uid="{53611914-ED8A-4FF6-9096-442C8B233A3E}"/>
    <cellStyle name="SAPBEXaggDataEmph 2 4 17 2" xfId="5481" xr:uid="{97AF44B0-D861-4EE3-A003-D499A43BC4F8}"/>
    <cellStyle name="SAPBEXaggDataEmph 2 4 2" xfId="5482" xr:uid="{D32B67E6-B532-4CBA-BC7E-B42210E068F0}"/>
    <cellStyle name="SAPBEXaggDataEmph 2 4 2 10" xfId="5483" xr:uid="{31FD0904-E5A7-4491-83B8-5633BF8308E9}"/>
    <cellStyle name="SAPBEXaggDataEmph 2 4 2 10 2" xfId="5484" xr:uid="{D68153F9-5F13-459B-81DE-22F1C96FF00C}"/>
    <cellStyle name="SAPBEXaggDataEmph 2 4 2 11" xfId="5485" xr:uid="{167EA262-8708-42D5-AF1B-C058A9CD4E54}"/>
    <cellStyle name="SAPBEXaggDataEmph 2 4 2 11 2" xfId="5486" xr:uid="{DF56BCEA-8B9D-455E-968B-5E1B0028C8F4}"/>
    <cellStyle name="SAPBEXaggDataEmph 2 4 2 12" xfId="5487" xr:uid="{ABD25CC1-97AD-4D4E-ADEC-F761735947A3}"/>
    <cellStyle name="SAPBEXaggDataEmph 2 4 2 12 2" xfId="5488" xr:uid="{F42C2189-5983-42AD-9465-A7E1B1E136B3}"/>
    <cellStyle name="SAPBEXaggDataEmph 2 4 2 13" xfId="5489" xr:uid="{C7CDB13E-8D6A-4D6E-905A-4FD06738C0FF}"/>
    <cellStyle name="SAPBEXaggDataEmph 2 4 2 13 2" xfId="5490" xr:uid="{46D6146F-9D19-4BF9-92A1-0D3BFD6913FD}"/>
    <cellStyle name="SAPBEXaggDataEmph 2 4 2 14" xfId="5491" xr:uid="{EDC7CC10-8E73-4415-B07D-063CB23D3A4C}"/>
    <cellStyle name="SAPBEXaggDataEmph 2 4 2 14 2" xfId="5492" xr:uid="{8E9EDDF6-A8E6-474F-A38C-F5B0C72A3E10}"/>
    <cellStyle name="SAPBEXaggDataEmph 2 4 2 15" xfId="5493" xr:uid="{99D3D4DC-4BE3-484E-BE36-0BEF6FE46237}"/>
    <cellStyle name="SAPBEXaggDataEmph 2 4 2 15 2" xfId="5494" xr:uid="{473DA687-EBED-416E-A99C-86D81FCC17FE}"/>
    <cellStyle name="SAPBEXaggDataEmph 2 4 2 2" xfId="5495" xr:uid="{F70602B9-6B24-4ECC-80BE-D5C0CE88FBFC}"/>
    <cellStyle name="SAPBEXaggDataEmph 2 4 2 2 2" xfId="5496" xr:uid="{0879EFB9-E1B7-4DCE-8FA9-594EEAFD9C5B}"/>
    <cellStyle name="SAPBEXaggDataEmph 2 4 2 3" xfId="5497" xr:uid="{A854F64C-E154-4E17-9967-24A85552B1A6}"/>
    <cellStyle name="SAPBEXaggDataEmph 2 4 2 3 2" xfId="5498" xr:uid="{0D1A750C-7940-48E2-A69E-B1DF56369EA5}"/>
    <cellStyle name="SAPBEXaggDataEmph 2 4 2 4" xfId="5499" xr:uid="{BC88AFAE-CBDF-4D80-A314-7DE6AC9D7F21}"/>
    <cellStyle name="SAPBEXaggDataEmph 2 4 2 4 2" xfId="5500" xr:uid="{6BA5D71D-3309-4447-A866-B6AB3C62DEEE}"/>
    <cellStyle name="SAPBEXaggDataEmph 2 4 2 5" xfId="5501" xr:uid="{C5DC6FC2-93BA-4D62-A110-BA4F9B573C5A}"/>
    <cellStyle name="SAPBEXaggDataEmph 2 4 2 5 2" xfId="5502" xr:uid="{CFB697C7-1E87-496A-8D39-17AC7F815548}"/>
    <cellStyle name="SAPBEXaggDataEmph 2 4 2 6" xfId="5503" xr:uid="{78C187EF-185E-424D-B692-AD7412A567EF}"/>
    <cellStyle name="SAPBEXaggDataEmph 2 4 2 6 2" xfId="5504" xr:uid="{756A3131-9344-49BF-9D0F-069EED948FE5}"/>
    <cellStyle name="SAPBEXaggDataEmph 2 4 2 7" xfId="5505" xr:uid="{9A2A2076-0116-4836-9B21-9140416C58F3}"/>
    <cellStyle name="SAPBEXaggDataEmph 2 4 2 7 2" xfId="5506" xr:uid="{A3A5627F-5008-439E-8F25-A455C2079360}"/>
    <cellStyle name="SAPBEXaggDataEmph 2 4 2 8" xfId="5507" xr:uid="{50A1F2C7-91D8-4A99-9990-8D5A332BF86B}"/>
    <cellStyle name="SAPBEXaggDataEmph 2 4 2 8 2" xfId="5508" xr:uid="{536F1E3E-BC4A-4FF9-9CF2-850BFA14F5BE}"/>
    <cellStyle name="SAPBEXaggDataEmph 2 4 2 9" xfId="5509" xr:uid="{9E3E1441-A73E-448C-9895-82DEADF8BD8E}"/>
    <cellStyle name="SAPBEXaggDataEmph 2 4 2 9 2" xfId="5510" xr:uid="{BEC38AB4-027F-424E-A175-9DA43DE73CBE}"/>
    <cellStyle name="SAPBEXaggDataEmph 2 4 3" xfId="5511" xr:uid="{236A29C5-06F5-4F0E-9918-184E55842298}"/>
    <cellStyle name="SAPBEXaggDataEmph 2 4 3 10" xfId="5512" xr:uid="{0CFD6FC3-F405-4689-B69E-7C0226D21331}"/>
    <cellStyle name="SAPBEXaggDataEmph 2 4 3 10 2" xfId="5513" xr:uid="{7B43126A-B710-4B79-981C-A263086DA916}"/>
    <cellStyle name="SAPBEXaggDataEmph 2 4 3 11" xfId="5514" xr:uid="{27251AB1-69EE-4537-8CA7-0617C6C1AFFB}"/>
    <cellStyle name="SAPBEXaggDataEmph 2 4 3 11 2" xfId="5515" xr:uid="{53EAEAB3-0AC9-4B42-8F1A-2E77E99B4D9A}"/>
    <cellStyle name="SAPBEXaggDataEmph 2 4 3 12" xfId="5516" xr:uid="{31B9E50F-E326-4E4E-8D23-781A6D5C6312}"/>
    <cellStyle name="SAPBEXaggDataEmph 2 4 3 12 2" xfId="5517" xr:uid="{A7CEAD68-479B-4B75-B6EE-4C5398808BF5}"/>
    <cellStyle name="SAPBEXaggDataEmph 2 4 3 13" xfId="5518" xr:uid="{22027A6D-7B0D-4E85-990C-B003BD9E80A4}"/>
    <cellStyle name="SAPBEXaggDataEmph 2 4 3 13 2" xfId="5519" xr:uid="{4D6A4512-E2EA-4FDA-80EC-1ECB3F397FF9}"/>
    <cellStyle name="SAPBEXaggDataEmph 2 4 3 14" xfId="5520" xr:uid="{7FAC50CC-091F-4971-A5F5-F81BA42D56CB}"/>
    <cellStyle name="SAPBEXaggDataEmph 2 4 3 14 2" xfId="5521" xr:uid="{C271FC3C-B679-4AE9-A997-DEAA5FBADABE}"/>
    <cellStyle name="SAPBEXaggDataEmph 2 4 3 15" xfId="5522" xr:uid="{B737D26D-FA9E-48F3-8BC4-E4015BA4B37B}"/>
    <cellStyle name="SAPBEXaggDataEmph 2 4 3 15 2" xfId="5523" xr:uid="{8C4E479E-6F87-413F-A14C-51A6BBC7A547}"/>
    <cellStyle name="SAPBEXaggDataEmph 2 4 3 2" xfId="5524" xr:uid="{B1C25CB7-8A2B-4720-8AAE-43234EAD9C06}"/>
    <cellStyle name="SAPBEXaggDataEmph 2 4 3 2 2" xfId="5525" xr:uid="{1C22E7DC-0ED6-490F-BE88-7E7E312F5F6E}"/>
    <cellStyle name="SAPBEXaggDataEmph 2 4 3 3" xfId="5526" xr:uid="{EA13A12D-3FE2-41F5-974D-A43A1D4918C2}"/>
    <cellStyle name="SAPBEXaggDataEmph 2 4 3 3 2" xfId="5527" xr:uid="{CF28D25A-400E-4196-AEB7-BBFFEF4892A8}"/>
    <cellStyle name="SAPBEXaggDataEmph 2 4 3 4" xfId="5528" xr:uid="{40F462ED-5545-4F16-9CA2-EE6F869F5CB9}"/>
    <cellStyle name="SAPBEXaggDataEmph 2 4 3 4 2" xfId="5529" xr:uid="{FE6C8DA0-2211-4C5C-8F12-776B2D9687BA}"/>
    <cellStyle name="SAPBEXaggDataEmph 2 4 3 5" xfId="5530" xr:uid="{D33801F0-52D4-4CB5-AB28-D85593938023}"/>
    <cellStyle name="SAPBEXaggDataEmph 2 4 3 5 2" xfId="5531" xr:uid="{72BE154A-2FC1-4556-ABD6-BA2942BA187D}"/>
    <cellStyle name="SAPBEXaggDataEmph 2 4 3 6" xfId="5532" xr:uid="{36963C9A-0696-4776-855D-8BD4E4DD0228}"/>
    <cellStyle name="SAPBEXaggDataEmph 2 4 3 6 2" xfId="5533" xr:uid="{E1EDB8A8-AF62-4FFC-BBBC-9FEB1400109A}"/>
    <cellStyle name="SAPBEXaggDataEmph 2 4 3 7" xfId="5534" xr:uid="{C73153B7-8EC2-4428-85F5-149391A93249}"/>
    <cellStyle name="SAPBEXaggDataEmph 2 4 3 7 2" xfId="5535" xr:uid="{F4360270-82D5-46D9-983B-5FBE8C8E1C95}"/>
    <cellStyle name="SAPBEXaggDataEmph 2 4 3 8" xfId="5536" xr:uid="{9C8462EB-0B31-424B-AE0C-5528C85BEF04}"/>
    <cellStyle name="SAPBEXaggDataEmph 2 4 3 8 2" xfId="5537" xr:uid="{B8D56C46-8B3D-499F-8AE6-169E6E2D4D4A}"/>
    <cellStyle name="SAPBEXaggDataEmph 2 4 3 9" xfId="5538" xr:uid="{6C7DDF9D-B618-4884-A278-C4F6296FCD23}"/>
    <cellStyle name="SAPBEXaggDataEmph 2 4 3 9 2" xfId="5539" xr:uid="{6DCB842E-A20C-4DAF-B50B-2203CE8D99DE}"/>
    <cellStyle name="SAPBEXaggDataEmph 2 4 4" xfId="5540" xr:uid="{5A62C70A-6D56-4AEB-882A-DB49F6CDB0D0}"/>
    <cellStyle name="SAPBEXaggDataEmph 2 4 4 2" xfId="5541" xr:uid="{303AABB3-E06F-4EF5-B200-FE77F0B9CDC7}"/>
    <cellStyle name="SAPBEXaggDataEmph 2 4 5" xfId="5542" xr:uid="{319B79EE-2E50-4B91-A56F-F6EDBF00DCE8}"/>
    <cellStyle name="SAPBEXaggDataEmph 2 4 5 2" xfId="5543" xr:uid="{A036A848-4AE9-4491-BE88-40C7C5EF6748}"/>
    <cellStyle name="SAPBEXaggDataEmph 2 4 6" xfId="5544" xr:uid="{F1758587-5FEB-4767-A424-B9E3322DAB05}"/>
    <cellStyle name="SAPBEXaggDataEmph 2 4 6 2" xfId="5545" xr:uid="{B3E650BF-6947-4D75-8695-C3DD0BBAC941}"/>
    <cellStyle name="SAPBEXaggDataEmph 2 4 7" xfId="5546" xr:uid="{9C2E477D-5507-4166-8EF5-D9DA1E2400E6}"/>
    <cellStyle name="SAPBEXaggDataEmph 2 4 7 2" xfId="5547" xr:uid="{2DBA54DE-9A75-45D1-8028-0FD3A1CEE92D}"/>
    <cellStyle name="SAPBEXaggDataEmph 2 4 8" xfId="5548" xr:uid="{F4FF19C1-73C1-450A-B2E5-8721AC599023}"/>
    <cellStyle name="SAPBEXaggDataEmph 2 4 8 2" xfId="5549" xr:uid="{0158E4AC-93B4-470D-8BED-F68BEFD4B819}"/>
    <cellStyle name="SAPBEXaggDataEmph 2 4 9" xfId="5550" xr:uid="{D3F5039A-E43C-47B0-A390-458AFC3570CB}"/>
    <cellStyle name="SAPBEXaggDataEmph 2 4 9 2" xfId="5551" xr:uid="{1EC6773C-DF95-4A97-B4CE-ED8A88702B4F}"/>
    <cellStyle name="SAPBEXaggDataEmph 2 5" xfId="5552" xr:uid="{E9A78E6C-D34F-4968-9865-82E824F58AD8}"/>
    <cellStyle name="SAPBEXaggDataEmph 2 5 2" xfId="5553" xr:uid="{0FAA5087-F957-4CB4-BC49-0E7D8A93F7C3}"/>
    <cellStyle name="SAPBEXaggDataEmph 2 6" xfId="5554" xr:uid="{9BFFF136-75FB-4DE2-8F38-157575CE5AAD}"/>
    <cellStyle name="SAPBEXaggDataEmph 2 6 2" xfId="5555" xr:uid="{F91811CE-2F2D-467A-BA93-D7C4BE5D5680}"/>
    <cellStyle name="SAPBEXaggDataEmph 2 7" xfId="5556" xr:uid="{612F0D4B-3EB4-4110-9C11-260B04E2AF95}"/>
    <cellStyle name="SAPBEXaggDataEmph 2 7 2" xfId="5557" xr:uid="{4C1948FD-2AC9-42D1-AB50-BB604E4F4E20}"/>
    <cellStyle name="SAPBEXaggDataEmph 2 8" xfId="5558" xr:uid="{1563844C-A9B9-42A4-8A28-6C9025683EBB}"/>
    <cellStyle name="SAPBEXaggDataEmph 2 8 2" xfId="5559" xr:uid="{6B912D6A-5185-4CE1-A228-A5DD9398913E}"/>
    <cellStyle name="SAPBEXaggDataEmph 2 9" xfId="5560" xr:uid="{281A286C-1F4E-4062-B3AE-733EE3B8903B}"/>
    <cellStyle name="SAPBEXaggDataEmph 2 9 2" xfId="5561" xr:uid="{1ECA1122-89C1-4710-8356-CEECB26F579C}"/>
    <cellStyle name="SAPBEXaggDataEmph 2_T1 ANSP" xfId="5272" xr:uid="{E29357D8-08EE-4637-A4B4-2CD8F93D7740}"/>
    <cellStyle name="SAPBEXaggDataEmph 20" xfId="5562" xr:uid="{8CF692D5-7439-415A-8D4C-324740ACA851}"/>
    <cellStyle name="SAPBEXaggDataEmph 3" xfId="1499" xr:uid="{00000000-0005-0000-0000-000056050000}"/>
    <cellStyle name="SAPBEXaggDataEmph 3 10" xfId="5564" xr:uid="{4860BD0F-A3B0-40AA-83DE-712EC18857C5}"/>
    <cellStyle name="SAPBEXaggDataEmph 3 10 2" xfId="5565" xr:uid="{9CE46AD4-75FB-4B5E-95FC-B2E19C239687}"/>
    <cellStyle name="SAPBEXaggDataEmph 3 11" xfId="5566" xr:uid="{41F7283B-C442-4F40-8B86-DA8CF9D72B7A}"/>
    <cellStyle name="SAPBEXaggDataEmph 3 11 2" xfId="5567" xr:uid="{31905EB4-28F2-4AFB-A362-439C006DFEF3}"/>
    <cellStyle name="SAPBEXaggDataEmph 3 12" xfId="5568" xr:uid="{F0DB934A-D0C8-4B96-AC9F-FF5EC5B63D6C}"/>
    <cellStyle name="SAPBEXaggDataEmph 3 12 2" xfId="5569" xr:uid="{270B0BFF-4653-4C7E-B528-BFC8EFAD1F76}"/>
    <cellStyle name="SAPBEXaggDataEmph 3 13" xfId="5570" xr:uid="{C418F05A-1731-4EA9-8AE6-5C3B36C5ADE3}"/>
    <cellStyle name="SAPBEXaggDataEmph 3 13 2" xfId="5571" xr:uid="{133DE471-2CB8-4E58-BD7E-E040A4DCA010}"/>
    <cellStyle name="SAPBEXaggDataEmph 3 14" xfId="5572" xr:uid="{C26F59B1-A85F-46B1-ACDD-1E5D10B0A5A4}"/>
    <cellStyle name="SAPBEXaggDataEmph 3 14 2" xfId="5573" xr:uid="{E10D9D13-9227-4CB3-968D-0B11BF2708C9}"/>
    <cellStyle name="SAPBEXaggDataEmph 3 15" xfId="5574" xr:uid="{A8F44EC8-C5E8-4794-BDBA-E275576B757B}"/>
    <cellStyle name="SAPBEXaggDataEmph 3 15 2" xfId="5575" xr:uid="{DB05B847-703B-404F-B298-E199F7E88FD1}"/>
    <cellStyle name="SAPBEXaggDataEmph 3 16" xfId="5576" xr:uid="{93254904-8A8E-4A0B-ABC9-289456DAE660}"/>
    <cellStyle name="SAPBEXaggDataEmph 3 16 2" xfId="5577" xr:uid="{A2820112-44AB-45B9-91C6-3B45F930D308}"/>
    <cellStyle name="SAPBEXaggDataEmph 3 17" xfId="5578" xr:uid="{6E483B4B-51ED-4C4D-BAB5-84FE00E8F94A}"/>
    <cellStyle name="SAPBEXaggDataEmph 3 17 2" xfId="5579" xr:uid="{FD347B3B-DB4C-4D53-847A-D94DF34BEE16}"/>
    <cellStyle name="SAPBEXaggDataEmph 3 18" xfId="5580" xr:uid="{022858A8-1497-4426-9AF2-2C371A609D2F}"/>
    <cellStyle name="SAPBEXaggDataEmph 3 2" xfId="5581" xr:uid="{8EB4E51B-9DBA-4A66-8CA8-5D8276DE57DD}"/>
    <cellStyle name="SAPBEXaggDataEmph 3 2 10" xfId="5582" xr:uid="{59968A59-F98F-4E18-9F77-18B3CB3052A9}"/>
    <cellStyle name="SAPBEXaggDataEmph 3 2 10 2" xfId="5583" xr:uid="{F59C2785-11A6-4939-979C-1007AFAFC6F7}"/>
    <cellStyle name="SAPBEXaggDataEmph 3 2 11" xfId="5584" xr:uid="{ABFE706F-CFA8-4F3D-B1B8-3DD074B1F65F}"/>
    <cellStyle name="SAPBEXaggDataEmph 3 2 11 2" xfId="5585" xr:uid="{09CAB70B-C8D2-442E-947A-50803438E210}"/>
    <cellStyle name="SAPBEXaggDataEmph 3 2 12" xfId="5586" xr:uid="{1C84B39F-0F06-4EC7-953B-2880BA2262C2}"/>
    <cellStyle name="SAPBEXaggDataEmph 3 2 12 2" xfId="5587" xr:uid="{7B28215D-9AF0-4EC5-882A-B6784D630D1E}"/>
    <cellStyle name="SAPBEXaggDataEmph 3 2 13" xfId="5588" xr:uid="{614C0CD3-D7C4-4D24-9EA9-F645583CC6BE}"/>
    <cellStyle name="SAPBEXaggDataEmph 3 2 13 2" xfId="5589" xr:uid="{FE67A028-6763-4452-86BE-748EDC02F8EA}"/>
    <cellStyle name="SAPBEXaggDataEmph 3 2 14" xfId="5590" xr:uid="{867261B8-23E9-4842-A156-FC8DAF75A346}"/>
    <cellStyle name="SAPBEXaggDataEmph 3 2 14 2" xfId="5591" xr:uid="{1D6AEFB1-A161-4437-AA28-DCCAD52BDAEA}"/>
    <cellStyle name="SAPBEXaggDataEmph 3 2 15" xfId="5592" xr:uid="{205C0F0C-532F-4CB7-9A42-33569B4F59B0}"/>
    <cellStyle name="SAPBEXaggDataEmph 3 2 15 2" xfId="5593" xr:uid="{80B83C81-7874-413D-AA52-74E18365AD0F}"/>
    <cellStyle name="SAPBEXaggDataEmph 3 2 16" xfId="5594" xr:uid="{D7435BC1-406F-4FED-A6E0-BAAB265B5015}"/>
    <cellStyle name="SAPBEXaggDataEmph 3 2 2" xfId="5595" xr:uid="{6B286FBE-A1BA-4702-896B-D59B683BB7DD}"/>
    <cellStyle name="SAPBEXaggDataEmph 3 2 2 2" xfId="5596" xr:uid="{DE0967D2-0438-4493-A491-FD3B61743737}"/>
    <cellStyle name="SAPBEXaggDataEmph 3 2 3" xfId="5597" xr:uid="{ED03931C-95B9-40AA-B3C5-20D4FEEC1A21}"/>
    <cellStyle name="SAPBEXaggDataEmph 3 2 3 2" xfId="5598" xr:uid="{5A6982C7-766C-437C-B675-441477EE37D9}"/>
    <cellStyle name="SAPBEXaggDataEmph 3 2 4" xfId="5599" xr:uid="{333B3A54-9DAA-48DB-8F0C-61E218D700D3}"/>
    <cellStyle name="SAPBEXaggDataEmph 3 2 4 2" xfId="5600" xr:uid="{B9751E94-7E76-4EB7-87AB-AD40F2FF65F3}"/>
    <cellStyle name="SAPBEXaggDataEmph 3 2 5" xfId="5601" xr:uid="{84A813B4-EA71-4258-9560-1C57728D0601}"/>
    <cellStyle name="SAPBEXaggDataEmph 3 2 5 2" xfId="5602" xr:uid="{C4324236-5CBC-4844-ABB2-3593A5DB4466}"/>
    <cellStyle name="SAPBEXaggDataEmph 3 2 6" xfId="5603" xr:uid="{C00BB33B-D75B-41A3-944A-83704B008CF9}"/>
    <cellStyle name="SAPBEXaggDataEmph 3 2 6 2" xfId="5604" xr:uid="{589E932F-CB93-46DE-95A7-7F38E003A7A8}"/>
    <cellStyle name="SAPBEXaggDataEmph 3 2 7" xfId="5605" xr:uid="{CD99908E-251D-4DEE-B540-EB96D9666F44}"/>
    <cellStyle name="SAPBEXaggDataEmph 3 2 7 2" xfId="5606" xr:uid="{2CEF884A-3F55-42B0-AABD-27C3D9AFEB30}"/>
    <cellStyle name="SAPBEXaggDataEmph 3 2 8" xfId="5607" xr:uid="{C03598FF-A76C-4180-98A1-80495FB5F274}"/>
    <cellStyle name="SAPBEXaggDataEmph 3 2 8 2" xfId="5608" xr:uid="{9FCC9C1E-A772-4E44-8E34-AA11C06F0D87}"/>
    <cellStyle name="SAPBEXaggDataEmph 3 2 9" xfId="5609" xr:uid="{81199032-EB2D-48B7-8627-6764DE01B2F0}"/>
    <cellStyle name="SAPBEXaggDataEmph 3 2 9 2" xfId="5610" xr:uid="{930EF30A-26CC-4D54-A65D-DF70BEF49835}"/>
    <cellStyle name="SAPBEXaggDataEmph 3 3" xfId="5611" xr:uid="{286C8A1F-C5DF-464C-887C-30F825DAA85F}"/>
    <cellStyle name="SAPBEXaggDataEmph 3 3 10" xfId="5612" xr:uid="{D949121A-8FE2-499E-84ED-3967BD063E00}"/>
    <cellStyle name="SAPBEXaggDataEmph 3 3 10 2" xfId="5613" xr:uid="{04819CA1-D2E1-4FD0-8469-1D4F91E2691B}"/>
    <cellStyle name="SAPBEXaggDataEmph 3 3 11" xfId="5614" xr:uid="{B360260C-ADF1-4B36-B174-6F4EECA37247}"/>
    <cellStyle name="SAPBEXaggDataEmph 3 3 11 2" xfId="5615" xr:uid="{5584D030-6D6B-42D4-A4E9-42236126EF68}"/>
    <cellStyle name="SAPBEXaggDataEmph 3 3 12" xfId="5616" xr:uid="{A00F7ACF-3BB8-401A-BCE0-86944351E99C}"/>
    <cellStyle name="SAPBEXaggDataEmph 3 3 12 2" xfId="5617" xr:uid="{CBA01CA8-646A-44C1-939F-88EC6ACEC8A4}"/>
    <cellStyle name="SAPBEXaggDataEmph 3 3 13" xfId="5618" xr:uid="{8D0F2598-8E59-4536-A165-EB40A73B93E9}"/>
    <cellStyle name="SAPBEXaggDataEmph 3 3 13 2" xfId="5619" xr:uid="{C97CD11C-7733-418D-A5E5-21C5616C21C3}"/>
    <cellStyle name="SAPBEXaggDataEmph 3 3 14" xfId="5620" xr:uid="{13CF9B8C-46C2-4F58-82C5-C3CC6E028C41}"/>
    <cellStyle name="SAPBEXaggDataEmph 3 3 14 2" xfId="5621" xr:uid="{FF12C653-D20F-4F93-AB97-21FCADD62409}"/>
    <cellStyle name="SAPBEXaggDataEmph 3 3 15" xfId="5622" xr:uid="{B67074A2-8B1A-418C-80E4-40C8A14C06F3}"/>
    <cellStyle name="SAPBEXaggDataEmph 3 3 15 2" xfId="5623" xr:uid="{5B44D1F8-3A38-4E52-B1E6-FFD9FB766DF1}"/>
    <cellStyle name="SAPBEXaggDataEmph 3 3 16" xfId="5624" xr:uid="{B23A4BFE-D7D7-4F4C-BCFD-DD71EF6F84BA}"/>
    <cellStyle name="SAPBEXaggDataEmph 3 3 2" xfId="5625" xr:uid="{50D72B15-10AA-441B-A47F-A1E03F01F53C}"/>
    <cellStyle name="SAPBEXaggDataEmph 3 3 2 2" xfId="5626" xr:uid="{1438D42F-7DBC-44BD-B6F2-575694BCEE1B}"/>
    <cellStyle name="SAPBEXaggDataEmph 3 3 3" xfId="5627" xr:uid="{B20965ED-CE51-41B5-8BCB-CEF51E70A4B5}"/>
    <cellStyle name="SAPBEXaggDataEmph 3 3 3 2" xfId="5628" xr:uid="{AD79E8B6-BB6B-4365-B3C1-9D05EE4BF7F7}"/>
    <cellStyle name="SAPBEXaggDataEmph 3 3 4" xfId="5629" xr:uid="{9F77FB8D-DA00-409B-B740-32957E1AEA39}"/>
    <cellStyle name="SAPBEXaggDataEmph 3 3 4 2" xfId="5630" xr:uid="{5223AA14-3347-4067-B69F-3AF745AA6394}"/>
    <cellStyle name="SAPBEXaggDataEmph 3 3 5" xfId="5631" xr:uid="{D458ACEB-0609-44F7-8924-4ED1AD0534B6}"/>
    <cellStyle name="SAPBEXaggDataEmph 3 3 5 2" xfId="5632" xr:uid="{6D126ED4-4158-4E46-BF7B-C6D2A5FEB736}"/>
    <cellStyle name="SAPBEXaggDataEmph 3 3 6" xfId="5633" xr:uid="{CE3B4E0B-A614-4459-BD96-9B67A407CB7C}"/>
    <cellStyle name="SAPBEXaggDataEmph 3 3 6 2" xfId="5634" xr:uid="{DA030324-4374-45FD-B8D1-147B1720816D}"/>
    <cellStyle name="SAPBEXaggDataEmph 3 3 7" xfId="5635" xr:uid="{A276050C-C688-4B14-ADAC-84BB21EE39DB}"/>
    <cellStyle name="SAPBEXaggDataEmph 3 3 7 2" xfId="5636" xr:uid="{C18842F2-C473-4CDC-8AAA-15E490D58F11}"/>
    <cellStyle name="SAPBEXaggDataEmph 3 3 8" xfId="5637" xr:uid="{792DA01B-E2DC-436A-B384-D81F856C8C67}"/>
    <cellStyle name="SAPBEXaggDataEmph 3 3 8 2" xfId="5638" xr:uid="{49E171B3-6635-4835-8826-1467190DF791}"/>
    <cellStyle name="SAPBEXaggDataEmph 3 3 9" xfId="5639" xr:uid="{520BC72D-D15A-45B8-9BE5-53413A1EBA62}"/>
    <cellStyle name="SAPBEXaggDataEmph 3 3 9 2" xfId="5640" xr:uid="{85AEEFBD-6B26-49FB-BC5F-EA394E6777AF}"/>
    <cellStyle name="SAPBEXaggDataEmph 3 4" xfId="5641" xr:uid="{D7D2BB2F-7A4B-4F01-8153-C77B5C68D92C}"/>
    <cellStyle name="SAPBEXaggDataEmph 3 4 2" xfId="5642" xr:uid="{9EA6288C-9312-496B-909B-5D53341C2EB1}"/>
    <cellStyle name="SAPBEXaggDataEmph 3 5" xfId="5643" xr:uid="{14BAAD6B-E436-4410-A301-95621673AE64}"/>
    <cellStyle name="SAPBEXaggDataEmph 3 5 2" xfId="5644" xr:uid="{1CE4DA3E-DFE0-4CF3-AC6E-A15F597BA4A7}"/>
    <cellStyle name="SAPBEXaggDataEmph 3 6" xfId="5645" xr:uid="{1C7CD73D-25D0-4D95-A2FF-FE9C414B4C72}"/>
    <cellStyle name="SAPBEXaggDataEmph 3 6 2" xfId="5646" xr:uid="{5309C969-4692-4DA0-8F65-CE0643CADEF9}"/>
    <cellStyle name="SAPBEXaggDataEmph 3 7" xfId="5647" xr:uid="{BC6357BC-0497-43EA-8A94-FA6E5D6DEAFA}"/>
    <cellStyle name="SAPBEXaggDataEmph 3 7 2" xfId="5648" xr:uid="{01B903CC-2C88-4963-AF3B-82726F2E8208}"/>
    <cellStyle name="SAPBEXaggDataEmph 3 8" xfId="5649" xr:uid="{FE31C10B-5DA7-4DC5-B941-B87AD858921D}"/>
    <cellStyle name="SAPBEXaggDataEmph 3 8 2" xfId="5650" xr:uid="{D558E9D7-DD71-44D2-B81D-58B2A1883322}"/>
    <cellStyle name="SAPBEXaggDataEmph 3 9" xfId="5651" xr:uid="{18B54FD5-B416-4ACD-AAC3-55335C911014}"/>
    <cellStyle name="SAPBEXaggDataEmph 3 9 2" xfId="5652" xr:uid="{731E0862-846D-47CE-88ED-DFEE6FC5F556}"/>
    <cellStyle name="SAPBEXaggDataEmph 3_T1 ANSP" xfId="5563" xr:uid="{88C632A8-1687-4236-BE95-953CD5FB30FC}"/>
    <cellStyle name="SAPBEXaggDataEmph 4" xfId="5653" xr:uid="{77210156-A6C8-48F3-BCCE-D45B5AB5D9BA}"/>
    <cellStyle name="SAPBEXaggDataEmph 4 10" xfId="5654" xr:uid="{3BB40FC0-65FB-4624-B9A5-D3579B759F4C}"/>
    <cellStyle name="SAPBEXaggDataEmph 4 10 2" xfId="5655" xr:uid="{FF5944EA-8777-4A77-9C51-24697E19554C}"/>
    <cellStyle name="SAPBEXaggDataEmph 4 11" xfId="5656" xr:uid="{5A5A8168-48A8-4CA6-89FB-3520B3CA20B1}"/>
    <cellStyle name="SAPBEXaggDataEmph 4 11 2" xfId="5657" xr:uid="{B05658CE-2325-4ACF-AB29-B8E51048E1EA}"/>
    <cellStyle name="SAPBEXaggDataEmph 4 12" xfId="5658" xr:uid="{E2A9BAD0-947D-4D48-B779-972CDA0B0BA2}"/>
    <cellStyle name="SAPBEXaggDataEmph 4 12 2" xfId="5659" xr:uid="{8B0A5AF2-DDB1-46DC-A075-B1EE1D1AD2EA}"/>
    <cellStyle name="SAPBEXaggDataEmph 4 13" xfId="5660" xr:uid="{B68BCD6E-9F87-4C9E-A520-2B597E6C73D9}"/>
    <cellStyle name="SAPBEXaggDataEmph 4 13 2" xfId="5661" xr:uid="{FAEBA73F-5C09-4B3C-9235-DD696C5B15C9}"/>
    <cellStyle name="SAPBEXaggDataEmph 4 14" xfId="5662" xr:uid="{F996BAFB-C7CC-4DE0-882B-FFE20754734D}"/>
    <cellStyle name="SAPBEXaggDataEmph 4 14 2" xfId="5663" xr:uid="{D0C4EA9A-8169-47B5-B0C1-DA0C756EA56F}"/>
    <cellStyle name="SAPBEXaggDataEmph 4 15" xfId="5664" xr:uid="{5BB64454-A40C-40D3-8C67-953F257F3A29}"/>
    <cellStyle name="SAPBEXaggDataEmph 4 15 2" xfId="5665" xr:uid="{29CFE342-5C38-4B06-9A76-E91050AED28F}"/>
    <cellStyle name="SAPBEXaggDataEmph 4 16" xfId="5666" xr:uid="{2D362CFF-0475-4848-AED1-1030301864D1}"/>
    <cellStyle name="SAPBEXaggDataEmph 4 16 2" xfId="5667" xr:uid="{FE084FF8-9E73-4A26-8764-6F621E210CFC}"/>
    <cellStyle name="SAPBEXaggDataEmph 4 17" xfId="5668" xr:uid="{F8C217D1-E8D6-44D1-85A7-E673D206E9E5}"/>
    <cellStyle name="SAPBEXaggDataEmph 4 17 2" xfId="5669" xr:uid="{904614C4-C34F-4E0A-BE96-3B3FFFC48205}"/>
    <cellStyle name="SAPBEXaggDataEmph 4 18" xfId="5670" xr:uid="{5E5A9E69-40D0-49D9-8FAF-70EC384EAC8C}"/>
    <cellStyle name="SAPBEXaggDataEmph 4 2" xfId="5671" xr:uid="{30305DE2-0AAE-488E-B1DC-118D2103C025}"/>
    <cellStyle name="SAPBEXaggDataEmph 4 2 10" xfId="5672" xr:uid="{F374F25D-3F20-4D95-95EF-007409CF6717}"/>
    <cellStyle name="SAPBEXaggDataEmph 4 2 10 2" xfId="5673" xr:uid="{1762DE29-2487-4B4C-B9C7-3825D9F1A0F9}"/>
    <cellStyle name="SAPBEXaggDataEmph 4 2 11" xfId="5674" xr:uid="{27855860-648B-4D3A-BAD7-5A09CADE136E}"/>
    <cellStyle name="SAPBEXaggDataEmph 4 2 11 2" xfId="5675" xr:uid="{14FC1AB5-863D-41CD-8044-0D5953289CEC}"/>
    <cellStyle name="SAPBEXaggDataEmph 4 2 12" xfId="5676" xr:uid="{BEEE2A9D-1DB0-4BCE-8E2D-62525EF071DD}"/>
    <cellStyle name="SAPBEXaggDataEmph 4 2 12 2" xfId="5677" xr:uid="{D3C73022-DB4F-4336-9F39-9677B7E56C5F}"/>
    <cellStyle name="SAPBEXaggDataEmph 4 2 13" xfId="5678" xr:uid="{B5538795-C6AC-4558-8C8B-00F76E34D6BF}"/>
    <cellStyle name="SAPBEXaggDataEmph 4 2 13 2" xfId="5679" xr:uid="{E49B380D-CEC2-4139-BA3A-9764804511A3}"/>
    <cellStyle name="SAPBEXaggDataEmph 4 2 14" xfId="5680" xr:uid="{EB223316-2C14-41D0-9EFC-1F34C2B7FA1A}"/>
    <cellStyle name="SAPBEXaggDataEmph 4 2 14 2" xfId="5681" xr:uid="{0EB9809D-C3A6-4A5D-8EC4-86EA15B5AD25}"/>
    <cellStyle name="SAPBEXaggDataEmph 4 2 15" xfId="5682" xr:uid="{96A5448B-7082-4387-B897-57F796BA7785}"/>
    <cellStyle name="SAPBEXaggDataEmph 4 2 15 2" xfId="5683" xr:uid="{6DFF3DFE-46B9-4A16-9800-BD057CD3B53A}"/>
    <cellStyle name="SAPBEXaggDataEmph 4 2 16" xfId="5684" xr:uid="{2F3848C5-6C13-4AEC-B6CF-D6DEB798BA4D}"/>
    <cellStyle name="SAPBEXaggDataEmph 4 2 2" xfId="5685" xr:uid="{0E2E6AD9-3BEA-455A-B0A5-66EB1C985C7F}"/>
    <cellStyle name="SAPBEXaggDataEmph 4 2 2 2" xfId="5686" xr:uid="{CD32CFA9-7CEA-432D-BAE4-ECA360C7A75B}"/>
    <cellStyle name="SAPBEXaggDataEmph 4 2 3" xfId="5687" xr:uid="{80523B10-E6CE-4BEE-9093-EA87BB771543}"/>
    <cellStyle name="SAPBEXaggDataEmph 4 2 3 2" xfId="5688" xr:uid="{7AE9CAF4-FBA1-4AE1-8A8F-902BA0172941}"/>
    <cellStyle name="SAPBEXaggDataEmph 4 2 4" xfId="5689" xr:uid="{1AFE5694-C9BA-4C72-B04B-159BB9717B1C}"/>
    <cellStyle name="SAPBEXaggDataEmph 4 2 4 2" xfId="5690" xr:uid="{1D989213-4362-4586-8782-C58ACA0F88D6}"/>
    <cellStyle name="SAPBEXaggDataEmph 4 2 5" xfId="5691" xr:uid="{D0103FCA-3237-4A59-B8F6-BC83D367B9C8}"/>
    <cellStyle name="SAPBEXaggDataEmph 4 2 5 2" xfId="5692" xr:uid="{7D9F201E-B879-41F1-97A4-405495E75FBE}"/>
    <cellStyle name="SAPBEXaggDataEmph 4 2 6" xfId="5693" xr:uid="{4C0CBE38-DC8D-4D8C-9C43-623B08FB1355}"/>
    <cellStyle name="SAPBEXaggDataEmph 4 2 6 2" xfId="5694" xr:uid="{05210F6A-739A-492A-832F-10CAE2F534B4}"/>
    <cellStyle name="SAPBEXaggDataEmph 4 2 7" xfId="5695" xr:uid="{27160F85-CD17-4C61-BE02-B4B9E54A3AD9}"/>
    <cellStyle name="SAPBEXaggDataEmph 4 2 7 2" xfId="5696" xr:uid="{1FFD0DC3-87C4-435B-AC88-E0A8C810F504}"/>
    <cellStyle name="SAPBEXaggDataEmph 4 2 8" xfId="5697" xr:uid="{78A2FD48-9541-4C83-8ACA-0F18CD7AB91C}"/>
    <cellStyle name="SAPBEXaggDataEmph 4 2 8 2" xfId="5698" xr:uid="{6263A04E-7C4D-41E5-97DA-981AF6C2623E}"/>
    <cellStyle name="SAPBEXaggDataEmph 4 2 9" xfId="5699" xr:uid="{322D260B-BA40-4FC2-BB3C-D1782FAC9D18}"/>
    <cellStyle name="SAPBEXaggDataEmph 4 2 9 2" xfId="5700" xr:uid="{A02F8DB8-3763-4970-A164-BB7C67F673F7}"/>
    <cellStyle name="SAPBEXaggDataEmph 4 3" xfId="5701" xr:uid="{3050938E-6AD2-4ED0-A1F7-09EC58FCFB01}"/>
    <cellStyle name="SAPBEXaggDataEmph 4 3 10" xfId="5702" xr:uid="{6870438D-F9CD-4ACF-9C08-5B5B73888BC6}"/>
    <cellStyle name="SAPBEXaggDataEmph 4 3 10 2" xfId="5703" xr:uid="{12D7F995-C29E-48D7-97A3-EEC0196CEA37}"/>
    <cellStyle name="SAPBEXaggDataEmph 4 3 11" xfId="5704" xr:uid="{6AB3B5BA-3D2E-48E6-A28B-2A1DFCC4C268}"/>
    <cellStyle name="SAPBEXaggDataEmph 4 3 11 2" xfId="5705" xr:uid="{F04E5132-015E-483E-AB1B-11E1D6FBBCAA}"/>
    <cellStyle name="SAPBEXaggDataEmph 4 3 12" xfId="5706" xr:uid="{5C00C460-A226-4FE0-B5B2-5C0E13E29185}"/>
    <cellStyle name="SAPBEXaggDataEmph 4 3 12 2" xfId="5707" xr:uid="{C06EB259-62A0-401D-8E09-C442319727AC}"/>
    <cellStyle name="SAPBEXaggDataEmph 4 3 13" xfId="5708" xr:uid="{1639BB8F-CBC2-45B6-A1CE-5414BB4E4E1C}"/>
    <cellStyle name="SAPBEXaggDataEmph 4 3 13 2" xfId="5709" xr:uid="{367148A7-8680-4945-A9AD-46AB3BDEC842}"/>
    <cellStyle name="SAPBEXaggDataEmph 4 3 14" xfId="5710" xr:uid="{4DA43943-B0F0-4BCF-800A-7AFB03D94450}"/>
    <cellStyle name="SAPBEXaggDataEmph 4 3 14 2" xfId="5711" xr:uid="{8EC1DED4-55C9-402D-B169-B96A34DCA1E1}"/>
    <cellStyle name="SAPBEXaggDataEmph 4 3 15" xfId="5712" xr:uid="{A2449B98-64BC-4F88-9938-57749C07DBAD}"/>
    <cellStyle name="SAPBEXaggDataEmph 4 3 15 2" xfId="5713" xr:uid="{58B9497F-5FD6-4478-850D-72A22BEC6081}"/>
    <cellStyle name="SAPBEXaggDataEmph 4 3 16" xfId="5714" xr:uid="{7190418D-4AB1-426E-B31F-632C699472BD}"/>
    <cellStyle name="SAPBEXaggDataEmph 4 3 2" xfId="5715" xr:uid="{1A18A2CD-FA37-4D8F-A7A8-3AEC0C548EA1}"/>
    <cellStyle name="SAPBEXaggDataEmph 4 3 2 2" xfId="5716" xr:uid="{FFC97792-8718-420D-A92F-F379E8CE65F1}"/>
    <cellStyle name="SAPBEXaggDataEmph 4 3 3" xfId="5717" xr:uid="{6BA21EFD-EB51-49AF-9772-5D77ED0BB298}"/>
    <cellStyle name="SAPBEXaggDataEmph 4 3 3 2" xfId="5718" xr:uid="{BDF255F3-5694-4811-83D6-D8C85F951BAE}"/>
    <cellStyle name="SAPBEXaggDataEmph 4 3 4" xfId="5719" xr:uid="{12DC1294-E94F-4DF5-9D90-BD00283ABBE5}"/>
    <cellStyle name="SAPBEXaggDataEmph 4 3 4 2" xfId="5720" xr:uid="{1A2354BA-7D2F-4335-BEC9-50933944F0DC}"/>
    <cellStyle name="SAPBEXaggDataEmph 4 3 5" xfId="5721" xr:uid="{E569E03B-C0A3-4953-978F-9793D5F43E82}"/>
    <cellStyle name="SAPBEXaggDataEmph 4 3 5 2" xfId="5722" xr:uid="{802D3831-A696-4F3C-9366-9437A6A6EE71}"/>
    <cellStyle name="SAPBEXaggDataEmph 4 3 6" xfId="5723" xr:uid="{CCD7264E-6778-4C05-9F15-352B0FF24CCD}"/>
    <cellStyle name="SAPBEXaggDataEmph 4 3 6 2" xfId="5724" xr:uid="{E1B3AE92-E045-4E31-BBE0-6D775DF4B504}"/>
    <cellStyle name="SAPBEXaggDataEmph 4 3 7" xfId="5725" xr:uid="{02F1CDEE-07E6-4FE8-99FF-50FB9BCAD9F9}"/>
    <cellStyle name="SAPBEXaggDataEmph 4 3 7 2" xfId="5726" xr:uid="{43BCEC78-C761-4530-9087-F61BE762A1A2}"/>
    <cellStyle name="SAPBEXaggDataEmph 4 3 8" xfId="5727" xr:uid="{28B325B6-34D0-4DE0-A84A-54054FF95E90}"/>
    <cellStyle name="SAPBEXaggDataEmph 4 3 8 2" xfId="5728" xr:uid="{A149875A-373E-4D2E-B979-A518E65E0876}"/>
    <cellStyle name="SAPBEXaggDataEmph 4 3 9" xfId="5729" xr:uid="{6BE6E6F8-03AC-4EC6-8EB7-68DCFEB56548}"/>
    <cellStyle name="SAPBEXaggDataEmph 4 3 9 2" xfId="5730" xr:uid="{92C32CCA-E0D9-4726-8467-81039254737B}"/>
    <cellStyle name="SAPBEXaggDataEmph 4 4" xfId="5731" xr:uid="{AEA50A3D-B59B-4444-B2BD-A4D7EDF5D1AD}"/>
    <cellStyle name="SAPBEXaggDataEmph 4 4 2" xfId="5732" xr:uid="{A4065466-B1F8-45AA-9358-86219A875A34}"/>
    <cellStyle name="SAPBEXaggDataEmph 4 5" xfId="5733" xr:uid="{489924CF-6667-4406-B160-2E2DD3613A5B}"/>
    <cellStyle name="SAPBEXaggDataEmph 4 5 2" xfId="5734" xr:uid="{B157029E-FCFB-4ADE-8727-F6E8BB787175}"/>
    <cellStyle name="SAPBEXaggDataEmph 4 6" xfId="5735" xr:uid="{46421CAF-A639-4C87-B8E3-62329C5DF1C6}"/>
    <cellStyle name="SAPBEXaggDataEmph 4 6 2" xfId="5736" xr:uid="{64F1E68D-B2D3-44B6-AB82-59ED55E7C7F7}"/>
    <cellStyle name="SAPBEXaggDataEmph 4 7" xfId="5737" xr:uid="{55EC1BB8-4BDA-4880-9B98-9EF0C2CAF518}"/>
    <cellStyle name="SAPBEXaggDataEmph 4 7 2" xfId="5738" xr:uid="{FF805472-2775-40B3-8659-592DF085D4DB}"/>
    <cellStyle name="SAPBEXaggDataEmph 4 8" xfId="5739" xr:uid="{55B2AC6A-12D4-429E-A1E3-8BCC32137B60}"/>
    <cellStyle name="SAPBEXaggDataEmph 4 8 2" xfId="5740" xr:uid="{8DDD0B56-9334-4196-AA4D-10DD053466AA}"/>
    <cellStyle name="SAPBEXaggDataEmph 4 9" xfId="5741" xr:uid="{9F20C80B-7C06-4C14-AEA0-F8ECC7F1BE9B}"/>
    <cellStyle name="SAPBEXaggDataEmph 4 9 2" xfId="5742" xr:uid="{1C0164D2-C105-4699-A0CF-E13BD9797DC2}"/>
    <cellStyle name="SAPBEXaggDataEmph 5" xfId="5743" xr:uid="{B3688B50-CC36-454F-8FC3-5AA3373E11FB}"/>
    <cellStyle name="SAPBEXaggDataEmph 5 10" xfId="5744" xr:uid="{18216D64-25EA-4D67-86FF-B540DA2AFFEA}"/>
    <cellStyle name="SAPBEXaggDataEmph 5 10 2" xfId="5745" xr:uid="{F8FB7907-75F3-44DF-9432-051B1ECF0911}"/>
    <cellStyle name="SAPBEXaggDataEmph 5 11" xfId="5746" xr:uid="{7DF2A047-0EEF-42A2-A2A4-2DCFE70CAB56}"/>
    <cellStyle name="SAPBEXaggDataEmph 5 11 2" xfId="5747" xr:uid="{88F107C7-100B-40BB-8337-7C7651C1F26E}"/>
    <cellStyle name="SAPBEXaggDataEmph 5 12" xfId="5748" xr:uid="{F395508A-B118-4A52-BF47-352CDCEB2DDB}"/>
    <cellStyle name="SAPBEXaggDataEmph 5 12 2" xfId="5749" xr:uid="{E98E065C-243B-406A-8C28-3CFDCA5FA19C}"/>
    <cellStyle name="SAPBEXaggDataEmph 5 13" xfId="5750" xr:uid="{1B89124B-C0EA-4D2C-82E0-9DE1EFE3C462}"/>
    <cellStyle name="SAPBEXaggDataEmph 5 13 2" xfId="5751" xr:uid="{70D694C5-3AC7-40F0-B03E-AE366FE2E812}"/>
    <cellStyle name="SAPBEXaggDataEmph 5 14" xfId="5752" xr:uid="{270C1153-84FE-4278-89D3-BAFE4F5B739D}"/>
    <cellStyle name="SAPBEXaggDataEmph 5 14 2" xfId="5753" xr:uid="{D2FD29F3-0D75-4E7A-B819-DEE22A38C4EA}"/>
    <cellStyle name="SAPBEXaggDataEmph 5 15" xfId="5754" xr:uid="{4CAAAA8D-133D-4BFA-A34F-241F26B056FC}"/>
    <cellStyle name="SAPBEXaggDataEmph 5 15 2" xfId="5755" xr:uid="{69FDBEF9-0ACA-4365-A41F-CF4D72F83A74}"/>
    <cellStyle name="SAPBEXaggDataEmph 5 16" xfId="5756" xr:uid="{3291E1F3-1CA6-4A79-935E-A5A472632A79}"/>
    <cellStyle name="SAPBEXaggDataEmph 5 2" xfId="5757" xr:uid="{73E2F1BE-995C-4CE5-B2E1-5126E2341D1A}"/>
    <cellStyle name="SAPBEXaggDataEmph 5 2 2" xfId="5758" xr:uid="{459F15DF-C9E0-4AB7-919F-8D466CA5AAF7}"/>
    <cellStyle name="SAPBEXaggDataEmph 5 3" xfId="5759" xr:uid="{E62D8CA4-A73A-4691-840A-A3A67D93256D}"/>
    <cellStyle name="SAPBEXaggDataEmph 5 3 2" xfId="5760" xr:uid="{38FD8B85-BD32-43C9-A1F1-76B5C7EEB65B}"/>
    <cellStyle name="SAPBEXaggDataEmph 5 4" xfId="5761" xr:uid="{B9A95DF8-F0F1-4F9F-99D8-5AA06E0212A8}"/>
    <cellStyle name="SAPBEXaggDataEmph 5 4 2" xfId="5762" xr:uid="{280124E5-A67F-4878-A29E-63315B0EC3C1}"/>
    <cellStyle name="SAPBEXaggDataEmph 5 5" xfId="5763" xr:uid="{E0A4A9C0-C6D6-4A4E-A22F-AF6F949BD110}"/>
    <cellStyle name="SAPBEXaggDataEmph 5 5 2" xfId="5764" xr:uid="{CC32C99F-7F4B-4281-8517-C38CFD238F3F}"/>
    <cellStyle name="SAPBEXaggDataEmph 5 6" xfId="5765" xr:uid="{D3E7CA0A-A6E0-438E-93E9-D97E8A8F8324}"/>
    <cellStyle name="SAPBEXaggDataEmph 5 6 2" xfId="5766" xr:uid="{295152FD-7EC6-400A-A7C0-2279D63FED14}"/>
    <cellStyle name="SAPBEXaggDataEmph 5 7" xfId="5767" xr:uid="{9C4052A9-2834-4769-9CA4-EE4E0D18983F}"/>
    <cellStyle name="SAPBEXaggDataEmph 5 7 2" xfId="5768" xr:uid="{F5380CB2-0792-4BC7-B2A0-2AC100996898}"/>
    <cellStyle name="SAPBEXaggDataEmph 5 8" xfId="5769" xr:uid="{C3F26586-5B4E-4D3D-94A8-BB41D9DD7E22}"/>
    <cellStyle name="SAPBEXaggDataEmph 5 8 2" xfId="5770" xr:uid="{FE51CB43-8707-432E-ADAC-1FD49A1CB4F8}"/>
    <cellStyle name="SAPBEXaggDataEmph 5 9" xfId="5771" xr:uid="{FE116126-CF60-4C38-8422-3F09BD97D3D9}"/>
    <cellStyle name="SAPBEXaggDataEmph 5 9 2" xfId="5772" xr:uid="{40215B1F-5001-4B6A-8F6C-92C02A434002}"/>
    <cellStyle name="SAPBEXaggDataEmph 6" xfId="5773" xr:uid="{55F7692E-F080-45E2-875E-202EA48D6704}"/>
    <cellStyle name="SAPBEXaggDataEmph 6 2" xfId="5774" xr:uid="{BFF7A88C-87E9-4A5A-B313-EB7D05E1B5C9}"/>
    <cellStyle name="SAPBEXaggDataEmph 7" xfId="5775" xr:uid="{D4CB041F-2FEA-41AF-B74E-0582EF607B3B}"/>
    <cellStyle name="SAPBEXaggDataEmph 7 2" xfId="5776" xr:uid="{1C0407B8-380B-4E1E-9CC0-F3D0853F0CE9}"/>
    <cellStyle name="SAPBEXaggDataEmph 8" xfId="5777" xr:uid="{77B9C993-CDFB-4808-8D93-B541200932BE}"/>
    <cellStyle name="SAPBEXaggDataEmph 8 2" xfId="5778" xr:uid="{089BDDBA-DB7F-4C8B-A131-C61077090C70}"/>
    <cellStyle name="SAPBEXaggDataEmph 9" xfId="5779" xr:uid="{44F54CD6-9C08-48F3-91F8-5204C12BDC10}"/>
    <cellStyle name="SAPBEXaggDataEmph 9 2" xfId="5780" xr:uid="{36D2F721-AA27-4BAE-AE51-0AC5F652C7A9}"/>
    <cellStyle name="SAPBEXaggDataEmph_T1 ANSP" xfId="5251" xr:uid="{B1CD53B6-845B-445A-9D9D-950B61526572}"/>
    <cellStyle name="SAPBEXaggItem" xfId="728" xr:uid="{00000000-0005-0000-0000-000057050000}"/>
    <cellStyle name="SAPBEXaggItem 10" xfId="5782" xr:uid="{AEE5AB0B-9D6E-41A7-9A46-E03AA3E05A5C}"/>
    <cellStyle name="SAPBEXaggItem 10 2" xfId="5783" xr:uid="{ED9AC154-3E92-4CA4-92F4-80E449B61AEE}"/>
    <cellStyle name="SAPBEXaggItem 11" xfId="5784" xr:uid="{84C11C24-26CE-4993-94C3-07104C870A18}"/>
    <cellStyle name="SAPBEXaggItem 11 2" xfId="5785" xr:uid="{483D3D5B-7E21-4F5E-8159-B721E5C0745D}"/>
    <cellStyle name="SAPBEXaggItem 12" xfId="5786" xr:uid="{789D84E9-4CF6-4166-8BB7-12FC5663853E}"/>
    <cellStyle name="SAPBEXaggItem 12 2" xfId="5787" xr:uid="{9EB6062B-4273-422C-8887-FAE3BA8DD8F2}"/>
    <cellStyle name="SAPBEXaggItem 13" xfId="5788" xr:uid="{1ACD026D-84E6-4DDA-85F8-0BD7080BB8C6}"/>
    <cellStyle name="SAPBEXaggItem 13 2" xfId="5789" xr:uid="{467A6531-4DD1-4223-9970-96ED6FE7CF8D}"/>
    <cellStyle name="SAPBEXaggItem 14" xfId="5790" xr:uid="{070B006C-E107-4026-A9CB-950F6A7556B0}"/>
    <cellStyle name="SAPBEXaggItem 14 2" xfId="5791" xr:uid="{85061046-4AC2-496E-A782-D8E22C80A843}"/>
    <cellStyle name="SAPBEXaggItem 15" xfId="5792" xr:uid="{83BB57A8-5387-461B-9E3A-FCCEEB498D32}"/>
    <cellStyle name="SAPBEXaggItem 15 2" xfId="5793" xr:uid="{B8C318F2-B1EC-413B-929D-8C9631973B0B}"/>
    <cellStyle name="SAPBEXaggItem 16" xfId="5794" xr:uid="{85C7D50D-5847-48CB-B0A8-5FFC14569FAA}"/>
    <cellStyle name="SAPBEXaggItem 16 2" xfId="5795" xr:uid="{1EB6B11B-05E4-45B6-A44A-04AE91710ED2}"/>
    <cellStyle name="SAPBEXaggItem 17" xfId="5796" xr:uid="{8EDD63BE-98EC-4A5A-891C-285392334CC2}"/>
    <cellStyle name="SAPBEXaggItem 17 2" xfId="5797" xr:uid="{75FE0CE0-B123-4330-8EA9-46DBA5686722}"/>
    <cellStyle name="SAPBEXaggItem 18" xfId="5798" xr:uid="{1313F4C0-5575-478E-8AAD-2914E68ACA7A}"/>
    <cellStyle name="SAPBEXaggItem 18 2" xfId="5799" xr:uid="{947AD6DC-30FB-4061-8D12-18CB3EE8F26B}"/>
    <cellStyle name="SAPBEXaggItem 19" xfId="5800" xr:uid="{CC28B123-A121-484A-967A-DE414E66AE31}"/>
    <cellStyle name="SAPBEXaggItem 19 2" xfId="5801" xr:uid="{D335BEED-1C9F-4B12-889E-4B355CE49DE5}"/>
    <cellStyle name="SAPBEXaggItem 2" xfId="1543" xr:uid="{00000000-0005-0000-0000-000058050000}"/>
    <cellStyle name="SAPBEXaggItem 2 10" xfId="5803" xr:uid="{619B4439-1654-494B-B2F0-FE264106418E}"/>
    <cellStyle name="SAPBEXaggItem 2 10 2" xfId="5804" xr:uid="{1AE9890F-3BD8-42F7-BAC7-47E9AFD12756}"/>
    <cellStyle name="SAPBEXaggItem 2 11" xfId="5805" xr:uid="{70FF3AF9-4283-48ED-8B8A-B03BBDED4446}"/>
    <cellStyle name="SAPBEXaggItem 2 11 2" xfId="5806" xr:uid="{E6CF0407-B760-4748-95D8-62FD9D949A9C}"/>
    <cellStyle name="SAPBEXaggItem 2 12" xfId="5807" xr:uid="{1E253B89-3272-4296-9EFC-341B428B61D5}"/>
    <cellStyle name="SAPBEXaggItem 2 12 2" xfId="5808" xr:uid="{27F95170-9723-4535-A7B6-C24BB2117855}"/>
    <cellStyle name="SAPBEXaggItem 2 13" xfId="5809" xr:uid="{02FF8F2C-7382-4564-A8BD-1947C1CDB790}"/>
    <cellStyle name="SAPBEXaggItem 2 13 2" xfId="5810" xr:uid="{9F68A601-3B7C-44DB-922C-E012F89D4556}"/>
    <cellStyle name="SAPBEXaggItem 2 14" xfId="5811" xr:uid="{7E490AE0-E113-406B-9431-C9A4ABF5D42A}"/>
    <cellStyle name="SAPBEXaggItem 2 14 2" xfId="5812" xr:uid="{45E35150-BE18-47AD-A471-B98D7C61CD75}"/>
    <cellStyle name="SAPBEXaggItem 2 15" xfId="5813" xr:uid="{CDC39361-6A82-4ABB-B7E7-BD6291EFB57F}"/>
    <cellStyle name="SAPBEXaggItem 2 15 2" xfId="5814" xr:uid="{371F72FF-D429-425D-86E2-9969EAED1043}"/>
    <cellStyle name="SAPBEXaggItem 2 16" xfId="5815" xr:uid="{A58BAADC-0CAE-4B79-9265-9810F8FD449B}"/>
    <cellStyle name="SAPBEXaggItem 2 16 2" xfId="5816" xr:uid="{8816A12C-6C3B-4B0B-A8A3-8A846786FCE9}"/>
    <cellStyle name="SAPBEXaggItem 2 17" xfId="5817" xr:uid="{DABB3DA9-3574-4C10-8431-33411104CF86}"/>
    <cellStyle name="SAPBEXaggItem 2 17 2" xfId="5818" xr:uid="{BAB7BE87-B96C-4900-8A2C-44F1D0E1438B}"/>
    <cellStyle name="SAPBEXaggItem 2 18" xfId="5819" xr:uid="{55C04466-14F5-4CB4-BB89-DFC5AC1F533B}"/>
    <cellStyle name="SAPBEXaggItem 2 18 2" xfId="5820" xr:uid="{AF7A38B5-E551-44F7-82A6-FA6D80D9AC4F}"/>
    <cellStyle name="SAPBEXaggItem 2 2" xfId="5821" xr:uid="{A27FEC12-C66A-4717-9E9F-3F829D0DA2BF}"/>
    <cellStyle name="SAPBEXaggItem 2 2 10" xfId="5822" xr:uid="{66EA14E0-D9A2-4098-92FE-04C95BD020F0}"/>
    <cellStyle name="SAPBEXaggItem 2 2 10 2" xfId="5823" xr:uid="{14517475-4A41-41DF-9AFF-131BC83E7B83}"/>
    <cellStyle name="SAPBEXaggItem 2 2 11" xfId="5824" xr:uid="{44AD234A-FAE0-474F-8D9B-288167F54C46}"/>
    <cellStyle name="SAPBEXaggItem 2 2 11 2" xfId="5825" xr:uid="{A886BF85-93E3-485C-900B-A73F416D321E}"/>
    <cellStyle name="SAPBEXaggItem 2 2 12" xfId="5826" xr:uid="{A61F11C0-CAD9-455F-AB15-E4F1EA23C22C}"/>
    <cellStyle name="SAPBEXaggItem 2 2 12 2" xfId="5827" xr:uid="{31259CC4-E34A-4033-8BB7-A391530FED97}"/>
    <cellStyle name="SAPBEXaggItem 2 2 13" xfId="5828" xr:uid="{E446F971-01CF-4C25-88D8-79B7E4B0D141}"/>
    <cellStyle name="SAPBEXaggItem 2 2 13 2" xfId="5829" xr:uid="{890FA48D-EC54-4B26-9E95-A39DD576569A}"/>
    <cellStyle name="SAPBEXaggItem 2 2 14" xfId="5830" xr:uid="{C780E709-DBAA-4D1A-B481-BE9F7B20BBAA}"/>
    <cellStyle name="SAPBEXaggItem 2 2 14 2" xfId="5831" xr:uid="{7C68702D-B1C7-44DC-B3A5-917469EA77D4}"/>
    <cellStyle name="SAPBEXaggItem 2 2 15" xfId="5832" xr:uid="{70FA0D77-73BC-4FD0-A043-D99884B5DAFB}"/>
    <cellStyle name="SAPBEXaggItem 2 2 15 2" xfId="5833" xr:uid="{4F7E8363-57BA-457A-843A-741460263307}"/>
    <cellStyle name="SAPBEXaggItem 2 2 16" xfId="5834" xr:uid="{AE8C4E3A-E00B-47E5-A400-F9A5B371ED33}"/>
    <cellStyle name="SAPBEXaggItem 2 2 16 2" xfId="5835" xr:uid="{004B2F9E-32ED-4CF3-9150-9E709DCF7054}"/>
    <cellStyle name="SAPBEXaggItem 2 2 17" xfId="5836" xr:uid="{1938963C-6E5B-4731-8143-7CBDB2C654AE}"/>
    <cellStyle name="SAPBEXaggItem 2 2 17 2" xfId="5837" xr:uid="{4F4B090F-BA27-47D2-9F8F-9CDAB6A63760}"/>
    <cellStyle name="SAPBEXaggItem 2 2 2" xfId="5838" xr:uid="{EC3D8E7D-3F41-4586-8E7A-A00FA9FC1173}"/>
    <cellStyle name="SAPBEXaggItem 2 2 2 10" xfId="5839" xr:uid="{56E1DFD3-3993-4122-9424-EE7E9B1C4D18}"/>
    <cellStyle name="SAPBEXaggItem 2 2 2 10 2" xfId="5840" xr:uid="{312599CF-501B-4C70-8D15-4CA03887BEF4}"/>
    <cellStyle name="SAPBEXaggItem 2 2 2 11" xfId="5841" xr:uid="{4073FDDA-B912-4C68-9CB5-A08D0D0FEADF}"/>
    <cellStyle name="SAPBEXaggItem 2 2 2 11 2" xfId="5842" xr:uid="{A91F670D-0EB3-49C6-A074-5BAABEDA3C66}"/>
    <cellStyle name="SAPBEXaggItem 2 2 2 12" xfId="5843" xr:uid="{71DFAB44-53D2-4C0A-B946-C94A9B453A41}"/>
    <cellStyle name="SAPBEXaggItem 2 2 2 12 2" xfId="5844" xr:uid="{703DA13F-751F-4DE1-B958-D98B31533D60}"/>
    <cellStyle name="SAPBEXaggItem 2 2 2 13" xfId="5845" xr:uid="{BBCF0BF0-7769-48DD-A879-D17803735AFA}"/>
    <cellStyle name="SAPBEXaggItem 2 2 2 13 2" xfId="5846" xr:uid="{6DBAEFCD-2FBA-42CB-9AD7-012D0A2D88E5}"/>
    <cellStyle name="SAPBEXaggItem 2 2 2 14" xfId="5847" xr:uid="{B24A6EEF-D974-4E91-BFB7-30D29D1D7F97}"/>
    <cellStyle name="SAPBEXaggItem 2 2 2 14 2" xfId="5848" xr:uid="{AD7B7A13-15DE-4973-9FD5-399567AA9AF4}"/>
    <cellStyle name="SAPBEXaggItem 2 2 2 15" xfId="5849" xr:uid="{F7A2DD0D-7255-499E-8268-70CD447D3041}"/>
    <cellStyle name="SAPBEXaggItem 2 2 2 15 2" xfId="5850" xr:uid="{73AB6D93-3E00-488B-8533-0933C6C0057F}"/>
    <cellStyle name="SAPBEXaggItem 2 2 2 2" xfId="5851" xr:uid="{FF0C22A7-FAF6-47ED-B02F-538FB86C7160}"/>
    <cellStyle name="SAPBEXaggItem 2 2 2 2 2" xfId="5852" xr:uid="{D3E6626C-F5EF-47DD-A5F6-84AE05D50AC9}"/>
    <cellStyle name="SAPBEXaggItem 2 2 2 3" xfId="5853" xr:uid="{A9D558BB-A9C0-4C30-ADA5-0194E6488C46}"/>
    <cellStyle name="SAPBEXaggItem 2 2 2 3 2" xfId="5854" xr:uid="{3455FC69-8C7F-4217-AC03-CE1CA0639FDB}"/>
    <cellStyle name="SAPBEXaggItem 2 2 2 4" xfId="5855" xr:uid="{594B8C0E-F2F7-4B5C-AA6B-A804C51CB65C}"/>
    <cellStyle name="SAPBEXaggItem 2 2 2 4 2" xfId="5856" xr:uid="{AE4BC736-88F0-43E9-984C-AA99DC9DA135}"/>
    <cellStyle name="SAPBEXaggItem 2 2 2 5" xfId="5857" xr:uid="{E4D57A4F-F24D-4B50-8EC9-6E2A75568209}"/>
    <cellStyle name="SAPBEXaggItem 2 2 2 5 2" xfId="5858" xr:uid="{52B45E74-5D4F-48DF-963A-D285659BF9A8}"/>
    <cellStyle name="SAPBEXaggItem 2 2 2 6" xfId="5859" xr:uid="{9E229A60-A688-4CBE-AE3F-60569C8B40A0}"/>
    <cellStyle name="SAPBEXaggItem 2 2 2 6 2" xfId="5860" xr:uid="{AAF15BEB-E442-40F8-970A-43FC20268139}"/>
    <cellStyle name="SAPBEXaggItem 2 2 2 7" xfId="5861" xr:uid="{38293F37-6E95-4B7E-A629-A4842CFF999B}"/>
    <cellStyle name="SAPBEXaggItem 2 2 2 7 2" xfId="5862" xr:uid="{872A41E7-627E-40E1-A8F4-0F172EF023E1}"/>
    <cellStyle name="SAPBEXaggItem 2 2 2 8" xfId="5863" xr:uid="{0283C36D-A91A-4247-8D55-0FB2644C41DB}"/>
    <cellStyle name="SAPBEXaggItem 2 2 2 8 2" xfId="5864" xr:uid="{800486B9-6FA3-4403-B899-43A7A8C62018}"/>
    <cellStyle name="SAPBEXaggItem 2 2 2 9" xfId="5865" xr:uid="{45124697-CDDD-496F-8727-9BAC1AE1BB34}"/>
    <cellStyle name="SAPBEXaggItem 2 2 2 9 2" xfId="5866" xr:uid="{3BF121DD-8ED1-4E1A-993D-0C529F1408CD}"/>
    <cellStyle name="SAPBEXaggItem 2 2 3" xfId="5867" xr:uid="{4527159B-6BAD-435D-979A-38C2402849BE}"/>
    <cellStyle name="SAPBEXaggItem 2 2 3 10" xfId="5868" xr:uid="{AEC8168B-DE9E-4DB2-B83A-C0D47D9BCD17}"/>
    <cellStyle name="SAPBEXaggItem 2 2 3 10 2" xfId="5869" xr:uid="{67F84EA4-4BD1-4EE1-B96D-4CC2C512970B}"/>
    <cellStyle name="SAPBEXaggItem 2 2 3 11" xfId="5870" xr:uid="{6CBA4AF2-7C7F-4290-AECB-82AE07C30F9C}"/>
    <cellStyle name="SAPBEXaggItem 2 2 3 11 2" xfId="5871" xr:uid="{57965FB7-0CBC-48A0-ACBD-8E7FF2F628CD}"/>
    <cellStyle name="SAPBEXaggItem 2 2 3 12" xfId="5872" xr:uid="{F7836AAC-270E-4FFB-831F-66547D1A1A4C}"/>
    <cellStyle name="SAPBEXaggItem 2 2 3 12 2" xfId="5873" xr:uid="{6B86D528-56F8-4568-A4B4-6E5FDF8670A5}"/>
    <cellStyle name="SAPBEXaggItem 2 2 3 13" xfId="5874" xr:uid="{F56661D6-5B04-4B04-82F9-90F57E12CC88}"/>
    <cellStyle name="SAPBEXaggItem 2 2 3 13 2" xfId="5875" xr:uid="{A376C419-31B6-4D90-999C-6711EDE80803}"/>
    <cellStyle name="SAPBEXaggItem 2 2 3 14" xfId="5876" xr:uid="{8D68EC19-FF72-4FC1-A1F4-2660C5673E14}"/>
    <cellStyle name="SAPBEXaggItem 2 2 3 14 2" xfId="5877" xr:uid="{3F757698-A4B8-4DBB-9138-87225D766155}"/>
    <cellStyle name="SAPBEXaggItem 2 2 3 15" xfId="5878" xr:uid="{3DB71A89-90E3-44DE-9F47-1B353B24D6CE}"/>
    <cellStyle name="SAPBEXaggItem 2 2 3 15 2" xfId="5879" xr:uid="{1E6E0CEF-CA98-433F-AF38-76D07C62B884}"/>
    <cellStyle name="SAPBEXaggItem 2 2 3 2" xfId="5880" xr:uid="{AC2A047B-743D-4266-AE19-49A6F891A4F6}"/>
    <cellStyle name="SAPBEXaggItem 2 2 3 2 2" xfId="5881" xr:uid="{0F1E1255-B882-4CBF-995B-F0C3355F0593}"/>
    <cellStyle name="SAPBEXaggItem 2 2 3 3" xfId="5882" xr:uid="{E5322543-4486-4A72-844B-48EA69D45E3E}"/>
    <cellStyle name="SAPBEXaggItem 2 2 3 3 2" xfId="5883" xr:uid="{889E38CE-C4BE-42D5-ADFD-A7B5FD7E2BA3}"/>
    <cellStyle name="SAPBEXaggItem 2 2 3 4" xfId="5884" xr:uid="{91ADF953-8F5B-45C4-8D80-F9EAD8DB61E9}"/>
    <cellStyle name="SAPBEXaggItem 2 2 3 4 2" xfId="5885" xr:uid="{3CB7EF1E-D48F-47AB-8280-ADD658F09986}"/>
    <cellStyle name="SAPBEXaggItem 2 2 3 5" xfId="5886" xr:uid="{7E1F6C69-7A51-44C7-979D-4A23846EB10F}"/>
    <cellStyle name="SAPBEXaggItem 2 2 3 5 2" xfId="5887" xr:uid="{76E651F4-868D-4BC1-87D8-67BC0C0956E7}"/>
    <cellStyle name="SAPBEXaggItem 2 2 3 6" xfId="5888" xr:uid="{710B4C4E-71C4-4BA0-B08C-3727AED514CB}"/>
    <cellStyle name="SAPBEXaggItem 2 2 3 6 2" xfId="5889" xr:uid="{97D8C002-7B10-4FBE-A677-49653DD99DCC}"/>
    <cellStyle name="SAPBEXaggItem 2 2 3 7" xfId="5890" xr:uid="{8D8F1B52-3B11-4700-908A-E27489218E7B}"/>
    <cellStyle name="SAPBEXaggItem 2 2 3 7 2" xfId="5891" xr:uid="{1AD0A8A3-588D-430F-9AA9-9049AFA6D0A4}"/>
    <cellStyle name="SAPBEXaggItem 2 2 3 8" xfId="5892" xr:uid="{D066D8AA-7CB9-4243-A67D-FD32138046D2}"/>
    <cellStyle name="SAPBEXaggItem 2 2 3 8 2" xfId="5893" xr:uid="{17548184-B5C8-410E-B02A-57CB66A1B436}"/>
    <cellStyle name="SAPBEXaggItem 2 2 3 9" xfId="5894" xr:uid="{A99E098B-7B62-49DD-853D-9AE485281F93}"/>
    <cellStyle name="SAPBEXaggItem 2 2 3 9 2" xfId="5895" xr:uid="{D9D4C2AA-B1C6-494D-8EFD-A9BB50DA7541}"/>
    <cellStyle name="SAPBEXaggItem 2 2 4" xfId="5896" xr:uid="{FAC44218-4B82-4D20-9FC0-4DEEB20DC0A4}"/>
    <cellStyle name="SAPBEXaggItem 2 2 4 2" xfId="5897" xr:uid="{67B95872-ED27-47E2-96E8-50EF38798D7F}"/>
    <cellStyle name="SAPBEXaggItem 2 2 5" xfId="5898" xr:uid="{E7E7BE1B-2D9A-4431-A895-96C4BDDA5CEB}"/>
    <cellStyle name="SAPBEXaggItem 2 2 5 2" xfId="5899" xr:uid="{78C1B0AC-0C95-472A-AC71-B139578EF143}"/>
    <cellStyle name="SAPBEXaggItem 2 2 6" xfId="5900" xr:uid="{2A1FB135-3217-4B76-BBB1-AB44E558ED40}"/>
    <cellStyle name="SAPBEXaggItem 2 2 6 2" xfId="5901" xr:uid="{CCB64718-3554-495C-BB77-A6FDB69D7EBD}"/>
    <cellStyle name="SAPBEXaggItem 2 2 7" xfId="5902" xr:uid="{A7658C69-60CA-4778-8575-357C536BDB16}"/>
    <cellStyle name="SAPBEXaggItem 2 2 7 2" xfId="5903" xr:uid="{C4F54BEC-41B5-48C7-AB68-B06FEA5373E9}"/>
    <cellStyle name="SAPBEXaggItem 2 2 8" xfId="5904" xr:uid="{B5E7B241-3ADE-4101-B338-37F4C8175EA9}"/>
    <cellStyle name="SAPBEXaggItem 2 2 8 2" xfId="5905" xr:uid="{56FD9C55-0CA1-4F28-AA67-4954B74EB138}"/>
    <cellStyle name="SAPBEXaggItem 2 2 9" xfId="5906" xr:uid="{BFEF6B44-0421-4BFB-B374-A97CE73D05E1}"/>
    <cellStyle name="SAPBEXaggItem 2 2 9 2" xfId="5907" xr:uid="{117C5F72-BA66-4E4A-BFE7-1CF855F3F5FB}"/>
    <cellStyle name="SAPBEXaggItem 2 3" xfId="5908" xr:uid="{ED4AF656-2122-44A1-A074-A5D109A8A5D2}"/>
    <cellStyle name="SAPBEXaggItem 2 3 10" xfId="5909" xr:uid="{EB972144-3B3F-4563-9DBB-8CBB28F6E256}"/>
    <cellStyle name="SAPBEXaggItem 2 3 10 2" xfId="5910" xr:uid="{A34D29CA-6AF5-48C9-AC71-D5CE7D511BB5}"/>
    <cellStyle name="SAPBEXaggItem 2 3 11" xfId="5911" xr:uid="{F6A7E59A-85D8-425F-8EFF-475F327B6765}"/>
    <cellStyle name="SAPBEXaggItem 2 3 11 2" xfId="5912" xr:uid="{118F4F16-F49E-45D4-8DA2-149686E245AE}"/>
    <cellStyle name="SAPBEXaggItem 2 3 12" xfId="5913" xr:uid="{36CBE876-07A5-403A-8A34-C749C9CE638F}"/>
    <cellStyle name="SAPBEXaggItem 2 3 12 2" xfId="5914" xr:uid="{FDFC382C-2BF9-449B-BE87-13CA1035BEE8}"/>
    <cellStyle name="SAPBEXaggItem 2 3 13" xfId="5915" xr:uid="{F66A4D57-D857-4B22-86C2-92078D8A15DF}"/>
    <cellStyle name="SAPBEXaggItem 2 3 13 2" xfId="5916" xr:uid="{F26CF653-1761-4278-891B-38704295C8CB}"/>
    <cellStyle name="SAPBEXaggItem 2 3 14" xfId="5917" xr:uid="{34281192-10FB-4AF9-A6BB-0E8FF3EE57DE}"/>
    <cellStyle name="SAPBEXaggItem 2 3 14 2" xfId="5918" xr:uid="{898F8094-4CC8-4EEF-A410-31B012774A8E}"/>
    <cellStyle name="SAPBEXaggItem 2 3 15" xfId="5919" xr:uid="{A10DA32C-1B42-48E9-BFB0-F2B6978C3B6E}"/>
    <cellStyle name="SAPBEXaggItem 2 3 15 2" xfId="5920" xr:uid="{3E74621C-2AD6-400B-8647-4F41129CC3CF}"/>
    <cellStyle name="SAPBEXaggItem 2 3 16" xfId="5921" xr:uid="{F4C8C5EF-52AE-4EB8-8107-B31B8669510B}"/>
    <cellStyle name="SAPBEXaggItem 2 3 16 2" xfId="5922" xr:uid="{DC266D4C-61DB-41EA-A568-B6895E3163AA}"/>
    <cellStyle name="SAPBEXaggItem 2 3 17" xfId="5923" xr:uid="{031CBA75-5F75-4968-AB38-82753B26B307}"/>
    <cellStyle name="SAPBEXaggItem 2 3 17 2" xfId="5924" xr:uid="{990891B3-78D1-4B1C-B260-B42B2694407E}"/>
    <cellStyle name="SAPBEXaggItem 2 3 2" xfId="5925" xr:uid="{3E8C1170-F8DD-4F19-B59E-D0701EB426B2}"/>
    <cellStyle name="SAPBEXaggItem 2 3 2 10" xfId="5926" xr:uid="{DB8E60C8-CF0F-4CB0-A371-457674282F80}"/>
    <cellStyle name="SAPBEXaggItem 2 3 2 10 2" xfId="5927" xr:uid="{194797F6-1959-42D0-ACEA-C5F398614660}"/>
    <cellStyle name="SAPBEXaggItem 2 3 2 11" xfId="5928" xr:uid="{37F53555-A7A7-475B-BEB7-F30FDD232AA0}"/>
    <cellStyle name="SAPBEXaggItem 2 3 2 11 2" xfId="5929" xr:uid="{066394F7-4DAC-4482-8007-ED05F2BAD61E}"/>
    <cellStyle name="SAPBEXaggItem 2 3 2 12" xfId="5930" xr:uid="{83381CD4-DEC8-452B-8900-9B116770404A}"/>
    <cellStyle name="SAPBEXaggItem 2 3 2 12 2" xfId="5931" xr:uid="{56921122-D3B7-4D76-A5F5-05060E9563FD}"/>
    <cellStyle name="SAPBEXaggItem 2 3 2 13" xfId="5932" xr:uid="{AA32CDD4-727C-42CE-B71B-65790465B0FA}"/>
    <cellStyle name="SAPBEXaggItem 2 3 2 13 2" xfId="5933" xr:uid="{C08B6A09-9CA3-4D5D-B713-65E90E1BF232}"/>
    <cellStyle name="SAPBEXaggItem 2 3 2 14" xfId="5934" xr:uid="{226F4EAD-FEC3-4A82-9D79-C5129EB1F987}"/>
    <cellStyle name="SAPBEXaggItem 2 3 2 14 2" xfId="5935" xr:uid="{BCA06213-F468-4EFC-AB5B-910FFEE83C11}"/>
    <cellStyle name="SAPBEXaggItem 2 3 2 15" xfId="5936" xr:uid="{B04BDAA7-D52C-4DA6-AA8D-8BB3B9168429}"/>
    <cellStyle name="SAPBEXaggItem 2 3 2 15 2" xfId="5937" xr:uid="{5B23E012-8BA7-4D9B-AA98-0DAEC1DABD2E}"/>
    <cellStyle name="SAPBEXaggItem 2 3 2 2" xfId="5938" xr:uid="{99D017C9-38B1-424D-A641-8E3D3E4AB19C}"/>
    <cellStyle name="SAPBEXaggItem 2 3 2 2 2" xfId="5939" xr:uid="{3FD4C097-94D5-4D17-9083-01072130879F}"/>
    <cellStyle name="SAPBEXaggItem 2 3 2 3" xfId="5940" xr:uid="{C74C840B-66F8-44A7-A2AB-986D09F6BFA0}"/>
    <cellStyle name="SAPBEXaggItem 2 3 2 3 2" xfId="5941" xr:uid="{CB7689EA-5150-478B-A5D6-EAC2E0FD5E48}"/>
    <cellStyle name="SAPBEXaggItem 2 3 2 4" xfId="5942" xr:uid="{F17DC8E5-B5D9-4D1F-9B58-751061EF8814}"/>
    <cellStyle name="SAPBEXaggItem 2 3 2 4 2" xfId="5943" xr:uid="{C2F11BEE-7E3F-4ED9-9485-B753CFAD98F4}"/>
    <cellStyle name="SAPBEXaggItem 2 3 2 5" xfId="5944" xr:uid="{6FFD16FE-4327-4171-9B1F-95D6F17020E0}"/>
    <cellStyle name="SAPBEXaggItem 2 3 2 5 2" xfId="5945" xr:uid="{2866388E-14B8-4929-9919-AE2A9D4A8060}"/>
    <cellStyle name="SAPBEXaggItem 2 3 2 6" xfId="5946" xr:uid="{A76B9CC5-8946-47BB-B418-A94707AB5092}"/>
    <cellStyle name="SAPBEXaggItem 2 3 2 6 2" xfId="5947" xr:uid="{27C02439-D646-43A6-BDF2-EF952880FBC1}"/>
    <cellStyle name="SAPBEXaggItem 2 3 2 7" xfId="5948" xr:uid="{76A56F6C-515C-4900-8166-9E0CD65CE945}"/>
    <cellStyle name="SAPBEXaggItem 2 3 2 7 2" xfId="5949" xr:uid="{D0EBCF3A-7082-4CD0-8A50-37B0A2482B9F}"/>
    <cellStyle name="SAPBEXaggItem 2 3 2 8" xfId="5950" xr:uid="{FFE4CE9F-8087-4EC5-AD3D-40100E4C0C29}"/>
    <cellStyle name="SAPBEXaggItem 2 3 2 8 2" xfId="5951" xr:uid="{60DD3C22-702C-441B-9BA9-E97464EF3998}"/>
    <cellStyle name="SAPBEXaggItem 2 3 2 9" xfId="5952" xr:uid="{400292B9-347E-46E2-8036-48B503FFD42B}"/>
    <cellStyle name="SAPBEXaggItem 2 3 2 9 2" xfId="5953" xr:uid="{12425C8B-C2DC-4615-8FC0-BC9EF3313EB5}"/>
    <cellStyle name="SAPBEXaggItem 2 3 3" xfId="5954" xr:uid="{B6F7744E-7EE1-455C-B6AA-5E6167E79EF7}"/>
    <cellStyle name="SAPBEXaggItem 2 3 3 10" xfId="5955" xr:uid="{498384BA-BE98-41B7-AF05-90E2C802EDAF}"/>
    <cellStyle name="SAPBEXaggItem 2 3 3 10 2" xfId="5956" xr:uid="{28B06907-3B3B-4929-A965-793AE2270914}"/>
    <cellStyle name="SAPBEXaggItem 2 3 3 11" xfId="5957" xr:uid="{DA1270D4-F061-4512-8BBB-757075A8DD16}"/>
    <cellStyle name="SAPBEXaggItem 2 3 3 11 2" xfId="5958" xr:uid="{FF02E677-0B54-486C-9C8A-BCE7414F5AD0}"/>
    <cellStyle name="SAPBEXaggItem 2 3 3 12" xfId="5959" xr:uid="{28FA66ED-8673-442F-A8AA-5B6A4C31DB49}"/>
    <cellStyle name="SAPBEXaggItem 2 3 3 12 2" xfId="5960" xr:uid="{B94BCC9D-3337-41C0-A695-7B2175E1BCFB}"/>
    <cellStyle name="SAPBEXaggItem 2 3 3 13" xfId="5961" xr:uid="{1C2CFB3E-749C-45A7-BABD-1845E236D4ED}"/>
    <cellStyle name="SAPBEXaggItem 2 3 3 13 2" xfId="5962" xr:uid="{3133DAD2-A736-49B2-85E2-34836D74AD6F}"/>
    <cellStyle name="SAPBEXaggItem 2 3 3 14" xfId="5963" xr:uid="{8B4EF7B8-B285-438C-B7BE-07A8237BD91F}"/>
    <cellStyle name="SAPBEXaggItem 2 3 3 14 2" xfId="5964" xr:uid="{8E6E7018-302C-448E-BD78-DCC862A1896F}"/>
    <cellStyle name="SAPBEXaggItem 2 3 3 15" xfId="5965" xr:uid="{F54A16F1-E1A9-4445-A458-C5163B4B3DDF}"/>
    <cellStyle name="SAPBEXaggItem 2 3 3 15 2" xfId="5966" xr:uid="{6526565E-D59A-4C7D-AEB4-CBDA1E7D080F}"/>
    <cellStyle name="SAPBEXaggItem 2 3 3 2" xfId="5967" xr:uid="{AB4BBAD9-9B88-47A4-A1B1-FEED329E6B0E}"/>
    <cellStyle name="SAPBEXaggItem 2 3 3 2 2" xfId="5968" xr:uid="{A1F14FEE-2EA8-4085-B4A5-4957499E0B6A}"/>
    <cellStyle name="SAPBEXaggItem 2 3 3 3" xfId="5969" xr:uid="{5A59CC6C-0F2E-48A2-9F40-F49D999EBC4A}"/>
    <cellStyle name="SAPBEXaggItem 2 3 3 3 2" xfId="5970" xr:uid="{BADE1C55-50A6-4327-B47F-85431811457D}"/>
    <cellStyle name="SAPBEXaggItem 2 3 3 4" xfId="5971" xr:uid="{75F0B230-0624-40EF-877A-53D9E3B3BE18}"/>
    <cellStyle name="SAPBEXaggItem 2 3 3 4 2" xfId="5972" xr:uid="{767375E5-71D0-46F2-A07B-ECF5E659C495}"/>
    <cellStyle name="SAPBEXaggItem 2 3 3 5" xfId="5973" xr:uid="{8031BBFC-C61C-4A03-B9D0-CBFA6F5DB13F}"/>
    <cellStyle name="SAPBEXaggItem 2 3 3 5 2" xfId="5974" xr:uid="{35B75E45-2E61-465C-B432-FC09A59DE145}"/>
    <cellStyle name="SAPBEXaggItem 2 3 3 6" xfId="5975" xr:uid="{C1E1B73D-D54F-4FE1-8A07-E698E8590DE3}"/>
    <cellStyle name="SAPBEXaggItem 2 3 3 6 2" xfId="5976" xr:uid="{DBCD82BF-0649-43B6-B67C-EB0C66D0EAE4}"/>
    <cellStyle name="SAPBEXaggItem 2 3 3 7" xfId="5977" xr:uid="{2BAB6F55-F29B-4CCE-AB26-ADAD9065B6B1}"/>
    <cellStyle name="SAPBEXaggItem 2 3 3 7 2" xfId="5978" xr:uid="{EE69EFA8-2568-4D80-A772-C9115D6B5C6D}"/>
    <cellStyle name="SAPBEXaggItem 2 3 3 8" xfId="5979" xr:uid="{3ADE60D2-C074-45D2-AE87-D18F17F476CB}"/>
    <cellStyle name="SAPBEXaggItem 2 3 3 8 2" xfId="5980" xr:uid="{835EB77A-5F5C-41C9-AB34-5E2515AA4B55}"/>
    <cellStyle name="SAPBEXaggItem 2 3 3 9" xfId="5981" xr:uid="{48733C69-E797-4366-965D-7A5CF610D971}"/>
    <cellStyle name="SAPBEXaggItem 2 3 3 9 2" xfId="5982" xr:uid="{CD0E85BD-B759-446B-B701-8D0CE38DC5AB}"/>
    <cellStyle name="SAPBEXaggItem 2 3 4" xfId="5983" xr:uid="{E723DB6D-8BEE-4E26-AB24-308083C76DDB}"/>
    <cellStyle name="SAPBEXaggItem 2 3 4 2" xfId="5984" xr:uid="{2FF9A49E-D2C8-449E-8DC3-D4073C54942D}"/>
    <cellStyle name="SAPBEXaggItem 2 3 5" xfId="5985" xr:uid="{FEF5CA7B-D7E8-47BC-A539-A84BA74CCE99}"/>
    <cellStyle name="SAPBEXaggItem 2 3 5 2" xfId="5986" xr:uid="{94E9BFFF-EC85-497B-8716-D505AA9F8E85}"/>
    <cellStyle name="SAPBEXaggItem 2 3 6" xfId="5987" xr:uid="{D3B86FEC-794E-4817-AE4B-5271401E1604}"/>
    <cellStyle name="SAPBEXaggItem 2 3 6 2" xfId="5988" xr:uid="{97F51118-E716-4266-A39E-B84E4DB3AEBB}"/>
    <cellStyle name="SAPBEXaggItem 2 3 7" xfId="5989" xr:uid="{C11A335F-DA11-47EE-B0D3-3285C68A9CEF}"/>
    <cellStyle name="SAPBEXaggItem 2 3 7 2" xfId="5990" xr:uid="{B07144E0-7923-43E1-A4EB-8E968F037FB0}"/>
    <cellStyle name="SAPBEXaggItem 2 3 8" xfId="5991" xr:uid="{610A7EB9-5D52-4134-9465-BBCAED09E553}"/>
    <cellStyle name="SAPBEXaggItem 2 3 8 2" xfId="5992" xr:uid="{B7EDEC4C-6D37-48C0-BEDE-86817ABD1AC5}"/>
    <cellStyle name="SAPBEXaggItem 2 3 9" xfId="5993" xr:uid="{8AA3B795-6AD1-432F-BA63-FC6AC0478F34}"/>
    <cellStyle name="SAPBEXaggItem 2 3 9 2" xfId="5994" xr:uid="{B0207BE4-3233-441E-9A06-8F465F7BAC92}"/>
    <cellStyle name="SAPBEXaggItem 2 4" xfId="5995" xr:uid="{F9E68A12-ED9F-42BA-B452-D9ABFE1CBC6A}"/>
    <cellStyle name="SAPBEXaggItem 2 4 10" xfId="5996" xr:uid="{BA7BFA0B-C368-4350-9D51-6FAA0DA4FD20}"/>
    <cellStyle name="SAPBEXaggItem 2 4 10 2" xfId="5997" xr:uid="{A948E2AC-74D0-4817-AB85-D741B04DEEED}"/>
    <cellStyle name="SAPBEXaggItem 2 4 11" xfId="5998" xr:uid="{BCDE354F-915A-41B1-8955-942AFC8EF134}"/>
    <cellStyle name="SAPBEXaggItem 2 4 11 2" xfId="5999" xr:uid="{9D7B7EC5-85A6-427A-ACC9-1D678048C419}"/>
    <cellStyle name="SAPBEXaggItem 2 4 12" xfId="6000" xr:uid="{79A17996-8BAC-435E-BFDB-2B10FC6D6E5C}"/>
    <cellStyle name="SAPBEXaggItem 2 4 12 2" xfId="6001" xr:uid="{CF2B84AA-E081-4540-AE76-F41F549D00A0}"/>
    <cellStyle name="SAPBEXaggItem 2 4 13" xfId="6002" xr:uid="{FFF91C7E-60D4-4CDD-A14C-81C088ABF21B}"/>
    <cellStyle name="SAPBEXaggItem 2 4 13 2" xfId="6003" xr:uid="{0016DD26-1F3E-44AA-95EA-EDCB22B615A4}"/>
    <cellStyle name="SAPBEXaggItem 2 4 14" xfId="6004" xr:uid="{A699F972-EEBB-4181-A6A2-064D52BA153B}"/>
    <cellStyle name="SAPBEXaggItem 2 4 14 2" xfId="6005" xr:uid="{494B4822-B588-4FD3-B88F-D511400C103F}"/>
    <cellStyle name="SAPBEXaggItem 2 4 15" xfId="6006" xr:uid="{5ADE76C0-2AF4-47FE-A7B4-B98E4900026E}"/>
    <cellStyle name="SAPBEXaggItem 2 4 15 2" xfId="6007" xr:uid="{3B779AEE-5D1E-48C2-A859-F34FBF6B7338}"/>
    <cellStyle name="SAPBEXaggItem 2 4 16" xfId="6008" xr:uid="{9F0C48F2-706C-496D-A17A-C04A394EA56A}"/>
    <cellStyle name="SAPBEXaggItem 2 4 16 2" xfId="6009" xr:uid="{657C2ECB-E643-486E-A219-F650886D9857}"/>
    <cellStyle name="SAPBEXaggItem 2 4 17" xfId="6010" xr:uid="{C6D0A711-BEC0-49E3-8C93-BA20BA5DE8D7}"/>
    <cellStyle name="SAPBEXaggItem 2 4 17 2" xfId="6011" xr:uid="{7A79E298-FC82-4183-BA35-2A499239F0A5}"/>
    <cellStyle name="SAPBEXaggItem 2 4 2" xfId="6012" xr:uid="{413279A7-856E-4746-BB3D-4A985178525E}"/>
    <cellStyle name="SAPBEXaggItem 2 4 2 10" xfId="6013" xr:uid="{1CE43403-A046-4DDD-B8DB-AACF31B57A2F}"/>
    <cellStyle name="SAPBEXaggItem 2 4 2 10 2" xfId="6014" xr:uid="{A236075D-C38E-45A0-AF34-8371FDEFF918}"/>
    <cellStyle name="SAPBEXaggItem 2 4 2 11" xfId="6015" xr:uid="{C2437BFF-6F3B-4FFD-98FD-2BDFB20CA98E}"/>
    <cellStyle name="SAPBEXaggItem 2 4 2 11 2" xfId="6016" xr:uid="{76281C44-AE70-4EBB-90B7-129E2423B436}"/>
    <cellStyle name="SAPBEXaggItem 2 4 2 12" xfId="6017" xr:uid="{04B5B84C-8A74-40AC-A49E-39225AC99853}"/>
    <cellStyle name="SAPBEXaggItem 2 4 2 12 2" xfId="6018" xr:uid="{1CBD9B7E-E91C-49A5-BED7-7146A65FC82F}"/>
    <cellStyle name="SAPBEXaggItem 2 4 2 13" xfId="6019" xr:uid="{001183A3-7E92-4FA7-A998-118665ACE282}"/>
    <cellStyle name="SAPBEXaggItem 2 4 2 13 2" xfId="6020" xr:uid="{AA36F43B-1748-4FFB-8E03-3DF8DF55A0B7}"/>
    <cellStyle name="SAPBEXaggItem 2 4 2 14" xfId="6021" xr:uid="{ABA464DF-C043-4475-BA8D-CBB45A688193}"/>
    <cellStyle name="SAPBEXaggItem 2 4 2 14 2" xfId="6022" xr:uid="{3168272A-F79D-46DF-86E6-4AD90B39E02B}"/>
    <cellStyle name="SAPBEXaggItem 2 4 2 15" xfId="6023" xr:uid="{2B0EE315-670B-4458-97D5-3C852B8166A5}"/>
    <cellStyle name="SAPBEXaggItem 2 4 2 15 2" xfId="6024" xr:uid="{F16D2CA1-1B0D-4E4E-A2A6-AAECF5668AB8}"/>
    <cellStyle name="SAPBEXaggItem 2 4 2 2" xfId="6025" xr:uid="{2F7B59FC-372E-428A-8F4D-95E91A80ED3A}"/>
    <cellStyle name="SAPBEXaggItem 2 4 2 2 2" xfId="6026" xr:uid="{49EF3AAA-12AE-4107-A390-D8A8D81AE9DE}"/>
    <cellStyle name="SAPBEXaggItem 2 4 2 3" xfId="6027" xr:uid="{7C0F8E74-4FEF-4FDD-9168-53EABF350F0F}"/>
    <cellStyle name="SAPBEXaggItem 2 4 2 3 2" xfId="6028" xr:uid="{63480891-C3E5-4F04-B26E-922E280540CB}"/>
    <cellStyle name="SAPBEXaggItem 2 4 2 4" xfId="6029" xr:uid="{699F5F00-1D8C-4C17-B5D4-DD625E186909}"/>
    <cellStyle name="SAPBEXaggItem 2 4 2 4 2" xfId="6030" xr:uid="{C2718D97-12F3-498C-857A-74A3285DC6C9}"/>
    <cellStyle name="SAPBEXaggItem 2 4 2 5" xfId="6031" xr:uid="{BB4D2958-EC71-40BF-982A-D9E6FEE1519F}"/>
    <cellStyle name="SAPBEXaggItem 2 4 2 5 2" xfId="6032" xr:uid="{BEBCC2C5-C913-4535-90FD-21A1232B5EF5}"/>
    <cellStyle name="SAPBEXaggItem 2 4 2 6" xfId="6033" xr:uid="{5611D9E0-FA6D-40DF-8B7A-0CDE75CD0971}"/>
    <cellStyle name="SAPBEXaggItem 2 4 2 6 2" xfId="6034" xr:uid="{6365F983-A48D-4A17-B990-2D68C61242E0}"/>
    <cellStyle name="SAPBEXaggItem 2 4 2 7" xfId="6035" xr:uid="{08136959-E03A-42FA-B8C9-659F1CEA5174}"/>
    <cellStyle name="SAPBEXaggItem 2 4 2 7 2" xfId="6036" xr:uid="{33DE5AA5-3A88-4E38-ACC6-9683F2973F04}"/>
    <cellStyle name="SAPBEXaggItem 2 4 2 8" xfId="6037" xr:uid="{982C538A-0EBE-4E64-AA28-B8D213A1F474}"/>
    <cellStyle name="SAPBEXaggItem 2 4 2 8 2" xfId="6038" xr:uid="{97B48A26-03D2-4181-9A04-D30F3D110615}"/>
    <cellStyle name="SAPBEXaggItem 2 4 2 9" xfId="6039" xr:uid="{B70D413E-FC94-4C56-AD77-D2409F9BEBAE}"/>
    <cellStyle name="SAPBEXaggItem 2 4 2 9 2" xfId="6040" xr:uid="{FEF4684F-CD43-49A1-B0D4-45F37733844B}"/>
    <cellStyle name="SAPBEXaggItem 2 4 3" xfId="6041" xr:uid="{FDA2A1D6-1288-44B1-ABAD-7AF59CFEC003}"/>
    <cellStyle name="SAPBEXaggItem 2 4 3 10" xfId="6042" xr:uid="{BA574BAB-6E5E-448D-9487-B13BB8A203E4}"/>
    <cellStyle name="SAPBEXaggItem 2 4 3 10 2" xfId="6043" xr:uid="{9675384A-3821-4CA4-B41F-C37FF0E053FA}"/>
    <cellStyle name="SAPBEXaggItem 2 4 3 11" xfId="6044" xr:uid="{3F9CA02D-C2BD-454B-B7A2-DFDC7C1ED24F}"/>
    <cellStyle name="SAPBEXaggItem 2 4 3 11 2" xfId="6045" xr:uid="{385C97D8-1935-4DD8-9914-0F249A024C7B}"/>
    <cellStyle name="SAPBEXaggItem 2 4 3 12" xfId="6046" xr:uid="{73F15743-D5C2-4782-9285-27007E01F75D}"/>
    <cellStyle name="SAPBEXaggItem 2 4 3 12 2" xfId="6047" xr:uid="{EE677DBF-D7DD-40F9-B3E5-EF50E62BA801}"/>
    <cellStyle name="SAPBEXaggItem 2 4 3 13" xfId="6048" xr:uid="{7CA94C8B-3F9A-4251-B755-45C6820284F2}"/>
    <cellStyle name="SAPBEXaggItem 2 4 3 13 2" xfId="6049" xr:uid="{7465D3E2-5076-40CD-A30C-F6B8819BADF9}"/>
    <cellStyle name="SAPBEXaggItem 2 4 3 14" xfId="6050" xr:uid="{8207018D-23D7-43A8-B94E-D4D95FD49401}"/>
    <cellStyle name="SAPBEXaggItem 2 4 3 14 2" xfId="6051" xr:uid="{B7F1216F-7881-4791-8391-6284EA6275C9}"/>
    <cellStyle name="SAPBEXaggItem 2 4 3 15" xfId="6052" xr:uid="{2EDF1CA5-9ACD-42BC-9EBB-0B001B6D2F19}"/>
    <cellStyle name="SAPBEXaggItem 2 4 3 15 2" xfId="6053" xr:uid="{04198C1A-8E9E-4C13-9732-7502BBF29C24}"/>
    <cellStyle name="SAPBEXaggItem 2 4 3 2" xfId="6054" xr:uid="{8B4A2519-EACA-4F8A-A086-67E603D1AC6C}"/>
    <cellStyle name="SAPBEXaggItem 2 4 3 2 2" xfId="6055" xr:uid="{3CC28BD3-9D88-4A50-8796-443A5A90421A}"/>
    <cellStyle name="SAPBEXaggItem 2 4 3 3" xfId="6056" xr:uid="{8B56BE6D-84EE-4DCE-8320-7DAFF6A18541}"/>
    <cellStyle name="SAPBEXaggItem 2 4 3 3 2" xfId="6057" xr:uid="{6DBDDB6E-FEA4-4067-9E99-D894B4C58BAA}"/>
    <cellStyle name="SAPBEXaggItem 2 4 3 4" xfId="6058" xr:uid="{8E976B03-8A24-4070-90D6-B9619CA3BCA0}"/>
    <cellStyle name="SAPBEXaggItem 2 4 3 4 2" xfId="6059" xr:uid="{0CB67785-0A62-4EF9-B1EB-C6C4B45C983B}"/>
    <cellStyle name="SAPBEXaggItem 2 4 3 5" xfId="6060" xr:uid="{073B0FD2-702D-4B92-AC5C-34876899B9B9}"/>
    <cellStyle name="SAPBEXaggItem 2 4 3 5 2" xfId="6061" xr:uid="{0F5AE031-9544-48BF-9F53-9A77977E165F}"/>
    <cellStyle name="SAPBEXaggItem 2 4 3 6" xfId="6062" xr:uid="{9DD88E75-2C51-4BF9-AF48-B6F115CE4CB3}"/>
    <cellStyle name="SAPBEXaggItem 2 4 3 6 2" xfId="6063" xr:uid="{AAE24078-D20E-4194-9EA3-A66D3A4264AB}"/>
    <cellStyle name="SAPBEXaggItem 2 4 3 7" xfId="6064" xr:uid="{AD4E7DCF-47E9-46F3-982F-F089A09D549D}"/>
    <cellStyle name="SAPBEXaggItem 2 4 3 7 2" xfId="6065" xr:uid="{B9C4808D-3851-458F-A1AC-B548324DF905}"/>
    <cellStyle name="SAPBEXaggItem 2 4 3 8" xfId="6066" xr:uid="{27960B2D-A383-41F8-85B4-C5ADD3F037CF}"/>
    <cellStyle name="SAPBEXaggItem 2 4 3 8 2" xfId="6067" xr:uid="{7E0772B4-DD2B-4800-A1C4-5B6CD2D2152C}"/>
    <cellStyle name="SAPBEXaggItem 2 4 3 9" xfId="6068" xr:uid="{81815153-B831-429A-96B8-FAE78DF419B8}"/>
    <cellStyle name="SAPBEXaggItem 2 4 3 9 2" xfId="6069" xr:uid="{43E9A11A-8308-457D-8283-D8C06D106AA7}"/>
    <cellStyle name="SAPBEXaggItem 2 4 4" xfId="6070" xr:uid="{092BA063-D782-429A-AF0D-AD974EE18C72}"/>
    <cellStyle name="SAPBEXaggItem 2 4 4 2" xfId="6071" xr:uid="{7613B01B-B945-45E8-9FA8-0C5793D74592}"/>
    <cellStyle name="SAPBEXaggItem 2 4 5" xfId="6072" xr:uid="{40C42B94-DF08-4741-B585-AC1BEA6BECC7}"/>
    <cellStyle name="SAPBEXaggItem 2 4 5 2" xfId="6073" xr:uid="{8CB0559B-3758-407B-AA28-CC29CACE8B05}"/>
    <cellStyle name="SAPBEXaggItem 2 4 6" xfId="6074" xr:uid="{AE196758-63E3-44F2-8AB7-7E550DF622C3}"/>
    <cellStyle name="SAPBEXaggItem 2 4 6 2" xfId="6075" xr:uid="{634A7F6C-DF84-4A71-856A-9FEB8F05FE13}"/>
    <cellStyle name="SAPBEXaggItem 2 4 7" xfId="6076" xr:uid="{99F13615-54F1-492B-9922-1EBCBAA922A2}"/>
    <cellStyle name="SAPBEXaggItem 2 4 7 2" xfId="6077" xr:uid="{F0C18188-3905-48F1-8A68-A3FD6E1D56F6}"/>
    <cellStyle name="SAPBEXaggItem 2 4 8" xfId="6078" xr:uid="{30A68762-3B5F-4966-AAE8-9C6F2E02D25B}"/>
    <cellStyle name="SAPBEXaggItem 2 4 8 2" xfId="6079" xr:uid="{F2C342C4-10A9-45E9-8C1E-8FD10D8FE350}"/>
    <cellStyle name="SAPBEXaggItem 2 4 9" xfId="6080" xr:uid="{7B400BDA-CB2F-46D3-999C-13008E31227A}"/>
    <cellStyle name="SAPBEXaggItem 2 4 9 2" xfId="6081" xr:uid="{EB3BF051-6B22-4B4B-BE48-8C19EBBC0A80}"/>
    <cellStyle name="SAPBEXaggItem 2 5" xfId="6082" xr:uid="{686F4D07-F7AE-4A94-8D95-3E85706D184B}"/>
    <cellStyle name="SAPBEXaggItem 2 5 2" xfId="6083" xr:uid="{1D6D94E4-2CCB-4A95-AEEC-073EEFC61581}"/>
    <cellStyle name="SAPBEXaggItem 2 6" xfId="6084" xr:uid="{9A201FF9-1C24-4B84-ABCB-4C7B4390AF07}"/>
    <cellStyle name="SAPBEXaggItem 2 6 2" xfId="6085" xr:uid="{10DC1947-543D-4565-A63E-A70B43C3204F}"/>
    <cellStyle name="SAPBEXaggItem 2 7" xfId="6086" xr:uid="{4536DAE6-5DB9-45FF-9E03-8F0DCC531421}"/>
    <cellStyle name="SAPBEXaggItem 2 7 2" xfId="6087" xr:uid="{4ACA2871-F147-4DC4-AFF0-A4037648F130}"/>
    <cellStyle name="SAPBEXaggItem 2 8" xfId="6088" xr:uid="{4E9CC823-83C2-416A-9198-730841166082}"/>
    <cellStyle name="SAPBEXaggItem 2 8 2" xfId="6089" xr:uid="{CDDD66DA-6461-497D-8F98-BC2D3CC7F484}"/>
    <cellStyle name="SAPBEXaggItem 2 9" xfId="6090" xr:uid="{7542A817-E94B-4F39-958A-5A855B7939F3}"/>
    <cellStyle name="SAPBEXaggItem 2 9 2" xfId="6091" xr:uid="{75C43C83-2EC4-4011-90A6-2E1DE2193A07}"/>
    <cellStyle name="SAPBEXaggItem 2_T1 ANSP" xfId="5802" xr:uid="{562C22FD-C4AF-4338-91A9-226063CC8F5E}"/>
    <cellStyle name="SAPBEXaggItem 20" xfId="6092" xr:uid="{9BE57808-A3D0-4F47-91D2-C9F67F846551}"/>
    <cellStyle name="SAPBEXaggItem 3" xfId="1500" xr:uid="{00000000-0005-0000-0000-000059050000}"/>
    <cellStyle name="SAPBEXaggItem 3 10" xfId="6094" xr:uid="{EA96B268-2CC7-4A1B-B93F-AD4C7BC64F2C}"/>
    <cellStyle name="SAPBEXaggItem 3 10 2" xfId="6095" xr:uid="{928C474A-1676-4DCB-BB00-CBBBA94EA62C}"/>
    <cellStyle name="SAPBEXaggItem 3 11" xfId="6096" xr:uid="{03FD1DD1-8133-4A4F-A462-6E9F706C5226}"/>
    <cellStyle name="SAPBEXaggItem 3 11 2" xfId="6097" xr:uid="{3F9502E6-8D81-443A-8E48-3DE1F15A738C}"/>
    <cellStyle name="SAPBEXaggItem 3 12" xfId="6098" xr:uid="{2367A4E8-29D4-4C9F-A651-7B1FA3AAAB9F}"/>
    <cellStyle name="SAPBEXaggItem 3 12 2" xfId="6099" xr:uid="{D86A4B45-B3A1-4459-85AB-373EAD030173}"/>
    <cellStyle name="SAPBEXaggItem 3 13" xfId="6100" xr:uid="{6E4D01C4-8C87-4171-A0E7-C7CFCA3679E2}"/>
    <cellStyle name="SAPBEXaggItem 3 13 2" xfId="6101" xr:uid="{58E80B0A-F3F4-4B56-A0C5-C7C9092CB2A2}"/>
    <cellStyle name="SAPBEXaggItem 3 14" xfId="6102" xr:uid="{FE123188-8CC9-4932-92B1-C9C2E6DF741E}"/>
    <cellStyle name="SAPBEXaggItem 3 14 2" xfId="6103" xr:uid="{0275FEB7-6D5F-4246-A356-D20B0D3BCBCC}"/>
    <cellStyle name="SAPBEXaggItem 3 15" xfId="6104" xr:uid="{66119D74-C91B-499B-9C04-DF1086D8D159}"/>
    <cellStyle name="SAPBEXaggItem 3 15 2" xfId="6105" xr:uid="{18A0D778-BF14-4168-B91D-CCC1C7BB960E}"/>
    <cellStyle name="SAPBEXaggItem 3 16" xfId="6106" xr:uid="{C7CADDC9-B2DB-469C-9815-2AF3B9755E47}"/>
    <cellStyle name="SAPBEXaggItem 3 16 2" xfId="6107" xr:uid="{B2A597D7-7229-43FF-8F5C-4C95BDA9D900}"/>
    <cellStyle name="SAPBEXaggItem 3 17" xfId="6108" xr:uid="{FBB66918-DBB7-492C-B8D7-D3BC34E83EED}"/>
    <cellStyle name="SAPBEXaggItem 3 17 2" xfId="6109" xr:uid="{5451972C-2285-4973-9140-92E1E751C974}"/>
    <cellStyle name="SAPBEXaggItem 3 18" xfId="6110" xr:uid="{7969D16B-FCCF-4829-9107-BC3F650058CF}"/>
    <cellStyle name="SAPBEXaggItem 3 2" xfId="6111" xr:uid="{EFB8EBFA-0043-4ECA-A679-451DA0B69750}"/>
    <cellStyle name="SAPBEXaggItem 3 2 10" xfId="6112" xr:uid="{AE6B2564-34E6-475A-921D-1E80E1B490C5}"/>
    <cellStyle name="SAPBEXaggItem 3 2 10 2" xfId="6113" xr:uid="{8FD2C591-7976-4F25-AB02-57A9375BDA24}"/>
    <cellStyle name="SAPBEXaggItem 3 2 11" xfId="6114" xr:uid="{5B9DD0AD-FC7B-4A0A-93B5-7ED122883079}"/>
    <cellStyle name="SAPBEXaggItem 3 2 11 2" xfId="6115" xr:uid="{554F847A-ABE5-4BE9-8E31-DADD701E5760}"/>
    <cellStyle name="SAPBEXaggItem 3 2 12" xfId="6116" xr:uid="{FBE71187-D45D-446C-85E7-DE9CDB953F51}"/>
    <cellStyle name="SAPBEXaggItem 3 2 12 2" xfId="6117" xr:uid="{79738CC7-DC6C-4F9F-A69C-FE65D4C2ED74}"/>
    <cellStyle name="SAPBEXaggItem 3 2 13" xfId="6118" xr:uid="{DCCC2005-841E-467D-B100-601199BABEC0}"/>
    <cellStyle name="SAPBEXaggItem 3 2 13 2" xfId="6119" xr:uid="{A9B424F2-2032-41A0-8905-9F8D40154E01}"/>
    <cellStyle name="SAPBEXaggItem 3 2 14" xfId="6120" xr:uid="{E6324DDB-BDC5-415E-AEFC-F12694006653}"/>
    <cellStyle name="SAPBEXaggItem 3 2 14 2" xfId="6121" xr:uid="{BDA1BEE9-A0E2-47D6-A877-32D57B89FA72}"/>
    <cellStyle name="SAPBEXaggItem 3 2 15" xfId="6122" xr:uid="{9021CC3F-0751-4E7F-ADE8-AC0FE4147278}"/>
    <cellStyle name="SAPBEXaggItem 3 2 15 2" xfId="6123" xr:uid="{EAAE8356-5B3A-4679-AB92-1412915F6ED3}"/>
    <cellStyle name="SAPBEXaggItem 3 2 16" xfId="6124" xr:uid="{B9DD955A-6D4B-4EA8-8F0F-2EB57267F9D6}"/>
    <cellStyle name="SAPBEXaggItem 3 2 2" xfId="6125" xr:uid="{FE6DB09E-86A2-4937-97FD-0CC41A072B8A}"/>
    <cellStyle name="SAPBEXaggItem 3 2 2 2" xfId="6126" xr:uid="{BA21FE17-E217-4A3A-8287-C3F58539C0E1}"/>
    <cellStyle name="SAPBEXaggItem 3 2 3" xfId="6127" xr:uid="{9156EB67-BBFC-4D3F-A500-33ECD1754AB0}"/>
    <cellStyle name="SAPBEXaggItem 3 2 3 2" xfId="6128" xr:uid="{7195E6AC-BDE1-4DF1-8C7C-6CB5EAB4BC29}"/>
    <cellStyle name="SAPBEXaggItem 3 2 4" xfId="6129" xr:uid="{3407721B-D64E-486B-918F-FAD4AECB65AB}"/>
    <cellStyle name="SAPBEXaggItem 3 2 4 2" xfId="6130" xr:uid="{CA3EC00C-C62B-423B-B2DA-DE393289DF4A}"/>
    <cellStyle name="SAPBEXaggItem 3 2 5" xfId="6131" xr:uid="{BD2B2D26-AA11-4B62-A441-3FD3F326E804}"/>
    <cellStyle name="SAPBEXaggItem 3 2 5 2" xfId="6132" xr:uid="{9B9D8444-1EEF-4A32-BE73-928F28996C41}"/>
    <cellStyle name="SAPBEXaggItem 3 2 6" xfId="6133" xr:uid="{15ED3D27-5CD4-4B9E-8B57-58308E2AA6C8}"/>
    <cellStyle name="SAPBEXaggItem 3 2 6 2" xfId="6134" xr:uid="{2AD1E4E5-B6D6-482E-B4E1-D82397781FDC}"/>
    <cellStyle name="SAPBEXaggItem 3 2 7" xfId="6135" xr:uid="{6164183F-E4C3-4383-800D-BA368D9D71D5}"/>
    <cellStyle name="SAPBEXaggItem 3 2 7 2" xfId="6136" xr:uid="{3A7819D1-A47B-454F-9EC0-A015924EA1AD}"/>
    <cellStyle name="SAPBEXaggItem 3 2 8" xfId="6137" xr:uid="{B7804028-C46D-4355-8CB1-F059E5C27F2E}"/>
    <cellStyle name="SAPBEXaggItem 3 2 8 2" xfId="6138" xr:uid="{8097BFBA-21C8-4B0B-AA0A-45780FEA62ED}"/>
    <cellStyle name="SAPBEXaggItem 3 2 9" xfId="6139" xr:uid="{26E90A5E-18BF-47CA-AF44-83F6ABE45137}"/>
    <cellStyle name="SAPBEXaggItem 3 2 9 2" xfId="6140" xr:uid="{C1F2EA7A-4BC6-4680-8E09-0529E3D3AC39}"/>
    <cellStyle name="SAPBEXaggItem 3 3" xfId="6141" xr:uid="{B2DF4C16-9802-4D92-8C27-82F248E474FA}"/>
    <cellStyle name="SAPBEXaggItem 3 3 10" xfId="6142" xr:uid="{ED3379DD-5399-403B-9682-7AE8974BF10B}"/>
    <cellStyle name="SAPBEXaggItem 3 3 10 2" xfId="6143" xr:uid="{7AA33DB8-8DB6-429F-A36A-7019551B364B}"/>
    <cellStyle name="SAPBEXaggItem 3 3 11" xfId="6144" xr:uid="{5BB77835-7A72-493B-8E30-A91E7A680158}"/>
    <cellStyle name="SAPBEXaggItem 3 3 11 2" xfId="6145" xr:uid="{0CE0FE8F-1F09-4B07-A3A2-02EFF29A3402}"/>
    <cellStyle name="SAPBEXaggItem 3 3 12" xfId="6146" xr:uid="{A8142D01-D082-4BC9-97F0-804A09C1F7FA}"/>
    <cellStyle name="SAPBEXaggItem 3 3 12 2" xfId="6147" xr:uid="{6E6456FF-67DC-4606-A3E5-87AA6ABD873B}"/>
    <cellStyle name="SAPBEXaggItem 3 3 13" xfId="6148" xr:uid="{628A3E7C-6F24-47D8-8A72-96A76A469B1C}"/>
    <cellStyle name="SAPBEXaggItem 3 3 13 2" xfId="6149" xr:uid="{63A6C702-00E1-47CE-9B4D-B3707AFDA982}"/>
    <cellStyle name="SAPBEXaggItem 3 3 14" xfId="6150" xr:uid="{845C4139-DFA6-4304-8DB2-4F180D8FD598}"/>
    <cellStyle name="SAPBEXaggItem 3 3 14 2" xfId="6151" xr:uid="{4A6E153A-2862-49FB-9F1C-624EECC2C67F}"/>
    <cellStyle name="SAPBEXaggItem 3 3 15" xfId="6152" xr:uid="{213F7460-682D-47FE-8121-C19884D24748}"/>
    <cellStyle name="SAPBEXaggItem 3 3 15 2" xfId="6153" xr:uid="{212F9B56-D6AA-4F3F-A62C-390B7ADA8706}"/>
    <cellStyle name="SAPBEXaggItem 3 3 16" xfId="6154" xr:uid="{63EDAED7-0DA4-4EF6-BAC6-5EE162B12170}"/>
    <cellStyle name="SAPBEXaggItem 3 3 2" xfId="6155" xr:uid="{2CC05B07-59BC-4B18-B2E3-8DE083376A9A}"/>
    <cellStyle name="SAPBEXaggItem 3 3 2 2" xfId="6156" xr:uid="{96B201D0-53CC-4582-8839-CC1C06B867D3}"/>
    <cellStyle name="SAPBEXaggItem 3 3 3" xfId="6157" xr:uid="{DB6C7FD9-DCE1-44A8-B488-A70B9F8E18B1}"/>
    <cellStyle name="SAPBEXaggItem 3 3 3 2" xfId="6158" xr:uid="{0974B9D2-A124-4A4F-A5C9-59DD2857A1DF}"/>
    <cellStyle name="SAPBEXaggItem 3 3 4" xfId="6159" xr:uid="{DFE22101-F9B3-47A0-9EBC-9EAA94889292}"/>
    <cellStyle name="SAPBEXaggItem 3 3 4 2" xfId="6160" xr:uid="{3D0E8264-1F32-4CAC-A58A-DC45C91E668A}"/>
    <cellStyle name="SAPBEXaggItem 3 3 5" xfId="6161" xr:uid="{710C42CF-5F6B-48D3-99C3-B95B5B55D031}"/>
    <cellStyle name="SAPBEXaggItem 3 3 5 2" xfId="6162" xr:uid="{B87AE333-E98F-4426-B925-194E31992D64}"/>
    <cellStyle name="SAPBEXaggItem 3 3 6" xfId="6163" xr:uid="{8F4EC249-59EC-4303-855F-195F51028DF9}"/>
    <cellStyle name="SAPBEXaggItem 3 3 6 2" xfId="6164" xr:uid="{71DC55D8-3355-4CDA-B26B-83ECA0708B66}"/>
    <cellStyle name="SAPBEXaggItem 3 3 7" xfId="6165" xr:uid="{533F14B8-ECD0-4759-B6E5-F7B3228DD0A1}"/>
    <cellStyle name="SAPBEXaggItem 3 3 7 2" xfId="6166" xr:uid="{07DEEA92-DE92-4E0D-BDDB-A129CB16C381}"/>
    <cellStyle name="SAPBEXaggItem 3 3 8" xfId="6167" xr:uid="{91319E6E-BA7D-4EC6-A212-DFDF3503822B}"/>
    <cellStyle name="SAPBEXaggItem 3 3 8 2" xfId="6168" xr:uid="{FBE06342-C9EE-40BE-AB6F-3FF137EE93B8}"/>
    <cellStyle name="SAPBEXaggItem 3 3 9" xfId="6169" xr:uid="{8C702C4A-5ECF-4F18-85D4-A36348EAF780}"/>
    <cellStyle name="SAPBEXaggItem 3 3 9 2" xfId="6170" xr:uid="{CC22D72F-5812-444C-B8D7-9CBBEE2675E9}"/>
    <cellStyle name="SAPBEXaggItem 3 4" xfId="6171" xr:uid="{F6FBE450-CC20-435A-8703-0F19A85B6210}"/>
    <cellStyle name="SAPBEXaggItem 3 4 2" xfId="6172" xr:uid="{AF8DED75-8A3F-4A11-9262-5859147108BF}"/>
    <cellStyle name="SAPBEXaggItem 3 5" xfId="6173" xr:uid="{0AE78403-EAB3-4670-8698-EA89F2D7C30A}"/>
    <cellStyle name="SAPBEXaggItem 3 5 2" xfId="6174" xr:uid="{30AF66A4-A05E-437D-95A1-DC4CB51582F3}"/>
    <cellStyle name="SAPBEXaggItem 3 6" xfId="6175" xr:uid="{AF001B49-EFC4-4906-99D1-C7612ACB944D}"/>
    <cellStyle name="SAPBEXaggItem 3 6 2" xfId="6176" xr:uid="{3EEE211D-98CA-4DE4-8081-8345F2F15857}"/>
    <cellStyle name="SAPBEXaggItem 3 7" xfId="6177" xr:uid="{1519122A-0649-461D-B942-8C674F00D461}"/>
    <cellStyle name="SAPBEXaggItem 3 7 2" xfId="6178" xr:uid="{D1F1FF3E-5DE9-4DFA-A578-1EB2EDC40F1C}"/>
    <cellStyle name="SAPBEXaggItem 3 8" xfId="6179" xr:uid="{746324E8-3A61-49AD-B50B-5480630B4AB5}"/>
    <cellStyle name="SAPBEXaggItem 3 8 2" xfId="6180" xr:uid="{A28050C9-63C2-4A42-85B2-E8807C4A13FE}"/>
    <cellStyle name="SAPBEXaggItem 3 9" xfId="6181" xr:uid="{ADA0A41F-85FE-411A-99AB-A1BE112013D9}"/>
    <cellStyle name="SAPBEXaggItem 3 9 2" xfId="6182" xr:uid="{FDF9660A-1407-446B-8844-042FEF8D79FE}"/>
    <cellStyle name="SAPBEXaggItem 3_T1 ANSP" xfId="6093" xr:uid="{CC86B014-03E9-4CFC-A94C-FE37CE9ADE99}"/>
    <cellStyle name="SAPBEXaggItem 4" xfId="6183" xr:uid="{CF248797-68E0-4874-BB12-6B204F420413}"/>
    <cellStyle name="SAPBEXaggItem 4 10" xfId="6184" xr:uid="{93CA2152-1D11-4E32-AC3F-FA95EABDDE2E}"/>
    <cellStyle name="SAPBEXaggItem 4 10 2" xfId="6185" xr:uid="{D042BADF-B3D3-4F48-94BC-49EC5FE55FA0}"/>
    <cellStyle name="SAPBEXaggItem 4 11" xfId="6186" xr:uid="{FCE28C76-2FFB-4AB7-97E1-0D3957D275E2}"/>
    <cellStyle name="SAPBEXaggItem 4 11 2" xfId="6187" xr:uid="{36013993-18F2-47D7-8D19-AEA373498479}"/>
    <cellStyle name="SAPBEXaggItem 4 12" xfId="6188" xr:uid="{B47A460C-C16D-4F1D-B8C1-47D20CAF5FD4}"/>
    <cellStyle name="SAPBEXaggItem 4 12 2" xfId="6189" xr:uid="{FC823384-007B-472B-A014-4DD81C92AE75}"/>
    <cellStyle name="SAPBEXaggItem 4 13" xfId="6190" xr:uid="{E366B134-F2FD-4AA3-B3F1-1134ED974C14}"/>
    <cellStyle name="SAPBEXaggItem 4 13 2" xfId="6191" xr:uid="{E882B753-232D-4959-929D-B1C656437BD9}"/>
    <cellStyle name="SAPBEXaggItem 4 14" xfId="6192" xr:uid="{8C0AFA7A-2349-4E2E-A5F8-D14D65C9A36B}"/>
    <cellStyle name="SAPBEXaggItem 4 14 2" xfId="6193" xr:uid="{6660BFE4-CB9A-476B-91E1-966841327C67}"/>
    <cellStyle name="SAPBEXaggItem 4 15" xfId="6194" xr:uid="{5B698674-1039-4400-9D17-B9227E1EC62A}"/>
    <cellStyle name="SAPBEXaggItem 4 15 2" xfId="6195" xr:uid="{9BBAAB46-3CE7-42E8-ABD7-42D377358F65}"/>
    <cellStyle name="SAPBEXaggItem 4 16" xfId="6196" xr:uid="{B0045A3A-5C9A-4C4C-A2C1-E34D7AC502F5}"/>
    <cellStyle name="SAPBEXaggItem 4 16 2" xfId="6197" xr:uid="{8E198E04-A1A3-47B0-B8E5-F15221B2CCBB}"/>
    <cellStyle name="SAPBEXaggItem 4 17" xfId="6198" xr:uid="{F2A81A89-5AF8-421C-A857-E1F601EBEB0B}"/>
    <cellStyle name="SAPBEXaggItem 4 17 2" xfId="6199" xr:uid="{1F8B4FCC-2ACD-40DC-95BE-62AFA1AE693D}"/>
    <cellStyle name="SAPBEXaggItem 4 18" xfId="6200" xr:uid="{92EFDE6C-F2DD-4791-BE19-FCD420C65387}"/>
    <cellStyle name="SAPBEXaggItem 4 2" xfId="6201" xr:uid="{7D70F717-9B62-40B6-B8B0-FA6A9C8DD66A}"/>
    <cellStyle name="SAPBEXaggItem 4 2 10" xfId="6202" xr:uid="{A922C7C3-12D1-457A-AB55-CE6A690DB91C}"/>
    <cellStyle name="SAPBEXaggItem 4 2 10 2" xfId="6203" xr:uid="{FEC6A0D9-9276-4BB4-BBA5-0607220F89F8}"/>
    <cellStyle name="SAPBEXaggItem 4 2 11" xfId="6204" xr:uid="{6612BFB8-0E4C-4C18-9B1B-8764DE37E22E}"/>
    <cellStyle name="SAPBEXaggItem 4 2 11 2" xfId="6205" xr:uid="{7A5E7981-0244-45A6-A515-4D8B3CF329FD}"/>
    <cellStyle name="SAPBEXaggItem 4 2 12" xfId="6206" xr:uid="{2662C39E-C683-436F-A250-A6EBA31EE996}"/>
    <cellStyle name="SAPBEXaggItem 4 2 12 2" xfId="6207" xr:uid="{0DB8F909-A03E-416A-9723-160995556E90}"/>
    <cellStyle name="SAPBEXaggItem 4 2 13" xfId="6208" xr:uid="{1C910102-4271-4213-BF92-209DEE1A261F}"/>
    <cellStyle name="SAPBEXaggItem 4 2 13 2" xfId="6209" xr:uid="{0A49E706-EF07-4109-A09D-0ADBF18B5ABF}"/>
    <cellStyle name="SAPBEXaggItem 4 2 14" xfId="6210" xr:uid="{B47CA105-15B9-41E6-8CE1-4DF450AA0D44}"/>
    <cellStyle name="SAPBEXaggItem 4 2 14 2" xfId="6211" xr:uid="{124DDE40-394A-4C98-83BA-42D2866BF7B8}"/>
    <cellStyle name="SAPBEXaggItem 4 2 15" xfId="6212" xr:uid="{2359E53F-E1B4-49C6-B16C-B49B7962E821}"/>
    <cellStyle name="SAPBEXaggItem 4 2 15 2" xfId="6213" xr:uid="{575FE32C-71D3-440F-81E4-B8A4F24CC6C4}"/>
    <cellStyle name="SAPBEXaggItem 4 2 16" xfId="6214" xr:uid="{607B76D9-900D-4550-89C3-ECD34E0986C0}"/>
    <cellStyle name="SAPBEXaggItem 4 2 2" xfId="6215" xr:uid="{947DAC65-C52C-472A-AC1C-F5E180DEDC40}"/>
    <cellStyle name="SAPBEXaggItem 4 2 2 2" xfId="6216" xr:uid="{A0D33404-AAF5-490D-91DC-DAE65D1BAE28}"/>
    <cellStyle name="SAPBEXaggItem 4 2 3" xfId="6217" xr:uid="{BA4C7F46-911A-456B-84B9-04AF51745550}"/>
    <cellStyle name="SAPBEXaggItem 4 2 3 2" xfId="6218" xr:uid="{6C3AFE79-1FF5-477D-B6D3-09310614F26F}"/>
    <cellStyle name="SAPBEXaggItem 4 2 4" xfId="6219" xr:uid="{2501445B-A421-42C9-8BF3-28BF415AC909}"/>
    <cellStyle name="SAPBEXaggItem 4 2 4 2" xfId="6220" xr:uid="{9154A395-DD1F-4D9A-9D65-045120EEB22D}"/>
    <cellStyle name="SAPBEXaggItem 4 2 5" xfId="6221" xr:uid="{F4B0D70D-841B-4B96-BED5-C765C601C4C0}"/>
    <cellStyle name="SAPBEXaggItem 4 2 5 2" xfId="6222" xr:uid="{C134B09A-B647-4D39-8ACB-7FF4392A1F36}"/>
    <cellStyle name="SAPBEXaggItem 4 2 6" xfId="6223" xr:uid="{4FC7BAE4-A2CB-4A1B-87D3-866C4D949D4C}"/>
    <cellStyle name="SAPBEXaggItem 4 2 6 2" xfId="6224" xr:uid="{FDEF6997-BF93-45B7-8E77-8B9A62918AD7}"/>
    <cellStyle name="SAPBEXaggItem 4 2 7" xfId="6225" xr:uid="{4BB0EDB8-2CFA-4EEA-B165-EF3DA451AE48}"/>
    <cellStyle name="SAPBEXaggItem 4 2 7 2" xfId="6226" xr:uid="{5C109EB9-340F-43F8-A64D-C421BD89D383}"/>
    <cellStyle name="SAPBEXaggItem 4 2 8" xfId="6227" xr:uid="{1C735B2A-B550-4E43-A71C-7E6A59D190F0}"/>
    <cellStyle name="SAPBEXaggItem 4 2 8 2" xfId="6228" xr:uid="{A70C315D-EE2C-4C26-9A57-C7B3E99178B9}"/>
    <cellStyle name="SAPBEXaggItem 4 2 9" xfId="6229" xr:uid="{D81E3755-EAEB-4B9F-B29F-4ABA68A5FA01}"/>
    <cellStyle name="SAPBEXaggItem 4 2 9 2" xfId="6230" xr:uid="{C1271362-38D4-463F-982F-88ACACB865CA}"/>
    <cellStyle name="SAPBEXaggItem 4 3" xfId="6231" xr:uid="{5BCC2ABD-8F65-49BF-9E50-0BA45202147C}"/>
    <cellStyle name="SAPBEXaggItem 4 3 10" xfId="6232" xr:uid="{7644248F-6F49-48EA-BCB7-5A3D1076EE51}"/>
    <cellStyle name="SAPBEXaggItem 4 3 10 2" xfId="6233" xr:uid="{C6208E74-C3AA-478A-8FA8-2D0CCF5CB194}"/>
    <cellStyle name="SAPBEXaggItem 4 3 11" xfId="6234" xr:uid="{D2615003-E9D5-44F3-ABEA-03A979F44991}"/>
    <cellStyle name="SAPBEXaggItem 4 3 11 2" xfId="6235" xr:uid="{BE4843B2-DC7A-4378-AFA2-171D9F3AA9DA}"/>
    <cellStyle name="SAPBEXaggItem 4 3 12" xfId="6236" xr:uid="{4E786BAB-22EE-418D-B1F5-7286FEF76E9D}"/>
    <cellStyle name="SAPBEXaggItem 4 3 12 2" xfId="6237" xr:uid="{4EF6B9B4-0018-43A9-AFC0-35851FE0E301}"/>
    <cellStyle name="SAPBEXaggItem 4 3 13" xfId="6238" xr:uid="{11331F2B-9342-48B8-9BDD-FA6DC81A2F3D}"/>
    <cellStyle name="SAPBEXaggItem 4 3 13 2" xfId="6239" xr:uid="{075F900D-300C-4401-95C5-BD063057E3DA}"/>
    <cellStyle name="SAPBEXaggItem 4 3 14" xfId="6240" xr:uid="{48AB860B-3861-4CCD-A745-FCFA1ED8DBEE}"/>
    <cellStyle name="SAPBEXaggItem 4 3 14 2" xfId="6241" xr:uid="{048C4991-D9F8-4E48-8EB1-BDFFD2D97E52}"/>
    <cellStyle name="SAPBEXaggItem 4 3 15" xfId="6242" xr:uid="{7FB6EC2D-781C-40CE-941B-DDA01E3B95A5}"/>
    <cellStyle name="SAPBEXaggItem 4 3 15 2" xfId="6243" xr:uid="{E1D9A643-BC67-4FE7-965D-F874BC553CBE}"/>
    <cellStyle name="SAPBEXaggItem 4 3 16" xfId="6244" xr:uid="{A8F187D9-407E-4FC8-9FB5-02B2A69C319C}"/>
    <cellStyle name="SAPBEXaggItem 4 3 2" xfId="6245" xr:uid="{6DF7675E-49AD-4743-A53F-A9C6D2BA2FE5}"/>
    <cellStyle name="SAPBEXaggItem 4 3 2 2" xfId="6246" xr:uid="{B6BF5463-2CD2-47A1-A437-AF24B167B78A}"/>
    <cellStyle name="SAPBEXaggItem 4 3 3" xfId="6247" xr:uid="{6108919E-2939-467B-A162-B32CE13529A2}"/>
    <cellStyle name="SAPBEXaggItem 4 3 3 2" xfId="6248" xr:uid="{AD7DB9DE-1407-4D4A-983F-4EFA041C1ABC}"/>
    <cellStyle name="SAPBEXaggItem 4 3 4" xfId="6249" xr:uid="{65A8B185-49BD-4082-9F54-6648BE3EA71C}"/>
    <cellStyle name="SAPBEXaggItem 4 3 4 2" xfId="6250" xr:uid="{0E781938-C7BE-4E85-8003-6FFC47F29DE0}"/>
    <cellStyle name="SAPBEXaggItem 4 3 5" xfId="6251" xr:uid="{40FED5DE-EC75-48D8-BDCF-58E403F308DB}"/>
    <cellStyle name="SAPBEXaggItem 4 3 5 2" xfId="6252" xr:uid="{3E549AC6-1D5B-4D5F-A063-68C11E17F596}"/>
    <cellStyle name="SAPBEXaggItem 4 3 6" xfId="6253" xr:uid="{34EA0754-3867-4903-9D2D-E5FAD3D3CF31}"/>
    <cellStyle name="SAPBEXaggItem 4 3 6 2" xfId="6254" xr:uid="{85FFCD59-FB78-4109-8FC5-48AE7A0BB2FB}"/>
    <cellStyle name="SAPBEXaggItem 4 3 7" xfId="6255" xr:uid="{94105893-CF6E-471A-8D8D-B3970FDEBE39}"/>
    <cellStyle name="SAPBEXaggItem 4 3 7 2" xfId="6256" xr:uid="{3CA797D4-ED8F-4E8C-AA2D-E55DFE251D62}"/>
    <cellStyle name="SAPBEXaggItem 4 3 8" xfId="6257" xr:uid="{DE11D9F0-1F5F-472A-A114-6117998CD9B9}"/>
    <cellStyle name="SAPBEXaggItem 4 3 8 2" xfId="6258" xr:uid="{CF159613-EEEB-4EA8-8CCF-7DB89E148BA0}"/>
    <cellStyle name="SAPBEXaggItem 4 3 9" xfId="6259" xr:uid="{B8C4C223-0192-4920-BE10-8E229D24CFF3}"/>
    <cellStyle name="SAPBEXaggItem 4 3 9 2" xfId="6260" xr:uid="{3015DA83-DE7C-445F-A1D8-AFA2649EA05A}"/>
    <cellStyle name="SAPBEXaggItem 4 4" xfId="6261" xr:uid="{95D6291E-DC13-447B-B2BD-45D8AD27C481}"/>
    <cellStyle name="SAPBEXaggItem 4 4 2" xfId="6262" xr:uid="{B940DA1E-313F-4F57-9F22-DD844878DB74}"/>
    <cellStyle name="SAPBEXaggItem 4 5" xfId="6263" xr:uid="{969E811B-F469-4369-9AA0-E515AFF7FBEA}"/>
    <cellStyle name="SAPBEXaggItem 4 5 2" xfId="6264" xr:uid="{73719E6A-B079-4655-A8A3-D5EBD6F34896}"/>
    <cellStyle name="SAPBEXaggItem 4 6" xfId="6265" xr:uid="{52A25FE8-8D19-413A-A51E-C9DF1A13457A}"/>
    <cellStyle name="SAPBEXaggItem 4 6 2" xfId="6266" xr:uid="{FD411995-5721-4C2D-9206-9836E710C47A}"/>
    <cellStyle name="SAPBEXaggItem 4 7" xfId="6267" xr:uid="{1E117D68-24D2-4561-B438-6BC79E82A867}"/>
    <cellStyle name="SAPBEXaggItem 4 7 2" xfId="6268" xr:uid="{EF50C2DB-99D6-45B1-94AB-58DE7642ED0D}"/>
    <cellStyle name="SAPBEXaggItem 4 8" xfId="6269" xr:uid="{08D8DA9F-8710-410A-9D94-960A2DAAACBA}"/>
    <cellStyle name="SAPBEXaggItem 4 8 2" xfId="6270" xr:uid="{15520532-18C1-4E1F-8AD1-76D4855C45BC}"/>
    <cellStyle name="SAPBEXaggItem 4 9" xfId="6271" xr:uid="{04D4D4EF-E69D-4E7C-8E61-9DE88942E5B4}"/>
    <cellStyle name="SAPBEXaggItem 4 9 2" xfId="6272" xr:uid="{3D2BECC7-124B-4555-B8EB-417F80DD785A}"/>
    <cellStyle name="SAPBEXaggItem 5" xfId="6273" xr:uid="{E1700575-5485-4A25-9959-4F944BC95836}"/>
    <cellStyle name="SAPBEXaggItem 5 10" xfId="6274" xr:uid="{D9E30ECB-7A38-4475-8A19-8591F5D3DB20}"/>
    <cellStyle name="SAPBEXaggItem 5 10 2" xfId="6275" xr:uid="{0C544441-56B0-4D06-BB95-376CE8B6B9E8}"/>
    <cellStyle name="SAPBEXaggItem 5 11" xfId="6276" xr:uid="{3158F78F-18A3-4E6E-9A98-67578795E768}"/>
    <cellStyle name="SAPBEXaggItem 5 11 2" xfId="6277" xr:uid="{0520BC0D-090C-4BE9-A95F-22ECE0551D61}"/>
    <cellStyle name="SAPBEXaggItem 5 12" xfId="6278" xr:uid="{B3C556EE-FF5F-40A5-B5F1-3E17000D900D}"/>
    <cellStyle name="SAPBEXaggItem 5 12 2" xfId="6279" xr:uid="{D0413CA3-DDB2-473E-A231-D1490E2CC1FD}"/>
    <cellStyle name="SAPBEXaggItem 5 13" xfId="6280" xr:uid="{B2CA992E-F786-4273-8557-1F9D0CFD38D4}"/>
    <cellStyle name="SAPBEXaggItem 5 13 2" xfId="6281" xr:uid="{2446E92C-FE1D-41BC-8905-B65545C21010}"/>
    <cellStyle name="SAPBEXaggItem 5 14" xfId="6282" xr:uid="{154F1AEE-28B1-49C5-B0E4-5AE5324DEAAF}"/>
    <cellStyle name="SAPBEXaggItem 5 14 2" xfId="6283" xr:uid="{C14F6FE5-626F-4CB6-A6F9-1809B4DFB818}"/>
    <cellStyle name="SAPBEXaggItem 5 15" xfId="6284" xr:uid="{43CB6FE6-D98D-4DF8-8CA7-A15C064B8197}"/>
    <cellStyle name="SAPBEXaggItem 5 15 2" xfId="6285" xr:uid="{CA229C0D-BDC6-4AE8-A04F-D7534DF17F75}"/>
    <cellStyle name="SAPBEXaggItem 5 16" xfId="6286" xr:uid="{C6AAA1AC-23F7-40C3-A3E6-7C35A3FDFA21}"/>
    <cellStyle name="SAPBEXaggItem 5 2" xfId="6287" xr:uid="{501C04F5-CEBA-4473-A516-996CE5E2AF2C}"/>
    <cellStyle name="SAPBEXaggItem 5 2 2" xfId="6288" xr:uid="{00492873-215A-449B-9203-4CCBDEF3F066}"/>
    <cellStyle name="SAPBEXaggItem 5 3" xfId="6289" xr:uid="{BE28D7B7-E79A-4940-B7A8-BCAE4EECC22C}"/>
    <cellStyle name="SAPBEXaggItem 5 3 2" xfId="6290" xr:uid="{1F3A3DCD-5E41-4F3F-ABF3-48D614E381B1}"/>
    <cellStyle name="SAPBEXaggItem 5 4" xfId="6291" xr:uid="{B0233053-DDC8-4B99-8F01-2363BE4D894E}"/>
    <cellStyle name="SAPBEXaggItem 5 4 2" xfId="6292" xr:uid="{50ED409A-4779-4554-8B75-8F5B537060A1}"/>
    <cellStyle name="SAPBEXaggItem 5 5" xfId="6293" xr:uid="{A93D67D1-E4EF-477A-A0CF-9E9875CB473E}"/>
    <cellStyle name="SAPBEXaggItem 5 5 2" xfId="6294" xr:uid="{A9096907-7D0C-404F-ADBA-E57A194D21E7}"/>
    <cellStyle name="SAPBEXaggItem 5 6" xfId="6295" xr:uid="{8FC711A5-1E86-4D7C-925A-ED7C72E1ED6B}"/>
    <cellStyle name="SAPBEXaggItem 5 6 2" xfId="6296" xr:uid="{1FCDDB79-1A87-4968-8FC6-67D768822EED}"/>
    <cellStyle name="SAPBEXaggItem 5 7" xfId="6297" xr:uid="{140EB142-FAAF-4561-A333-95916627DE92}"/>
    <cellStyle name="SAPBEXaggItem 5 7 2" xfId="6298" xr:uid="{1492F7BD-D1FB-436B-B254-8233136AEEFF}"/>
    <cellStyle name="SAPBEXaggItem 5 8" xfId="6299" xr:uid="{85239A34-D818-48A6-A6BB-4D5B47D44C3D}"/>
    <cellStyle name="SAPBEXaggItem 5 8 2" xfId="6300" xr:uid="{F11BF966-B147-44A2-AD85-C90BBC7FDCAB}"/>
    <cellStyle name="SAPBEXaggItem 5 9" xfId="6301" xr:uid="{0097BEE3-A9B5-49AD-A5B9-F96A0B96B78F}"/>
    <cellStyle name="SAPBEXaggItem 5 9 2" xfId="6302" xr:uid="{A34B519C-425A-4672-A724-0318606E75F0}"/>
    <cellStyle name="SAPBEXaggItem 6" xfId="6303" xr:uid="{EF860D90-E77A-4E31-AC9E-A7E12AF810C9}"/>
    <cellStyle name="SAPBEXaggItem 6 2" xfId="6304" xr:uid="{BDBFD4A5-6185-4496-AF53-10335438234C}"/>
    <cellStyle name="SAPBEXaggItem 7" xfId="6305" xr:uid="{A2AB5E94-0DF1-415A-B99E-F89AE71C3830}"/>
    <cellStyle name="SAPBEXaggItem 7 2" xfId="6306" xr:uid="{CA53C386-4903-4D3A-A456-192326D2AC18}"/>
    <cellStyle name="SAPBEXaggItem 8" xfId="6307" xr:uid="{88FE4A6F-CFAF-47A5-8C79-1C3F9A4DDBEE}"/>
    <cellStyle name="SAPBEXaggItem 8 2" xfId="6308" xr:uid="{ABF5C5DB-31FF-4A54-960F-2E0F5A81A6F5}"/>
    <cellStyle name="SAPBEXaggItem 9" xfId="6309" xr:uid="{7031F885-700E-4AA8-97B7-188AD4E26FF7}"/>
    <cellStyle name="SAPBEXaggItem 9 2" xfId="6310" xr:uid="{97C233E9-7AFF-4649-90DB-12840D14B31D}"/>
    <cellStyle name="SAPBEXaggItem_T1 ANSP" xfId="5781" xr:uid="{CABF4A71-2E85-48BD-BAF3-880676DD4419}"/>
    <cellStyle name="SAPBEXaggItemX" xfId="729" xr:uid="{00000000-0005-0000-0000-00005A050000}"/>
    <cellStyle name="SAPBEXaggItemX 10" xfId="6312" xr:uid="{2B253DAE-32C6-4486-956C-DF480DAA4129}"/>
    <cellStyle name="SAPBEXaggItemX 10 2" xfId="6313" xr:uid="{14A5344F-77F5-4597-A7AB-BD244ECB4BD2}"/>
    <cellStyle name="SAPBEXaggItemX 11" xfId="6314" xr:uid="{BC5DA1FD-53A8-4838-8620-6D7054E0A76E}"/>
    <cellStyle name="SAPBEXaggItemX 11 2" xfId="6315" xr:uid="{A7D3E0EF-6D24-4772-A190-4484BF61DED3}"/>
    <cellStyle name="SAPBEXaggItemX 12" xfId="6316" xr:uid="{E6DE54D5-6C6C-4498-8947-2CAB83C7DD03}"/>
    <cellStyle name="SAPBEXaggItemX 12 2" xfId="6317" xr:uid="{DA0DAEEF-00C9-4800-9B24-37217C5523F6}"/>
    <cellStyle name="SAPBEXaggItemX 13" xfId="6318" xr:uid="{5894B303-0C4A-42CC-8908-8F0681EC9C39}"/>
    <cellStyle name="SAPBEXaggItemX 13 2" xfId="6319" xr:uid="{1EB8B39D-D6C6-40BB-8A24-D4F4E361AF24}"/>
    <cellStyle name="SAPBEXaggItemX 14" xfId="6320" xr:uid="{96EE6C43-2C57-4739-B179-924C33A6491A}"/>
    <cellStyle name="SAPBEXaggItemX 14 2" xfId="6321" xr:uid="{FCDAF352-397C-4627-BB7D-EA7DCA627203}"/>
    <cellStyle name="SAPBEXaggItemX 15" xfId="6322" xr:uid="{066682B0-F0EB-4EC3-AEBA-01BF66154F4C}"/>
    <cellStyle name="SAPBEXaggItemX 15 2" xfId="6323" xr:uid="{BA7E9F14-7E10-418C-B712-B40F2F43E56E}"/>
    <cellStyle name="SAPBEXaggItemX 16" xfId="6324" xr:uid="{926D56DB-2C8B-4E54-B0A3-7986AEF09716}"/>
    <cellStyle name="SAPBEXaggItemX 16 2" xfId="6325" xr:uid="{858AD69C-ECB2-4FF3-AA17-946BCE364AC5}"/>
    <cellStyle name="SAPBEXaggItemX 17" xfId="6326" xr:uid="{E0D8B821-A584-4A69-BE25-E8F53D290377}"/>
    <cellStyle name="SAPBEXaggItemX 17 2" xfId="6327" xr:uid="{A6CCBE36-3408-4A7E-BDD2-A4860D299B9E}"/>
    <cellStyle name="SAPBEXaggItemX 18" xfId="6328" xr:uid="{6C9C46CA-2073-466F-B7C7-14F679F8AB9D}"/>
    <cellStyle name="SAPBEXaggItemX 18 2" xfId="6329" xr:uid="{7EDB8F83-34F7-41B0-845A-6583AECE2986}"/>
    <cellStyle name="SAPBEXaggItemX 19" xfId="6330" xr:uid="{773E5918-F404-4B61-8C4E-FCAB286C7AA4}"/>
    <cellStyle name="SAPBEXaggItemX 19 2" xfId="6331" xr:uid="{852FABAD-9073-4032-8A93-A476B57FFB27}"/>
    <cellStyle name="SAPBEXaggItemX 2" xfId="1544" xr:uid="{00000000-0005-0000-0000-00005B050000}"/>
    <cellStyle name="SAPBEXaggItemX 2 10" xfId="6333" xr:uid="{60E356B5-C428-46F1-9269-A8E08E39F137}"/>
    <cellStyle name="SAPBEXaggItemX 2 10 2" xfId="6334" xr:uid="{B802A7D1-774F-4473-8BE5-3CF6252AB5B1}"/>
    <cellStyle name="SAPBEXaggItemX 2 11" xfId="6335" xr:uid="{EF03E253-9273-4602-A8B5-9739B72735FD}"/>
    <cellStyle name="SAPBEXaggItemX 2 11 2" xfId="6336" xr:uid="{4B7CB544-365C-44D9-B700-9E6B1B8F2B28}"/>
    <cellStyle name="SAPBEXaggItemX 2 12" xfId="6337" xr:uid="{51B179F7-0E7A-4492-A4A6-C9C788311088}"/>
    <cellStyle name="SAPBEXaggItemX 2 12 2" xfId="6338" xr:uid="{3402D3D1-1641-4760-9EED-F5811C222EC5}"/>
    <cellStyle name="SAPBEXaggItemX 2 13" xfId="6339" xr:uid="{63F77F75-5C01-40EA-AA80-CB8D7C0068E2}"/>
    <cellStyle name="SAPBEXaggItemX 2 13 2" xfId="6340" xr:uid="{FE38B0B4-4F7C-4C3C-98D9-2A62F6AE9D18}"/>
    <cellStyle name="SAPBEXaggItemX 2 14" xfId="6341" xr:uid="{8B5109DC-684E-495A-80B5-CE42F4F58DF4}"/>
    <cellStyle name="SAPBEXaggItemX 2 14 2" xfId="6342" xr:uid="{C44F7FC5-0566-444B-9551-535BF6FEA9EB}"/>
    <cellStyle name="SAPBEXaggItemX 2 15" xfId="6343" xr:uid="{CB6CE3B7-DB3D-468D-BB22-71EE235623F2}"/>
    <cellStyle name="SAPBEXaggItemX 2 15 2" xfId="6344" xr:uid="{AB6D3B9E-1EEF-4E3D-8A2D-6D94BAD608A7}"/>
    <cellStyle name="SAPBEXaggItemX 2 16" xfId="6345" xr:uid="{5B4A560A-1F15-4630-AF48-E126AEF3C039}"/>
    <cellStyle name="SAPBEXaggItemX 2 16 2" xfId="6346" xr:uid="{41FD2C18-A207-47D4-A980-83D7DA3DDDC1}"/>
    <cellStyle name="SAPBEXaggItemX 2 17" xfId="6347" xr:uid="{F7DD19EE-9D9C-4EEF-A37A-31301269B2FC}"/>
    <cellStyle name="SAPBEXaggItemX 2 17 2" xfId="6348" xr:uid="{D876261E-12BC-4686-BA37-E394A5D1D69D}"/>
    <cellStyle name="SAPBEXaggItemX 2 18" xfId="6349" xr:uid="{C7D41725-1682-4CAC-B3B0-08D7BCE62759}"/>
    <cellStyle name="SAPBEXaggItemX 2 2" xfId="6350" xr:uid="{EC31648A-9229-4171-8559-1C4845B58E9E}"/>
    <cellStyle name="SAPBEXaggItemX 2 2 10" xfId="6351" xr:uid="{5A8CE7BF-954D-4504-8B85-CE0BFFD389FE}"/>
    <cellStyle name="SAPBEXaggItemX 2 2 10 2" xfId="6352" xr:uid="{D05BB2FD-6182-4D89-AE54-D17CBE0A7F1E}"/>
    <cellStyle name="SAPBEXaggItemX 2 2 11" xfId="6353" xr:uid="{53F1E7D4-E524-42D5-8DEF-8E6CE0B1DB95}"/>
    <cellStyle name="SAPBEXaggItemX 2 2 11 2" xfId="6354" xr:uid="{98F5CE44-A37D-4999-9BAD-02E8A76DA93A}"/>
    <cellStyle name="SAPBEXaggItemX 2 2 12" xfId="6355" xr:uid="{3D8841BA-A6C3-437A-84FC-E1579BD9D96A}"/>
    <cellStyle name="SAPBEXaggItemX 2 2 12 2" xfId="6356" xr:uid="{6335C201-B710-4C0A-9BA3-522D99C33C2F}"/>
    <cellStyle name="SAPBEXaggItemX 2 2 13" xfId="6357" xr:uid="{E475016D-A2BC-49D0-A6D0-878D8E20D6F6}"/>
    <cellStyle name="SAPBEXaggItemX 2 2 13 2" xfId="6358" xr:uid="{69DF17C9-4D9C-4CAD-9436-B573A63321B0}"/>
    <cellStyle name="SAPBEXaggItemX 2 2 14" xfId="6359" xr:uid="{DC095217-96F4-41CC-AED0-AFC33A367C5A}"/>
    <cellStyle name="SAPBEXaggItemX 2 2 14 2" xfId="6360" xr:uid="{50BCE762-2A0F-4394-B568-EF3574E9CBC1}"/>
    <cellStyle name="SAPBEXaggItemX 2 2 15" xfId="6361" xr:uid="{8E65847C-597E-4379-95CB-627703CDE131}"/>
    <cellStyle name="SAPBEXaggItemX 2 2 15 2" xfId="6362" xr:uid="{655A6DDE-4531-4CE8-AB21-0334B230DEF0}"/>
    <cellStyle name="SAPBEXaggItemX 2 2 16" xfId="6363" xr:uid="{5816A353-DAD8-4CBA-9367-3542BD3A9E1B}"/>
    <cellStyle name="SAPBEXaggItemX 2 2 16 2" xfId="6364" xr:uid="{17AC87DB-158D-4493-8BFE-B7A89973C439}"/>
    <cellStyle name="SAPBEXaggItemX 2 2 17" xfId="6365" xr:uid="{C3141FFD-813D-458C-81CA-3FB55B1B430F}"/>
    <cellStyle name="SAPBEXaggItemX 2 2 17 2" xfId="6366" xr:uid="{683B5DF7-EFA1-4ECE-A180-B24A2174298C}"/>
    <cellStyle name="SAPBEXaggItemX 2 2 18" xfId="6367" xr:uid="{A6EBEE98-6B84-49F4-B3E8-B9A71A151948}"/>
    <cellStyle name="SAPBEXaggItemX 2 2 2" xfId="6368" xr:uid="{72383FCB-CBDB-4F24-AEF7-2F1714517D08}"/>
    <cellStyle name="SAPBEXaggItemX 2 2 2 10" xfId="6369" xr:uid="{B560440C-6CD0-4CA8-8295-EECAC7DB013A}"/>
    <cellStyle name="SAPBEXaggItemX 2 2 2 10 2" xfId="6370" xr:uid="{A2402FC6-85C8-4E0E-963E-12696F9922DB}"/>
    <cellStyle name="SAPBEXaggItemX 2 2 2 11" xfId="6371" xr:uid="{0668FA10-4BC9-44EB-95B2-89209705C5F3}"/>
    <cellStyle name="SAPBEXaggItemX 2 2 2 11 2" xfId="6372" xr:uid="{DA7FB93D-795F-46BC-8EB0-28F2EBDFC74D}"/>
    <cellStyle name="SAPBEXaggItemX 2 2 2 12" xfId="6373" xr:uid="{977E0860-B5F3-4442-88AD-FB56D2658C82}"/>
    <cellStyle name="SAPBEXaggItemX 2 2 2 12 2" xfId="6374" xr:uid="{2829853A-0D2E-44B6-821F-90C5D3746A66}"/>
    <cellStyle name="SAPBEXaggItemX 2 2 2 13" xfId="6375" xr:uid="{965F5924-CBA6-4391-82BF-312712F93FDA}"/>
    <cellStyle name="SAPBEXaggItemX 2 2 2 13 2" xfId="6376" xr:uid="{5E86AF3F-B49B-4EAD-8497-15724FE99A8E}"/>
    <cellStyle name="SAPBEXaggItemX 2 2 2 14" xfId="6377" xr:uid="{36627F14-29CB-423C-BF2E-BC60AA4D557E}"/>
    <cellStyle name="SAPBEXaggItemX 2 2 2 14 2" xfId="6378" xr:uid="{A52BCEA4-0A38-4892-AEB9-BBA4345A6BFD}"/>
    <cellStyle name="SAPBEXaggItemX 2 2 2 15" xfId="6379" xr:uid="{7AFC0E02-6DBC-45BE-90EC-1808E19A72A7}"/>
    <cellStyle name="SAPBEXaggItemX 2 2 2 15 2" xfId="6380" xr:uid="{88D38A3C-9E02-48A6-9029-FEA54F666A26}"/>
    <cellStyle name="SAPBEXaggItemX 2 2 2 16" xfId="6381" xr:uid="{6A1FD941-DBAD-4B8D-900B-3EBC4A043827}"/>
    <cellStyle name="SAPBEXaggItemX 2 2 2 2" xfId="6382" xr:uid="{B51C495F-9797-4300-99F7-6D68D32B424E}"/>
    <cellStyle name="SAPBEXaggItemX 2 2 2 2 2" xfId="6383" xr:uid="{9131DC29-96A2-4A5A-B6CD-7374DED4A97C}"/>
    <cellStyle name="SAPBEXaggItemX 2 2 2 3" xfId="6384" xr:uid="{FF02D6BA-8A88-4F2D-A98F-C8CBFE3CFB5B}"/>
    <cellStyle name="SAPBEXaggItemX 2 2 2 3 2" xfId="6385" xr:uid="{1036A7D4-7B7F-4C8B-BD9C-BCAB00D68DFC}"/>
    <cellStyle name="SAPBEXaggItemX 2 2 2 4" xfId="6386" xr:uid="{9C864088-88A3-4253-9B26-AF8DC447D75E}"/>
    <cellStyle name="SAPBEXaggItemX 2 2 2 4 2" xfId="6387" xr:uid="{3A7CCE3F-DDE5-44A6-BF3D-FF1B698A3CB6}"/>
    <cellStyle name="SAPBEXaggItemX 2 2 2 5" xfId="6388" xr:uid="{44E4AF6A-9259-4721-8FED-5383B31724D4}"/>
    <cellStyle name="SAPBEXaggItemX 2 2 2 5 2" xfId="6389" xr:uid="{B1F9E769-E456-4E9D-9F61-D61DB7802FFD}"/>
    <cellStyle name="SAPBEXaggItemX 2 2 2 6" xfId="6390" xr:uid="{AD4CD9AB-FDD1-4A06-BE1A-8AD388827387}"/>
    <cellStyle name="SAPBEXaggItemX 2 2 2 6 2" xfId="6391" xr:uid="{2F1B914D-0003-45CB-BC7C-3C38B7CBCA71}"/>
    <cellStyle name="SAPBEXaggItemX 2 2 2 7" xfId="6392" xr:uid="{9F70485A-4646-4735-8E3C-BBD5740B620B}"/>
    <cellStyle name="SAPBEXaggItemX 2 2 2 7 2" xfId="6393" xr:uid="{0C25CBED-5655-4F19-81F3-643B10081973}"/>
    <cellStyle name="SAPBEXaggItemX 2 2 2 8" xfId="6394" xr:uid="{79D6749E-EDB0-438D-B459-CCC7B629BD30}"/>
    <cellStyle name="SAPBEXaggItemX 2 2 2 8 2" xfId="6395" xr:uid="{C9F06076-29CA-463D-8EC0-AF578AB6E315}"/>
    <cellStyle name="SAPBEXaggItemX 2 2 2 9" xfId="6396" xr:uid="{0AF18AC8-43AE-4520-A6E4-35369E968132}"/>
    <cellStyle name="SAPBEXaggItemX 2 2 2 9 2" xfId="6397" xr:uid="{FCC3EBDE-7110-4FE3-96AD-A040D1298BEA}"/>
    <cellStyle name="SAPBEXaggItemX 2 2 3" xfId="6398" xr:uid="{8F3822EB-4EDA-48F5-842C-103B73F88FD4}"/>
    <cellStyle name="SAPBEXaggItemX 2 2 3 10" xfId="6399" xr:uid="{768CD352-022D-4186-AE9C-2B96FF10B51F}"/>
    <cellStyle name="SAPBEXaggItemX 2 2 3 10 2" xfId="6400" xr:uid="{E4C4CD56-D177-4F36-9FDA-BD28B46D3B88}"/>
    <cellStyle name="SAPBEXaggItemX 2 2 3 11" xfId="6401" xr:uid="{86FF2EE6-F7E5-47FE-A6B7-21C60035C6C6}"/>
    <cellStyle name="SAPBEXaggItemX 2 2 3 11 2" xfId="6402" xr:uid="{7214B549-F9B6-4DAF-A9D3-49CA61C587A3}"/>
    <cellStyle name="SAPBEXaggItemX 2 2 3 12" xfId="6403" xr:uid="{7E77446B-6862-4C95-AB8B-1231B827595E}"/>
    <cellStyle name="SAPBEXaggItemX 2 2 3 12 2" xfId="6404" xr:uid="{CC7419CA-76B8-4A09-94B5-7EE40B929541}"/>
    <cellStyle name="SAPBEXaggItemX 2 2 3 13" xfId="6405" xr:uid="{D0EA3F3B-D1D7-4EC9-A7B2-02B6175A0709}"/>
    <cellStyle name="SAPBEXaggItemX 2 2 3 13 2" xfId="6406" xr:uid="{BAA7FA71-81E3-4293-B175-858B080CC8DC}"/>
    <cellStyle name="SAPBEXaggItemX 2 2 3 14" xfId="6407" xr:uid="{7667CC91-D597-4B51-9CE3-DFC039C9EB29}"/>
    <cellStyle name="SAPBEXaggItemX 2 2 3 14 2" xfId="6408" xr:uid="{B142CB54-1CA7-45E1-A857-A16B44B03EF2}"/>
    <cellStyle name="SAPBEXaggItemX 2 2 3 15" xfId="6409" xr:uid="{E990F2A3-9065-48CF-BDED-39D098C5A849}"/>
    <cellStyle name="SAPBEXaggItemX 2 2 3 15 2" xfId="6410" xr:uid="{AABE7375-BEE7-47A1-B83B-7465A8FA2ED2}"/>
    <cellStyle name="SAPBEXaggItemX 2 2 3 16" xfId="6411" xr:uid="{E371FD19-831C-46A7-BC2A-59B81EB7FE25}"/>
    <cellStyle name="SAPBEXaggItemX 2 2 3 2" xfId="6412" xr:uid="{1D9E2FD1-F26E-40D5-A96B-A42787F4BF97}"/>
    <cellStyle name="SAPBEXaggItemX 2 2 3 2 2" xfId="6413" xr:uid="{D21E5CA9-E309-4087-A2FC-80386F044AE7}"/>
    <cellStyle name="SAPBEXaggItemX 2 2 3 3" xfId="6414" xr:uid="{893017FB-8FE3-4B81-8DC7-B2317554213B}"/>
    <cellStyle name="SAPBEXaggItemX 2 2 3 3 2" xfId="6415" xr:uid="{B561B583-CEDA-438E-B6B6-DABC955271D9}"/>
    <cellStyle name="SAPBEXaggItemX 2 2 3 4" xfId="6416" xr:uid="{C086AA4F-32C8-4D5E-973B-4E7AB2E9C4D3}"/>
    <cellStyle name="SAPBEXaggItemX 2 2 3 4 2" xfId="6417" xr:uid="{A83E3CDE-6355-4B41-BBE7-83CEFAD7BC67}"/>
    <cellStyle name="SAPBEXaggItemX 2 2 3 5" xfId="6418" xr:uid="{51311C76-1C6D-4026-A594-46A71118229C}"/>
    <cellStyle name="SAPBEXaggItemX 2 2 3 5 2" xfId="6419" xr:uid="{66A954D6-6F6B-4DCF-8BAE-DC195EDDFECA}"/>
    <cellStyle name="SAPBEXaggItemX 2 2 3 6" xfId="6420" xr:uid="{922DDA74-F1DA-4BC3-B3CA-80896B015783}"/>
    <cellStyle name="SAPBEXaggItemX 2 2 3 6 2" xfId="6421" xr:uid="{DF1E9A98-6DDB-4EC7-B967-AD9D977EA685}"/>
    <cellStyle name="SAPBEXaggItemX 2 2 3 7" xfId="6422" xr:uid="{337922FF-1517-4F7B-AFE9-40DC6573D8D2}"/>
    <cellStyle name="SAPBEXaggItemX 2 2 3 7 2" xfId="6423" xr:uid="{CE37D0BD-24EC-4882-8703-16413D393D93}"/>
    <cellStyle name="SAPBEXaggItemX 2 2 3 8" xfId="6424" xr:uid="{C6D99E01-D22A-4732-BA0E-8DA76F9D83CA}"/>
    <cellStyle name="SAPBEXaggItemX 2 2 3 8 2" xfId="6425" xr:uid="{1A441E5C-26E1-463F-9588-A2F1F7519D1E}"/>
    <cellStyle name="SAPBEXaggItemX 2 2 3 9" xfId="6426" xr:uid="{46CE2F26-8578-4851-A4BD-DB8979C0EBEB}"/>
    <cellStyle name="SAPBEXaggItemX 2 2 3 9 2" xfId="6427" xr:uid="{1E0E94BC-B68E-4422-AB52-BD246AE6B909}"/>
    <cellStyle name="SAPBEXaggItemX 2 2 4" xfId="6428" xr:uid="{D285179A-E140-4338-80CE-91B5946144F6}"/>
    <cellStyle name="SAPBEXaggItemX 2 2 4 2" xfId="6429" xr:uid="{8AF171E5-58C9-40EA-BACB-B625DF98CF60}"/>
    <cellStyle name="SAPBEXaggItemX 2 2 5" xfId="6430" xr:uid="{45E9CEB2-C286-4BC0-9F4B-A9F4D1005AF5}"/>
    <cellStyle name="SAPBEXaggItemX 2 2 5 2" xfId="6431" xr:uid="{05F3501A-2DAD-41F1-98FD-A79D7E9EBBB6}"/>
    <cellStyle name="SAPBEXaggItemX 2 2 6" xfId="6432" xr:uid="{D8AA4496-3C48-40F1-B16E-B9A7A00536EB}"/>
    <cellStyle name="SAPBEXaggItemX 2 2 6 2" xfId="6433" xr:uid="{22D1633C-F67B-4860-84DA-97AFC63EA606}"/>
    <cellStyle name="SAPBEXaggItemX 2 2 7" xfId="6434" xr:uid="{6B10301D-6B34-4483-BF12-969FE7584E99}"/>
    <cellStyle name="SAPBEXaggItemX 2 2 7 2" xfId="6435" xr:uid="{247F4511-DB1F-45EF-A94F-3FEB4A7B7BC1}"/>
    <cellStyle name="SAPBEXaggItemX 2 2 8" xfId="6436" xr:uid="{5710BF3A-D80A-450B-BA8F-E7F1D6E0C8CB}"/>
    <cellStyle name="SAPBEXaggItemX 2 2 8 2" xfId="6437" xr:uid="{D67D015B-24CA-4DE7-B452-8EBF6610D252}"/>
    <cellStyle name="SAPBEXaggItemX 2 2 9" xfId="6438" xr:uid="{F7A6B4D0-5F42-4BDD-8944-0E52D930A516}"/>
    <cellStyle name="SAPBEXaggItemX 2 2 9 2" xfId="6439" xr:uid="{37A961EA-2472-4DFD-94C0-6581A9DE319E}"/>
    <cellStyle name="SAPBEXaggItemX 2 3" xfId="6440" xr:uid="{D3BD4926-B60E-4332-B81D-B3B4D91489FE}"/>
    <cellStyle name="SAPBEXaggItemX 2 3 10" xfId="6441" xr:uid="{D7A66762-18D6-42FC-9C24-3FC94E0336CA}"/>
    <cellStyle name="SAPBEXaggItemX 2 3 10 2" xfId="6442" xr:uid="{B639D248-D35B-463E-828C-28EDED076C34}"/>
    <cellStyle name="SAPBEXaggItemX 2 3 11" xfId="6443" xr:uid="{8CB033C6-601E-436D-AE7B-67B3C474DEFE}"/>
    <cellStyle name="SAPBEXaggItemX 2 3 11 2" xfId="6444" xr:uid="{BB3D8C69-A038-4B93-8F54-F3CE334CF57B}"/>
    <cellStyle name="SAPBEXaggItemX 2 3 12" xfId="6445" xr:uid="{87BFBC4C-9516-4966-B888-A5F2AF71A7A6}"/>
    <cellStyle name="SAPBEXaggItemX 2 3 12 2" xfId="6446" xr:uid="{BD9D9382-82CF-4A1D-BB00-D840559975CC}"/>
    <cellStyle name="SAPBEXaggItemX 2 3 13" xfId="6447" xr:uid="{EE2AF74B-B10E-4B59-A021-095188146CF6}"/>
    <cellStyle name="SAPBEXaggItemX 2 3 13 2" xfId="6448" xr:uid="{D1C1EC6A-275C-49AB-8B48-14593742FD72}"/>
    <cellStyle name="SAPBEXaggItemX 2 3 14" xfId="6449" xr:uid="{25629ED4-DB74-4584-A095-6D08AF043803}"/>
    <cellStyle name="SAPBEXaggItemX 2 3 14 2" xfId="6450" xr:uid="{F81E9AD3-9E4F-4ECC-8042-DAEB0B2D2CC1}"/>
    <cellStyle name="SAPBEXaggItemX 2 3 15" xfId="6451" xr:uid="{C83E4812-D00E-40AD-BEF6-19543D91A26B}"/>
    <cellStyle name="SAPBEXaggItemX 2 3 15 2" xfId="6452" xr:uid="{5D7C8C36-AEFF-44FB-8621-F8D633D2C3BD}"/>
    <cellStyle name="SAPBEXaggItemX 2 3 16" xfId="6453" xr:uid="{DE98D9D3-98F1-4010-A204-17B5F7A07EAE}"/>
    <cellStyle name="SAPBEXaggItemX 2 3 16 2" xfId="6454" xr:uid="{C355BA46-8B0B-4A7D-83A0-0EA07EF26FA4}"/>
    <cellStyle name="SAPBEXaggItemX 2 3 17" xfId="6455" xr:uid="{282BCDF6-B181-49CB-8794-DF7682398DFC}"/>
    <cellStyle name="SAPBEXaggItemX 2 3 17 2" xfId="6456" xr:uid="{1E944DCA-2E6E-48DA-BA86-1B4B9B659A1E}"/>
    <cellStyle name="SAPBEXaggItemX 2 3 18" xfId="6457" xr:uid="{D76C1060-70BC-49B4-8165-464F27001CD4}"/>
    <cellStyle name="SAPBEXaggItemX 2 3 2" xfId="6458" xr:uid="{F33907A2-A418-457A-B426-EB5C7EE6F3B8}"/>
    <cellStyle name="SAPBEXaggItemX 2 3 2 10" xfId="6459" xr:uid="{116B3C0A-0718-4FE3-BD75-4A9C5D0A24E9}"/>
    <cellStyle name="SAPBEXaggItemX 2 3 2 10 2" xfId="6460" xr:uid="{351DE470-186A-4E25-91D2-EDF440A2A1D5}"/>
    <cellStyle name="SAPBEXaggItemX 2 3 2 11" xfId="6461" xr:uid="{4DD929AD-9F99-4D9D-8A4B-7623E6141568}"/>
    <cellStyle name="SAPBEXaggItemX 2 3 2 11 2" xfId="6462" xr:uid="{CD7828E9-08A1-4A2A-BEB4-395766A2A6A0}"/>
    <cellStyle name="SAPBEXaggItemX 2 3 2 12" xfId="6463" xr:uid="{068948A3-FA98-4A70-B1AB-568DA0F91D87}"/>
    <cellStyle name="SAPBEXaggItemX 2 3 2 12 2" xfId="6464" xr:uid="{7C3AE42E-5F2A-4D42-B9FC-BA04803103F8}"/>
    <cellStyle name="SAPBEXaggItemX 2 3 2 13" xfId="6465" xr:uid="{0361ECFD-D3A7-4A36-894E-A62CC9E21E76}"/>
    <cellStyle name="SAPBEXaggItemX 2 3 2 13 2" xfId="6466" xr:uid="{0B4DAD65-66D5-49D8-8372-3A42F08C8DD6}"/>
    <cellStyle name="SAPBEXaggItemX 2 3 2 14" xfId="6467" xr:uid="{C491C88E-8A3B-4DEF-AC55-CCCD8A28818A}"/>
    <cellStyle name="SAPBEXaggItemX 2 3 2 14 2" xfId="6468" xr:uid="{07072441-5617-401C-90A7-2D7098FD0574}"/>
    <cellStyle name="SAPBEXaggItemX 2 3 2 15" xfId="6469" xr:uid="{8828F38B-0422-4B2D-B412-3932302108BE}"/>
    <cellStyle name="SAPBEXaggItemX 2 3 2 15 2" xfId="6470" xr:uid="{2E00F80A-FF81-48BC-B866-54DF9742FA43}"/>
    <cellStyle name="SAPBEXaggItemX 2 3 2 16" xfId="6471" xr:uid="{2D9CCACE-5CD4-4CCA-96AC-ADA1210082ED}"/>
    <cellStyle name="SAPBEXaggItemX 2 3 2 2" xfId="6472" xr:uid="{468757CD-8CFC-4AA2-A396-0F742A91B0EA}"/>
    <cellStyle name="SAPBEXaggItemX 2 3 2 2 2" xfId="6473" xr:uid="{F0E3A0FC-DA42-46B6-A1E5-74013A24FBC8}"/>
    <cellStyle name="SAPBEXaggItemX 2 3 2 3" xfId="6474" xr:uid="{56B77257-2049-4C6B-B6B3-9076C012E629}"/>
    <cellStyle name="SAPBEXaggItemX 2 3 2 3 2" xfId="6475" xr:uid="{5C831548-7743-4EFF-A694-FAA8049006A4}"/>
    <cellStyle name="SAPBEXaggItemX 2 3 2 4" xfId="6476" xr:uid="{6DEADC22-8F79-4761-B469-1497C6618DC6}"/>
    <cellStyle name="SAPBEXaggItemX 2 3 2 4 2" xfId="6477" xr:uid="{3034271B-80A0-46AA-A537-7C784F89D9D8}"/>
    <cellStyle name="SAPBEXaggItemX 2 3 2 5" xfId="6478" xr:uid="{34C38B83-5BA2-4643-A698-D3896072BEF2}"/>
    <cellStyle name="SAPBEXaggItemX 2 3 2 5 2" xfId="6479" xr:uid="{E17F122D-AB1C-4676-B82E-941EB5B98496}"/>
    <cellStyle name="SAPBEXaggItemX 2 3 2 6" xfId="6480" xr:uid="{047F580D-0541-40DC-929F-1EC9F191434A}"/>
    <cellStyle name="SAPBEXaggItemX 2 3 2 6 2" xfId="6481" xr:uid="{938F1DC6-1691-4D62-AF7A-A3D68B51F542}"/>
    <cellStyle name="SAPBEXaggItemX 2 3 2 7" xfId="6482" xr:uid="{B9A0E6E3-9EEB-408E-9CF3-95CF5B826A07}"/>
    <cellStyle name="SAPBEXaggItemX 2 3 2 7 2" xfId="6483" xr:uid="{59A1371C-6A05-44D2-ADEE-80F808D96522}"/>
    <cellStyle name="SAPBEXaggItemX 2 3 2 8" xfId="6484" xr:uid="{7A48BE89-5FE9-4431-A0B4-53C67AA04DF4}"/>
    <cellStyle name="SAPBEXaggItemX 2 3 2 8 2" xfId="6485" xr:uid="{312EE428-5B97-4379-835A-CE682328126A}"/>
    <cellStyle name="SAPBEXaggItemX 2 3 2 9" xfId="6486" xr:uid="{ECF88BE5-3AC2-4609-859F-98B1EEB9F0B6}"/>
    <cellStyle name="SAPBEXaggItemX 2 3 2 9 2" xfId="6487" xr:uid="{CD9F32BD-380F-4680-A5C8-418E7E4670C3}"/>
    <cellStyle name="SAPBEXaggItemX 2 3 3" xfId="6488" xr:uid="{4F5D3B4F-0F73-4364-8DD8-892130D8C37C}"/>
    <cellStyle name="SAPBEXaggItemX 2 3 3 10" xfId="6489" xr:uid="{76610481-D54F-447C-BA9C-426E810A41D6}"/>
    <cellStyle name="SAPBEXaggItemX 2 3 3 10 2" xfId="6490" xr:uid="{7E0ADA47-DDAE-40F7-9A87-E441C8BE9E88}"/>
    <cellStyle name="SAPBEXaggItemX 2 3 3 11" xfId="6491" xr:uid="{8D2EC9B8-5D48-4D93-A564-3033C650DF74}"/>
    <cellStyle name="SAPBEXaggItemX 2 3 3 11 2" xfId="6492" xr:uid="{73B5F8D7-B590-467D-9295-7B68ECB5DBB4}"/>
    <cellStyle name="SAPBEXaggItemX 2 3 3 12" xfId="6493" xr:uid="{F9BCCEE1-ABB0-4561-B569-2F8FCC830FF8}"/>
    <cellStyle name="SAPBEXaggItemX 2 3 3 12 2" xfId="6494" xr:uid="{6E0AF3DE-3CF1-4C23-8995-0202284E24A2}"/>
    <cellStyle name="SAPBEXaggItemX 2 3 3 13" xfId="6495" xr:uid="{A779F543-24EF-4760-A859-CAC952F2A106}"/>
    <cellStyle name="SAPBEXaggItemX 2 3 3 13 2" xfId="6496" xr:uid="{031E6D10-E40F-403B-92FB-0897C32037C5}"/>
    <cellStyle name="SAPBEXaggItemX 2 3 3 14" xfId="6497" xr:uid="{005A12F6-E4E4-46F5-B99C-95B6AC20CC33}"/>
    <cellStyle name="SAPBEXaggItemX 2 3 3 14 2" xfId="6498" xr:uid="{9EFC7924-0AC9-4FE0-AFE5-C67960A146F4}"/>
    <cellStyle name="SAPBEXaggItemX 2 3 3 15" xfId="6499" xr:uid="{3E94B943-8F59-4BCD-A5C8-A32B63CC2610}"/>
    <cellStyle name="SAPBEXaggItemX 2 3 3 15 2" xfId="6500" xr:uid="{A849BFE2-872F-462B-970F-324D4BE3C9A8}"/>
    <cellStyle name="SAPBEXaggItemX 2 3 3 16" xfId="6501" xr:uid="{0E759EE2-5C5B-4C99-8D4D-7E6E427ACD70}"/>
    <cellStyle name="SAPBEXaggItemX 2 3 3 2" xfId="6502" xr:uid="{010CB7A4-5094-478C-BCC2-09F4D1005873}"/>
    <cellStyle name="SAPBEXaggItemX 2 3 3 2 2" xfId="6503" xr:uid="{23A31500-7C15-4D36-B904-62A5F94C6D3E}"/>
    <cellStyle name="SAPBEXaggItemX 2 3 3 3" xfId="6504" xr:uid="{39B15E35-E6B2-4B84-B6FC-5A95FE408329}"/>
    <cellStyle name="SAPBEXaggItemX 2 3 3 3 2" xfId="6505" xr:uid="{AE14DFE5-1604-4F9E-BABB-D92C7BBD4D80}"/>
    <cellStyle name="SAPBEXaggItemX 2 3 3 4" xfId="6506" xr:uid="{B7C59B6D-5938-4F49-8D35-6A83884F6E70}"/>
    <cellStyle name="SAPBEXaggItemX 2 3 3 4 2" xfId="6507" xr:uid="{2249F554-AC02-4C2B-8061-D3691F24207D}"/>
    <cellStyle name="SAPBEXaggItemX 2 3 3 5" xfId="6508" xr:uid="{803BF486-55DC-48DE-858E-DB3DF2F2981A}"/>
    <cellStyle name="SAPBEXaggItemX 2 3 3 5 2" xfId="6509" xr:uid="{1A2D0482-93ED-4BA3-9EC3-668458F7B743}"/>
    <cellStyle name="SAPBEXaggItemX 2 3 3 6" xfId="6510" xr:uid="{90FEA5E6-2295-4679-98AB-00E93D9931DA}"/>
    <cellStyle name="SAPBEXaggItemX 2 3 3 6 2" xfId="6511" xr:uid="{8115E5EB-D665-48D5-89C6-A8EDDA10C034}"/>
    <cellStyle name="SAPBEXaggItemX 2 3 3 7" xfId="6512" xr:uid="{F47C0ECF-1BE2-4636-85AE-05D47DC1DB4A}"/>
    <cellStyle name="SAPBEXaggItemX 2 3 3 7 2" xfId="6513" xr:uid="{3CE911DC-E2C4-4A5F-B543-C0CD6A74C4A7}"/>
    <cellStyle name="SAPBEXaggItemX 2 3 3 8" xfId="6514" xr:uid="{3865E963-460A-433B-8825-1507793823B5}"/>
    <cellStyle name="SAPBEXaggItemX 2 3 3 8 2" xfId="6515" xr:uid="{A068D1B0-DE22-492B-BA36-6162D01C546A}"/>
    <cellStyle name="SAPBEXaggItemX 2 3 3 9" xfId="6516" xr:uid="{6254DE6F-3B50-4B77-8466-3B9A1B3E5ED3}"/>
    <cellStyle name="SAPBEXaggItemX 2 3 3 9 2" xfId="6517" xr:uid="{5CABF0ED-0BF2-443B-A8E0-ACF2F6D84D7A}"/>
    <cellStyle name="SAPBEXaggItemX 2 3 4" xfId="6518" xr:uid="{05EFF687-7461-4F4A-A8FF-F0AB82725446}"/>
    <cellStyle name="SAPBEXaggItemX 2 3 4 2" xfId="6519" xr:uid="{123D6BE8-61D9-47F4-9CD6-D1AE2C305AE9}"/>
    <cellStyle name="SAPBEXaggItemX 2 3 5" xfId="6520" xr:uid="{293C372C-A1DB-4A91-8E51-7B2C0982232C}"/>
    <cellStyle name="SAPBEXaggItemX 2 3 5 2" xfId="6521" xr:uid="{5F34AB42-7DFF-406B-8B88-4FD03B6BB971}"/>
    <cellStyle name="SAPBEXaggItemX 2 3 6" xfId="6522" xr:uid="{72348777-DBEA-4C76-A8C2-7D1F661AC506}"/>
    <cellStyle name="SAPBEXaggItemX 2 3 6 2" xfId="6523" xr:uid="{E75CCAD4-A7BD-4B33-A361-7C76346AC491}"/>
    <cellStyle name="SAPBEXaggItemX 2 3 7" xfId="6524" xr:uid="{ECD4CED5-A304-4ECA-BBFE-1BC6F666817E}"/>
    <cellStyle name="SAPBEXaggItemX 2 3 7 2" xfId="6525" xr:uid="{96E45177-FB1C-4B11-8C07-89094AD575FE}"/>
    <cellStyle name="SAPBEXaggItemX 2 3 8" xfId="6526" xr:uid="{3101678E-5C03-4B4C-96AD-59AFDB20CBB1}"/>
    <cellStyle name="SAPBEXaggItemX 2 3 8 2" xfId="6527" xr:uid="{441C6E57-4BA1-4C34-AC44-8D7403BA85DB}"/>
    <cellStyle name="SAPBEXaggItemX 2 3 9" xfId="6528" xr:uid="{D2A6F5ED-00EE-48F9-BA26-EF7CE54BC0AD}"/>
    <cellStyle name="SAPBEXaggItemX 2 3 9 2" xfId="6529" xr:uid="{394C050B-3CF3-4DD5-BB91-D41888500AD3}"/>
    <cellStyle name="SAPBEXaggItemX 2 4" xfId="6530" xr:uid="{20EF2500-342E-4636-8269-399084B07A96}"/>
    <cellStyle name="SAPBEXaggItemX 2 4 2" xfId="6531" xr:uid="{15E6BE25-7A93-464B-A894-9FF6A3869931}"/>
    <cellStyle name="SAPBEXaggItemX 2 5" xfId="6532" xr:uid="{380F3D49-E11D-4435-B925-26BCB72384D8}"/>
    <cellStyle name="SAPBEXaggItemX 2 5 2" xfId="6533" xr:uid="{D2201839-E009-4129-927E-3373913E1E08}"/>
    <cellStyle name="SAPBEXaggItemX 2 6" xfId="6534" xr:uid="{CCABF5F0-B32E-4635-8074-0DAFD7444E06}"/>
    <cellStyle name="SAPBEXaggItemX 2 6 2" xfId="6535" xr:uid="{9E7D6B57-A6E1-4638-BB4A-52E0399E9480}"/>
    <cellStyle name="SAPBEXaggItemX 2 7" xfId="6536" xr:uid="{0F940C28-595F-47AA-8E39-61584BC4C322}"/>
    <cellStyle name="SAPBEXaggItemX 2 7 2" xfId="6537" xr:uid="{B4828663-DDC9-4F04-9626-2D712595846F}"/>
    <cellStyle name="SAPBEXaggItemX 2 8" xfId="6538" xr:uid="{21DDD7DE-5C03-48B9-9186-7B909879785D}"/>
    <cellStyle name="SAPBEXaggItemX 2 8 2" xfId="6539" xr:uid="{923F3B91-07BD-41EE-A3F3-70747D1BA174}"/>
    <cellStyle name="SAPBEXaggItemX 2 9" xfId="6540" xr:uid="{CD7BDB26-EFBF-4370-B76C-40F774E3A949}"/>
    <cellStyle name="SAPBEXaggItemX 2 9 2" xfId="6541" xr:uid="{7D01CC31-566A-48FB-BC1B-BE51AFE88529}"/>
    <cellStyle name="SAPBEXaggItemX 2_T1 ANSP" xfId="6332" xr:uid="{B9C9BBA5-D9F7-4BED-B293-715F327C1000}"/>
    <cellStyle name="SAPBEXaggItemX 20" xfId="6542" xr:uid="{25C0B54B-ECBA-4932-B5F6-93EB0C23855D}"/>
    <cellStyle name="SAPBEXaggItemX 3" xfId="1501" xr:uid="{00000000-0005-0000-0000-00005C050000}"/>
    <cellStyle name="SAPBEXaggItemX 3 10" xfId="6544" xr:uid="{49977EDE-A724-40D8-828F-73ABF2B1EE88}"/>
    <cellStyle name="SAPBEXaggItemX 3 10 2" xfId="6545" xr:uid="{3C3AC871-D23F-4965-AC0D-B41CFC6675B7}"/>
    <cellStyle name="SAPBEXaggItemX 3 11" xfId="6546" xr:uid="{85D9E5D2-522C-4FDF-A5C5-CA1880349F6C}"/>
    <cellStyle name="SAPBEXaggItemX 3 11 2" xfId="6547" xr:uid="{8193BABD-C55C-454F-82F3-35B364CA958D}"/>
    <cellStyle name="SAPBEXaggItemX 3 12" xfId="6548" xr:uid="{24ECBA64-90EE-4479-AD64-20A8CC014011}"/>
    <cellStyle name="SAPBEXaggItemX 3 12 2" xfId="6549" xr:uid="{0AFE9F66-0BED-4D23-99C2-B463DDCF9CF3}"/>
    <cellStyle name="SAPBEXaggItemX 3 13" xfId="6550" xr:uid="{6A186775-2989-4832-9F8F-B0F5AEA780DA}"/>
    <cellStyle name="SAPBEXaggItemX 3 13 2" xfId="6551" xr:uid="{75A21116-3288-4907-BF3E-295811E3CC76}"/>
    <cellStyle name="SAPBEXaggItemX 3 14" xfId="6552" xr:uid="{06FEA0D8-1F26-4BB1-88F6-95E61DFFC82F}"/>
    <cellStyle name="SAPBEXaggItemX 3 14 2" xfId="6553" xr:uid="{069A17A6-DD0C-4473-9AA8-4A29537FB4B2}"/>
    <cellStyle name="SAPBEXaggItemX 3 15" xfId="6554" xr:uid="{7F631C4A-CBC4-40B8-9ACE-313E9562961C}"/>
    <cellStyle name="SAPBEXaggItemX 3 15 2" xfId="6555" xr:uid="{B8F04CFD-F498-42CF-96D8-035DC85A4B62}"/>
    <cellStyle name="SAPBEXaggItemX 3 16" xfId="6556" xr:uid="{8F5D59D8-927B-4098-B2A2-8C1CCB78DA76}"/>
    <cellStyle name="SAPBEXaggItemX 3 16 2" xfId="6557" xr:uid="{1E9FE4AF-6AB3-49AB-86A2-D46537148275}"/>
    <cellStyle name="SAPBEXaggItemX 3 17" xfId="6558" xr:uid="{3D0B6498-68FC-46E0-9D84-50B2567C82A9}"/>
    <cellStyle name="SAPBEXaggItemX 3 17 2" xfId="6559" xr:uid="{B7275F86-C92C-466B-A23C-367886950505}"/>
    <cellStyle name="SAPBEXaggItemX 3 18" xfId="6560" xr:uid="{AD20E8AF-7D13-4F16-B49D-01919160113E}"/>
    <cellStyle name="SAPBEXaggItemX 3 2" xfId="6561" xr:uid="{A5BF9CBF-6D0C-411D-ABB9-79028CEB9054}"/>
    <cellStyle name="SAPBEXaggItemX 3 2 10" xfId="6562" xr:uid="{1636FB64-90E3-47D3-8CAB-1715ED1CD966}"/>
    <cellStyle name="SAPBEXaggItemX 3 2 10 2" xfId="6563" xr:uid="{8AE2C723-6236-4FF6-B78B-27C68DFC0E76}"/>
    <cellStyle name="SAPBEXaggItemX 3 2 11" xfId="6564" xr:uid="{6BBBB06C-8ED2-4EDD-92A5-829AF580D3B1}"/>
    <cellStyle name="SAPBEXaggItemX 3 2 11 2" xfId="6565" xr:uid="{251002E4-D3C0-45ED-AB95-1AB5E626883F}"/>
    <cellStyle name="SAPBEXaggItemX 3 2 12" xfId="6566" xr:uid="{1ABE77BD-246E-4C3E-AFB3-7C9E2C286B65}"/>
    <cellStyle name="SAPBEXaggItemX 3 2 12 2" xfId="6567" xr:uid="{0333BEC2-5B8E-46C7-8CC9-70FD4E3EAC6B}"/>
    <cellStyle name="SAPBEXaggItemX 3 2 13" xfId="6568" xr:uid="{B894BD08-00EB-472D-B719-4D16ED52D558}"/>
    <cellStyle name="SAPBEXaggItemX 3 2 13 2" xfId="6569" xr:uid="{1EA4C778-A5C2-4DCC-9CF7-2DD21AA9093F}"/>
    <cellStyle name="SAPBEXaggItemX 3 2 14" xfId="6570" xr:uid="{B4170B0F-4630-462C-9A55-6C70DA58EE2C}"/>
    <cellStyle name="SAPBEXaggItemX 3 2 14 2" xfId="6571" xr:uid="{FC1B0FA1-B032-4F2D-87E8-BF773E21ED32}"/>
    <cellStyle name="SAPBEXaggItemX 3 2 15" xfId="6572" xr:uid="{82303C57-30DC-4C16-9733-71CCC52F138C}"/>
    <cellStyle name="SAPBEXaggItemX 3 2 15 2" xfId="6573" xr:uid="{76AC99D2-CE3B-4EF6-8016-6A7D4A74C589}"/>
    <cellStyle name="SAPBEXaggItemX 3 2 16" xfId="6574" xr:uid="{EC81FEDD-F540-4543-95FB-1BBB4F53D918}"/>
    <cellStyle name="SAPBEXaggItemX 3 2 2" xfId="6575" xr:uid="{9D9D856E-BCBD-460C-B575-0E7B67397D29}"/>
    <cellStyle name="SAPBEXaggItemX 3 2 2 2" xfId="6576" xr:uid="{D2076278-973F-4AA8-BD19-8D2164046AA0}"/>
    <cellStyle name="SAPBEXaggItemX 3 2 3" xfId="6577" xr:uid="{330298A7-A3E7-4A80-A996-556B0CEACB37}"/>
    <cellStyle name="SAPBEXaggItemX 3 2 3 2" xfId="6578" xr:uid="{F3F4178A-2876-4794-965C-E78EDF50FEF4}"/>
    <cellStyle name="SAPBEXaggItemX 3 2 4" xfId="6579" xr:uid="{BF05B462-E272-41C9-AA86-431B0A4EAE25}"/>
    <cellStyle name="SAPBEXaggItemX 3 2 4 2" xfId="6580" xr:uid="{7D1ECB9A-6E5A-4246-B4CC-53FBDE24769D}"/>
    <cellStyle name="SAPBEXaggItemX 3 2 5" xfId="6581" xr:uid="{BBD1D81C-0DD6-48E5-9FB4-88C8E56294F3}"/>
    <cellStyle name="SAPBEXaggItemX 3 2 5 2" xfId="6582" xr:uid="{169770AC-42D4-4CF8-B365-FDBAA6DC7E9F}"/>
    <cellStyle name="SAPBEXaggItemX 3 2 6" xfId="6583" xr:uid="{B81D5708-BBDF-4B09-AFB2-96122795A537}"/>
    <cellStyle name="SAPBEXaggItemX 3 2 6 2" xfId="6584" xr:uid="{7D5DAA52-9FE3-4AF1-A7D7-D9C27145FCF0}"/>
    <cellStyle name="SAPBEXaggItemX 3 2 7" xfId="6585" xr:uid="{296D634F-D4E5-4C3B-AA4C-4239B94F9D2A}"/>
    <cellStyle name="SAPBEXaggItemX 3 2 7 2" xfId="6586" xr:uid="{83280B55-91FF-4453-811E-03DB2F16EF8E}"/>
    <cellStyle name="SAPBEXaggItemX 3 2 8" xfId="6587" xr:uid="{1C0669BA-B293-4BEF-A7D5-F2DFAFFAC9B0}"/>
    <cellStyle name="SAPBEXaggItemX 3 2 8 2" xfId="6588" xr:uid="{79EB0B19-D57B-4CB8-9EBC-7E11B3930DC6}"/>
    <cellStyle name="SAPBEXaggItemX 3 2 9" xfId="6589" xr:uid="{A30C01F0-CE9C-45FF-905C-E856AC21DF4A}"/>
    <cellStyle name="SAPBEXaggItemX 3 2 9 2" xfId="6590" xr:uid="{7E781DB3-4BCA-4F20-B6A8-1885154613E5}"/>
    <cellStyle name="SAPBEXaggItemX 3 3" xfId="6591" xr:uid="{F6E14482-6131-404E-BB4D-F2B860CCC8EC}"/>
    <cellStyle name="SAPBEXaggItemX 3 3 10" xfId="6592" xr:uid="{48CDFF21-1012-4E39-AB75-BC5FA95C2B12}"/>
    <cellStyle name="SAPBEXaggItemX 3 3 10 2" xfId="6593" xr:uid="{A6C405A7-1CCE-4B32-BDE3-56C03E7F4711}"/>
    <cellStyle name="SAPBEXaggItemX 3 3 11" xfId="6594" xr:uid="{CB755143-0E33-43EF-9CF6-8735B8B738B0}"/>
    <cellStyle name="SAPBEXaggItemX 3 3 11 2" xfId="6595" xr:uid="{1C0D45C5-9DCF-4984-B9C1-112AADD3067B}"/>
    <cellStyle name="SAPBEXaggItemX 3 3 12" xfId="6596" xr:uid="{E2AEF247-A489-4DAB-83F8-8C256FF05FFC}"/>
    <cellStyle name="SAPBEXaggItemX 3 3 12 2" xfId="6597" xr:uid="{5737B0B2-8776-40A0-8A4D-A425612C389D}"/>
    <cellStyle name="SAPBEXaggItemX 3 3 13" xfId="6598" xr:uid="{B2BF466D-58D5-4958-BE7A-965AB826DBFF}"/>
    <cellStyle name="SAPBEXaggItemX 3 3 13 2" xfId="6599" xr:uid="{BD725D96-91FE-46D5-AE8F-A1E04D666BB3}"/>
    <cellStyle name="SAPBEXaggItemX 3 3 14" xfId="6600" xr:uid="{9D3A597D-204F-4EDE-B6B1-F6A7C180B11A}"/>
    <cellStyle name="SAPBEXaggItemX 3 3 14 2" xfId="6601" xr:uid="{4F95105D-4C8A-4A38-812C-094AF58C03FD}"/>
    <cellStyle name="SAPBEXaggItemX 3 3 15" xfId="6602" xr:uid="{638B5B6A-40DA-4E6D-8584-2A8DBE882B8B}"/>
    <cellStyle name="SAPBEXaggItemX 3 3 15 2" xfId="6603" xr:uid="{43B8DA63-7588-4349-9124-4CEE8CD90672}"/>
    <cellStyle name="SAPBEXaggItemX 3 3 16" xfId="6604" xr:uid="{5AE67746-1BD3-4184-9289-E5CB1B87C2D8}"/>
    <cellStyle name="SAPBEXaggItemX 3 3 2" xfId="6605" xr:uid="{322F9C4A-4F75-4CCC-852B-B8E26E8964B3}"/>
    <cellStyle name="SAPBEXaggItemX 3 3 2 2" xfId="6606" xr:uid="{94F85EDA-565F-4FBA-9132-607C3DBF2EF9}"/>
    <cellStyle name="SAPBEXaggItemX 3 3 3" xfId="6607" xr:uid="{1418CC5B-7A09-48B0-8E47-36C75775B199}"/>
    <cellStyle name="SAPBEXaggItemX 3 3 3 2" xfId="6608" xr:uid="{86D8038B-1918-4337-A696-89A3E57A9C0C}"/>
    <cellStyle name="SAPBEXaggItemX 3 3 4" xfId="6609" xr:uid="{E716BFE8-7486-4FC8-9AE4-B9637D203E9B}"/>
    <cellStyle name="SAPBEXaggItemX 3 3 4 2" xfId="6610" xr:uid="{4DF33D7D-B88A-42AA-A8A2-0B99B6C840BE}"/>
    <cellStyle name="SAPBEXaggItemX 3 3 5" xfId="6611" xr:uid="{A1F15392-39AF-417C-9012-6BFD9FBB6B00}"/>
    <cellStyle name="SAPBEXaggItemX 3 3 5 2" xfId="6612" xr:uid="{176BD9CD-4C95-4353-8940-1DA02CF542C9}"/>
    <cellStyle name="SAPBEXaggItemX 3 3 6" xfId="6613" xr:uid="{30F1332E-451E-40D2-BDC9-3F0755F64B67}"/>
    <cellStyle name="SAPBEXaggItemX 3 3 6 2" xfId="6614" xr:uid="{05E831E8-79C5-43E7-A754-A43790612735}"/>
    <cellStyle name="SAPBEXaggItemX 3 3 7" xfId="6615" xr:uid="{6C518FBA-CAEF-4E3E-A058-30F7F811C083}"/>
    <cellStyle name="SAPBEXaggItemX 3 3 7 2" xfId="6616" xr:uid="{860BE103-E87F-4F50-AD3D-996910C6284E}"/>
    <cellStyle name="SAPBEXaggItemX 3 3 8" xfId="6617" xr:uid="{75B78FE8-037B-4AA4-9D81-384A1710C21B}"/>
    <cellStyle name="SAPBEXaggItemX 3 3 8 2" xfId="6618" xr:uid="{969C49EA-FBB7-4C75-A8C4-50593F6B860F}"/>
    <cellStyle name="SAPBEXaggItemX 3 3 9" xfId="6619" xr:uid="{A4152BA7-16D8-4947-AF05-177D176782B4}"/>
    <cellStyle name="SAPBEXaggItemX 3 3 9 2" xfId="6620" xr:uid="{D6F1A774-6540-45AB-88BA-AC37975D7317}"/>
    <cellStyle name="SAPBEXaggItemX 3 4" xfId="6621" xr:uid="{16E6569C-9A55-48CF-A174-A28CBC893011}"/>
    <cellStyle name="SAPBEXaggItemX 3 4 2" xfId="6622" xr:uid="{682781DD-4BF8-410B-86D6-B39ABE590618}"/>
    <cellStyle name="SAPBEXaggItemX 3 5" xfId="6623" xr:uid="{6805B0D1-9914-4846-A21F-83AFFB790CEB}"/>
    <cellStyle name="SAPBEXaggItemX 3 5 2" xfId="6624" xr:uid="{A543C3D2-F609-4C58-931D-68F5DC5BBD91}"/>
    <cellStyle name="SAPBEXaggItemX 3 6" xfId="6625" xr:uid="{FBAA1C73-7776-466B-804E-E7BC86A6BEE1}"/>
    <cellStyle name="SAPBEXaggItemX 3 6 2" xfId="6626" xr:uid="{B23BBE04-32D5-4B25-8CCA-7B778E59E53B}"/>
    <cellStyle name="SAPBEXaggItemX 3 7" xfId="6627" xr:uid="{B8A517CA-B0A6-43DC-8BA3-9D7A56B279A3}"/>
    <cellStyle name="SAPBEXaggItemX 3 7 2" xfId="6628" xr:uid="{B85090EF-9872-4028-B8C7-27B645410432}"/>
    <cellStyle name="SAPBEXaggItemX 3 8" xfId="6629" xr:uid="{0295625E-1098-4096-8D54-1F5353D5591F}"/>
    <cellStyle name="SAPBEXaggItemX 3 8 2" xfId="6630" xr:uid="{3D31EDC4-C54B-4908-BE22-C46D1E3D844B}"/>
    <cellStyle name="SAPBEXaggItemX 3 9" xfId="6631" xr:uid="{66517F30-04FF-41E3-A8F1-7917EE7A9861}"/>
    <cellStyle name="SAPBEXaggItemX 3 9 2" xfId="6632" xr:uid="{929CBB80-FD37-4292-859B-1CE4FEB1A973}"/>
    <cellStyle name="SAPBEXaggItemX 3_T1 ANSP" xfId="6543" xr:uid="{033B1DFC-391D-4C6E-8631-4F3605A1E3E7}"/>
    <cellStyle name="SAPBEXaggItemX 4" xfId="6633" xr:uid="{3422108F-E954-47F0-BD01-9A04EA353E6D}"/>
    <cellStyle name="SAPBEXaggItemX 4 10" xfId="6634" xr:uid="{B68188F7-632A-432C-955E-C41060297AD1}"/>
    <cellStyle name="SAPBEXaggItemX 4 10 2" xfId="6635" xr:uid="{057B3617-459B-4312-B24D-82ABCC92471E}"/>
    <cellStyle name="SAPBEXaggItemX 4 11" xfId="6636" xr:uid="{97A3258D-B37D-4235-B120-EF748105E21D}"/>
    <cellStyle name="SAPBEXaggItemX 4 11 2" xfId="6637" xr:uid="{D933E961-A6AD-41EA-ACBB-306253832303}"/>
    <cellStyle name="SAPBEXaggItemX 4 12" xfId="6638" xr:uid="{D731AA96-BD4F-42A1-BA86-61695EE12D4C}"/>
    <cellStyle name="SAPBEXaggItemX 4 12 2" xfId="6639" xr:uid="{B7957009-F3B8-4311-87C4-1B0D4F28F6BF}"/>
    <cellStyle name="SAPBEXaggItemX 4 13" xfId="6640" xr:uid="{98CA233E-9BDD-46C9-B93E-2A47ABF389E7}"/>
    <cellStyle name="SAPBEXaggItemX 4 13 2" xfId="6641" xr:uid="{40FBFB58-14B9-4F5A-9533-A11216730BA5}"/>
    <cellStyle name="SAPBEXaggItemX 4 14" xfId="6642" xr:uid="{FAEC5A93-CB69-4779-A71B-5A99FBB2E371}"/>
    <cellStyle name="SAPBEXaggItemX 4 14 2" xfId="6643" xr:uid="{48308A28-ADBC-43C1-8529-D9D656CD4CB0}"/>
    <cellStyle name="SAPBEXaggItemX 4 15" xfId="6644" xr:uid="{1253296C-156F-4329-BD99-F3A635D198A3}"/>
    <cellStyle name="SAPBEXaggItemX 4 15 2" xfId="6645" xr:uid="{6457F34B-7649-4208-A40E-20F28F9C29F2}"/>
    <cellStyle name="SAPBEXaggItemX 4 16" xfId="6646" xr:uid="{52E93BFA-6EF4-497E-88E5-D995E9E47BAE}"/>
    <cellStyle name="SAPBEXaggItemX 4 16 2" xfId="6647" xr:uid="{4323F6C9-F2EF-4DCE-9AE1-5B6B34C1BCAF}"/>
    <cellStyle name="SAPBEXaggItemX 4 17" xfId="6648" xr:uid="{F6DEE47E-97FA-4D8F-B4F9-9BCA3EEABCFA}"/>
    <cellStyle name="SAPBEXaggItemX 4 17 2" xfId="6649" xr:uid="{19DC67D2-E5B0-45B9-A5BE-3A5E8BF40847}"/>
    <cellStyle name="SAPBEXaggItemX 4 18" xfId="6650" xr:uid="{A43E88DF-AB1D-4748-B535-9C67B0A2B4E0}"/>
    <cellStyle name="SAPBEXaggItemX 4 2" xfId="6651" xr:uid="{4AE98C14-814B-4B89-93C0-F67E62D5A15C}"/>
    <cellStyle name="SAPBEXaggItemX 4 2 10" xfId="6652" xr:uid="{12ABD756-BD6B-42F0-A73A-F4D0BB5F9D50}"/>
    <cellStyle name="SAPBEXaggItemX 4 2 10 2" xfId="6653" xr:uid="{7276FEB1-18FD-4360-B922-8B2AA015AE08}"/>
    <cellStyle name="SAPBEXaggItemX 4 2 11" xfId="6654" xr:uid="{47ADDAEB-E36F-414A-8201-D1B984EA76FD}"/>
    <cellStyle name="SAPBEXaggItemX 4 2 11 2" xfId="6655" xr:uid="{1B7AB633-5DEA-4F0A-9766-EF0A2695BCE2}"/>
    <cellStyle name="SAPBEXaggItemX 4 2 12" xfId="6656" xr:uid="{F7D53188-AB0B-4102-A731-5A598F099A34}"/>
    <cellStyle name="SAPBEXaggItemX 4 2 12 2" xfId="6657" xr:uid="{C4BE0B07-A6D4-4B7D-BE79-3D426312E714}"/>
    <cellStyle name="SAPBEXaggItemX 4 2 13" xfId="6658" xr:uid="{1F13D008-035F-4540-9261-BC9B50B0B26E}"/>
    <cellStyle name="SAPBEXaggItemX 4 2 13 2" xfId="6659" xr:uid="{36393510-831E-4256-BC57-61376C585002}"/>
    <cellStyle name="SAPBEXaggItemX 4 2 14" xfId="6660" xr:uid="{C19B6038-CC52-4A78-9986-0ECB33E54C3D}"/>
    <cellStyle name="SAPBEXaggItemX 4 2 14 2" xfId="6661" xr:uid="{E49EF43E-4822-4BAE-B8F9-FCFBC853A419}"/>
    <cellStyle name="SAPBEXaggItemX 4 2 15" xfId="6662" xr:uid="{152BCADC-6E33-41D1-9A33-8BBD74A7F999}"/>
    <cellStyle name="SAPBEXaggItemX 4 2 15 2" xfId="6663" xr:uid="{A44B8049-6F6C-413B-BBA9-2BDD81E4BC78}"/>
    <cellStyle name="SAPBEXaggItemX 4 2 16" xfId="6664" xr:uid="{2194DF35-F2AF-427B-A15B-C230DE0C0B35}"/>
    <cellStyle name="SAPBEXaggItemX 4 2 2" xfId="6665" xr:uid="{CDE10BD8-B6DC-4070-BF6D-7A040684A1A8}"/>
    <cellStyle name="SAPBEXaggItemX 4 2 2 2" xfId="6666" xr:uid="{6E5F46C7-BF91-450E-ADFF-B233C30D3239}"/>
    <cellStyle name="SAPBEXaggItemX 4 2 3" xfId="6667" xr:uid="{EF6E4D9B-FE24-4F06-84D2-7D5CA4066EA3}"/>
    <cellStyle name="SAPBEXaggItemX 4 2 3 2" xfId="6668" xr:uid="{21066B9E-A39F-4075-8E42-B2D780FD3C6F}"/>
    <cellStyle name="SAPBEXaggItemX 4 2 4" xfId="6669" xr:uid="{E7B642D0-54FC-4510-80EE-651B4174F7D2}"/>
    <cellStyle name="SAPBEXaggItemX 4 2 4 2" xfId="6670" xr:uid="{5AE1D002-0185-4ECE-B2A3-9F8D04BFD892}"/>
    <cellStyle name="SAPBEXaggItemX 4 2 5" xfId="6671" xr:uid="{7DC843CC-551D-4806-9F1E-8CD3AA1CF4F2}"/>
    <cellStyle name="SAPBEXaggItemX 4 2 5 2" xfId="6672" xr:uid="{06475CBA-9561-4A93-937A-AF1F1517A7D2}"/>
    <cellStyle name="SAPBEXaggItemX 4 2 6" xfId="6673" xr:uid="{F975C8DC-1740-49E0-9E15-1F2D5612443B}"/>
    <cellStyle name="SAPBEXaggItemX 4 2 6 2" xfId="6674" xr:uid="{9C5B9874-756A-4324-AF0E-3E025078722A}"/>
    <cellStyle name="SAPBEXaggItemX 4 2 7" xfId="6675" xr:uid="{F1F7D9C3-C2CA-485C-A6F9-A5CC555D542B}"/>
    <cellStyle name="SAPBEXaggItemX 4 2 7 2" xfId="6676" xr:uid="{886E7B0C-4EED-4E1F-A110-49B5DCBF3D3A}"/>
    <cellStyle name="SAPBEXaggItemX 4 2 8" xfId="6677" xr:uid="{DF9D4D13-2146-4C34-ADFB-9F0DC51899FB}"/>
    <cellStyle name="SAPBEXaggItemX 4 2 8 2" xfId="6678" xr:uid="{E12B8325-4A50-4E90-B6AE-F3AB05688345}"/>
    <cellStyle name="SAPBEXaggItemX 4 2 9" xfId="6679" xr:uid="{444102D8-9145-4FF9-95A5-63DC04C09BCC}"/>
    <cellStyle name="SAPBEXaggItemX 4 2 9 2" xfId="6680" xr:uid="{25AF2212-817A-44C8-9B0F-F97E9EA4E459}"/>
    <cellStyle name="SAPBEXaggItemX 4 3" xfId="6681" xr:uid="{875E27E5-3D9C-4CC3-B414-88A8A6DB6DDB}"/>
    <cellStyle name="SAPBEXaggItemX 4 3 10" xfId="6682" xr:uid="{370848CF-F713-46EB-B551-FD94F8885D0D}"/>
    <cellStyle name="SAPBEXaggItemX 4 3 10 2" xfId="6683" xr:uid="{3FBFB896-49A8-47C5-89D0-96CF5C23243D}"/>
    <cellStyle name="SAPBEXaggItemX 4 3 11" xfId="6684" xr:uid="{16A98C72-CEDF-4230-B03D-45346A4CACE1}"/>
    <cellStyle name="SAPBEXaggItemX 4 3 11 2" xfId="6685" xr:uid="{9F88947F-9C22-4251-AA56-E4FC64E790DB}"/>
    <cellStyle name="SAPBEXaggItemX 4 3 12" xfId="6686" xr:uid="{66C2E0C8-ECC6-4D15-830E-F4152527C1D9}"/>
    <cellStyle name="SAPBEXaggItemX 4 3 12 2" xfId="6687" xr:uid="{971357FE-C4A0-40E7-8247-EC75E5A130AF}"/>
    <cellStyle name="SAPBEXaggItemX 4 3 13" xfId="6688" xr:uid="{F66F537E-FAC3-4429-87AA-D9913E80787B}"/>
    <cellStyle name="SAPBEXaggItemX 4 3 13 2" xfId="6689" xr:uid="{34B0193A-1103-487F-B181-522AD41697B8}"/>
    <cellStyle name="SAPBEXaggItemX 4 3 14" xfId="6690" xr:uid="{2DE14AA4-F65A-4A1A-8DE0-42DF4894F5B8}"/>
    <cellStyle name="SAPBEXaggItemX 4 3 14 2" xfId="6691" xr:uid="{F6E7B695-F8E8-4FE5-9DCD-C834AA9D3663}"/>
    <cellStyle name="SAPBEXaggItemX 4 3 15" xfId="6692" xr:uid="{B6CD405A-A6D4-4834-8F40-6AE957D6E2B6}"/>
    <cellStyle name="SAPBEXaggItemX 4 3 15 2" xfId="6693" xr:uid="{68CF09EB-62F1-45DF-B953-14DB74855781}"/>
    <cellStyle name="SAPBEXaggItemX 4 3 16" xfId="6694" xr:uid="{B4D7DC79-FAB0-4DDF-A9BD-8EC3EA434CF1}"/>
    <cellStyle name="SAPBEXaggItemX 4 3 2" xfId="6695" xr:uid="{940CD1AB-A949-40DB-926F-432C51266F1C}"/>
    <cellStyle name="SAPBEXaggItemX 4 3 2 2" xfId="6696" xr:uid="{8C0C1DFA-8FBD-41D8-A7A3-E4DBD2E38B25}"/>
    <cellStyle name="SAPBEXaggItemX 4 3 3" xfId="6697" xr:uid="{3EB02766-0999-4793-B652-68D29239F784}"/>
    <cellStyle name="SAPBEXaggItemX 4 3 3 2" xfId="6698" xr:uid="{53973991-34AE-44A2-9A3E-C103690FABCA}"/>
    <cellStyle name="SAPBEXaggItemX 4 3 4" xfId="6699" xr:uid="{88C40098-616B-475E-999B-9803461CDA7D}"/>
    <cellStyle name="SAPBEXaggItemX 4 3 4 2" xfId="6700" xr:uid="{371EE000-A2D8-45D4-B1C6-40AFF810CBBC}"/>
    <cellStyle name="SAPBEXaggItemX 4 3 5" xfId="6701" xr:uid="{DE4ADDE8-4F15-4FDC-9BC6-B5C961E9D482}"/>
    <cellStyle name="SAPBEXaggItemX 4 3 5 2" xfId="6702" xr:uid="{BE1ED175-416B-4E3F-889A-7D1990CAE476}"/>
    <cellStyle name="SAPBEXaggItemX 4 3 6" xfId="6703" xr:uid="{FEAE66BA-2AC3-430C-8860-0DA2EAE96AC0}"/>
    <cellStyle name="SAPBEXaggItemX 4 3 6 2" xfId="6704" xr:uid="{E614C9D0-CF5D-42A6-8116-3997ABD42EC4}"/>
    <cellStyle name="SAPBEXaggItemX 4 3 7" xfId="6705" xr:uid="{6B0E75CF-32B2-4356-983A-77EBDAF2F53C}"/>
    <cellStyle name="SAPBEXaggItemX 4 3 7 2" xfId="6706" xr:uid="{8ED0E868-5ECF-48D4-9AB7-4484D4929865}"/>
    <cellStyle name="SAPBEXaggItemX 4 3 8" xfId="6707" xr:uid="{3D808FB5-5FF5-40CD-9E1D-4F64C3EDA664}"/>
    <cellStyle name="SAPBEXaggItemX 4 3 8 2" xfId="6708" xr:uid="{2A4B59DB-7342-4CB3-A12F-4ADA994CFCC1}"/>
    <cellStyle name="SAPBEXaggItemX 4 3 9" xfId="6709" xr:uid="{C48B35EC-8587-4A7B-AFDC-1096A214159F}"/>
    <cellStyle name="SAPBEXaggItemX 4 3 9 2" xfId="6710" xr:uid="{222D5AE0-A470-4978-AC4D-005CB37AA276}"/>
    <cellStyle name="SAPBEXaggItemX 4 4" xfId="6711" xr:uid="{76396008-3134-4331-AE9A-9C62F7CD171B}"/>
    <cellStyle name="SAPBEXaggItemX 4 4 2" xfId="6712" xr:uid="{37EE9ACF-A548-485B-AF79-7CD0AD4E7823}"/>
    <cellStyle name="SAPBEXaggItemX 4 5" xfId="6713" xr:uid="{61432EB6-C0E0-4BE4-AD90-55055E7AD491}"/>
    <cellStyle name="SAPBEXaggItemX 4 5 2" xfId="6714" xr:uid="{3844EA6D-DDDC-4B36-9C2C-560676851BD4}"/>
    <cellStyle name="SAPBEXaggItemX 4 6" xfId="6715" xr:uid="{427E316B-0A6E-4DB8-A92E-2E9A9D895C60}"/>
    <cellStyle name="SAPBEXaggItemX 4 6 2" xfId="6716" xr:uid="{4904621D-0936-4A53-AA87-F3F31C2CFC67}"/>
    <cellStyle name="SAPBEXaggItemX 4 7" xfId="6717" xr:uid="{C74F17D3-0CEE-4278-A1F9-EAFF32489D7D}"/>
    <cellStyle name="SAPBEXaggItemX 4 7 2" xfId="6718" xr:uid="{3D1025C5-0E66-4638-B2F1-519E98BCBBF3}"/>
    <cellStyle name="SAPBEXaggItemX 4 8" xfId="6719" xr:uid="{CAA1084F-4BDA-43F5-AC28-53FBEC69F99E}"/>
    <cellStyle name="SAPBEXaggItemX 4 8 2" xfId="6720" xr:uid="{B0E5A716-E772-457B-B7D8-D5C4B8EF1F1E}"/>
    <cellStyle name="SAPBEXaggItemX 4 9" xfId="6721" xr:uid="{383A5DC0-6B0C-4862-8282-11AC8BCEE41A}"/>
    <cellStyle name="SAPBEXaggItemX 4 9 2" xfId="6722" xr:uid="{BAE3E352-05D5-4BE1-A54D-72E452998C06}"/>
    <cellStyle name="SAPBEXaggItemX 5" xfId="6723" xr:uid="{F35A9111-463A-4676-937F-58290808E08A}"/>
    <cellStyle name="SAPBEXaggItemX 5 10" xfId="6724" xr:uid="{57A01EDB-C421-427E-9867-0DAB8698F07D}"/>
    <cellStyle name="SAPBEXaggItemX 5 10 2" xfId="6725" xr:uid="{C1D4ABDE-F5AA-49AA-9975-883C7EF57ECF}"/>
    <cellStyle name="SAPBEXaggItemX 5 11" xfId="6726" xr:uid="{4FAFD434-0989-4EF2-9E49-C53CF7A7D1AF}"/>
    <cellStyle name="SAPBEXaggItemX 5 11 2" xfId="6727" xr:uid="{919AFC45-7FAD-4795-9CC2-939771310F7C}"/>
    <cellStyle name="SAPBEXaggItemX 5 12" xfId="6728" xr:uid="{383A943B-DFC8-4673-A2C0-01AF62E7325F}"/>
    <cellStyle name="SAPBEXaggItemX 5 12 2" xfId="6729" xr:uid="{CD3DD8D0-8937-4D0F-BDB8-A8270987DEB8}"/>
    <cellStyle name="SAPBEXaggItemX 5 13" xfId="6730" xr:uid="{66839355-5647-4C0B-B4D0-8C7AC89AD6E3}"/>
    <cellStyle name="SAPBEXaggItemX 5 13 2" xfId="6731" xr:uid="{76ABBA4F-41E3-4D08-97EC-92E3668B8D41}"/>
    <cellStyle name="SAPBEXaggItemX 5 14" xfId="6732" xr:uid="{7A4893F4-A728-4D2E-A9FB-C3FBAC3565C1}"/>
    <cellStyle name="SAPBEXaggItemX 5 14 2" xfId="6733" xr:uid="{84E8265D-B435-4EAC-979F-34D7DD4F4BA2}"/>
    <cellStyle name="SAPBEXaggItemX 5 15" xfId="6734" xr:uid="{D4BF8A17-3FA0-47EC-834C-81E9911873A0}"/>
    <cellStyle name="SAPBEXaggItemX 5 15 2" xfId="6735" xr:uid="{0E2A4EF6-6DCB-460A-B8B8-83B44DE2D4D2}"/>
    <cellStyle name="SAPBEXaggItemX 5 16" xfId="6736" xr:uid="{D4B55F3D-1387-4F2D-945D-4219A70E6D2E}"/>
    <cellStyle name="SAPBEXaggItemX 5 2" xfId="6737" xr:uid="{371C17A4-85F9-402A-A9F1-4BC1508F957F}"/>
    <cellStyle name="SAPBEXaggItemX 5 2 2" xfId="6738" xr:uid="{D7B4769E-F0A4-425D-AB97-797E1FD87547}"/>
    <cellStyle name="SAPBEXaggItemX 5 3" xfId="6739" xr:uid="{F54E1950-23FC-4C5C-8528-EF017CDD13AD}"/>
    <cellStyle name="SAPBEXaggItemX 5 3 2" xfId="6740" xr:uid="{D7C8637B-4E3B-4D89-A3E5-26980637C3FA}"/>
    <cellStyle name="SAPBEXaggItemX 5 4" xfId="6741" xr:uid="{542A6601-C37B-403C-9950-6360DB8A4912}"/>
    <cellStyle name="SAPBEXaggItemX 5 4 2" xfId="6742" xr:uid="{FE34692A-1731-40B6-A955-E770C069B23D}"/>
    <cellStyle name="SAPBEXaggItemX 5 5" xfId="6743" xr:uid="{180AAE9E-A246-45EF-BCB7-72879497C135}"/>
    <cellStyle name="SAPBEXaggItemX 5 5 2" xfId="6744" xr:uid="{4C346A80-1CA4-4260-8152-781AF0A5F1E0}"/>
    <cellStyle name="SAPBEXaggItemX 5 6" xfId="6745" xr:uid="{7F7F0123-318A-45EC-B167-89083BFD184F}"/>
    <cellStyle name="SAPBEXaggItemX 5 6 2" xfId="6746" xr:uid="{D667A445-1B2E-40D6-988F-9CB0FFC9E2E9}"/>
    <cellStyle name="SAPBEXaggItemX 5 7" xfId="6747" xr:uid="{80123D67-1498-4DD4-A4BA-F094C99EE1A5}"/>
    <cellStyle name="SAPBEXaggItemX 5 7 2" xfId="6748" xr:uid="{AFC126BC-E8AC-443F-9C04-1AF53AAF45CC}"/>
    <cellStyle name="SAPBEXaggItemX 5 8" xfId="6749" xr:uid="{7617D7F3-5B54-4A72-8A69-466406F9C5E4}"/>
    <cellStyle name="SAPBEXaggItemX 5 8 2" xfId="6750" xr:uid="{43A861F5-CD52-4510-A19D-66299A8B46D5}"/>
    <cellStyle name="SAPBEXaggItemX 5 9" xfId="6751" xr:uid="{38F638C4-E620-44BD-A9EA-2E21B3EBA1C9}"/>
    <cellStyle name="SAPBEXaggItemX 5 9 2" xfId="6752" xr:uid="{6DCB6880-5077-4D1D-98DD-10D7631829B0}"/>
    <cellStyle name="SAPBEXaggItemX 6" xfId="6753" xr:uid="{10C3ACE6-A665-4A41-B26A-EDF9E3371A99}"/>
    <cellStyle name="SAPBEXaggItemX 6 2" xfId="6754" xr:uid="{422AA9D4-B2D8-4FE0-8DFD-EFA4AFB7B6F1}"/>
    <cellStyle name="SAPBEXaggItemX 7" xfId="6755" xr:uid="{FF66D7DF-A5FA-4989-8443-AD2B8DB253E7}"/>
    <cellStyle name="SAPBEXaggItemX 7 2" xfId="6756" xr:uid="{1CCB2A4F-DBA4-4CC1-AD99-EA3800FE74B9}"/>
    <cellStyle name="SAPBEXaggItemX 8" xfId="6757" xr:uid="{FD419655-0EC2-4CC5-BD0C-A7D315BA3C49}"/>
    <cellStyle name="SAPBEXaggItemX 8 2" xfId="6758" xr:uid="{FE761C1B-3978-4AF5-BA38-AFEE9403E10B}"/>
    <cellStyle name="SAPBEXaggItemX 9" xfId="6759" xr:uid="{B31DCB62-15F9-4BA1-ABC5-8AAFF07D58F7}"/>
    <cellStyle name="SAPBEXaggItemX 9 2" xfId="6760" xr:uid="{F6741A5B-0166-4C47-87D2-C6102B902B97}"/>
    <cellStyle name="SAPBEXaggItemX_T1 ANSP" xfId="6311" xr:uid="{D74119CE-83AE-4548-B6F3-C98CEDC266AC}"/>
    <cellStyle name="SAPBEXchaText" xfId="730" xr:uid="{00000000-0005-0000-0000-00005D050000}"/>
    <cellStyle name="SAPBEXchaText 10" xfId="6762" xr:uid="{1660A3C4-526E-4BD0-A901-FEBE5695CB0C}"/>
    <cellStyle name="SAPBEXchaText 10 2" xfId="6763" xr:uid="{1DFBC05A-AF7E-4D3F-BD88-E9DCACF1CB2B}"/>
    <cellStyle name="SAPBEXchaText 11" xfId="6764" xr:uid="{0E799886-0339-46DA-BD48-4C67BF04BE0A}"/>
    <cellStyle name="SAPBEXchaText 11 2" xfId="6765" xr:uid="{124450C0-7276-4B38-B82B-006B2A84B78B}"/>
    <cellStyle name="SAPBEXchaText 12" xfId="6766" xr:uid="{F07C2662-4AB5-41B9-9BCF-9EA8E4848191}"/>
    <cellStyle name="SAPBEXchaText 12 2" xfId="6767" xr:uid="{A7E4D8C5-B6B6-4237-ACB5-EACB2D714D61}"/>
    <cellStyle name="SAPBEXchaText 13" xfId="6768" xr:uid="{451CEBA6-F933-4B95-9511-0FF9EC9E84D0}"/>
    <cellStyle name="SAPBEXchaText 13 2" xfId="6769" xr:uid="{6C92A69F-00B7-478C-9854-3CDBEDA042E6}"/>
    <cellStyle name="SAPBEXchaText 14" xfId="6770" xr:uid="{FB366121-57D4-4EA4-856A-D4C5758416F4}"/>
    <cellStyle name="SAPBEXchaText 14 2" xfId="6771" xr:uid="{B552A72E-B7F6-42BB-9A13-ABA6D2378364}"/>
    <cellStyle name="SAPBEXchaText 15" xfId="6772" xr:uid="{7FCCE686-3475-43B8-8A73-CFA932D56C49}"/>
    <cellStyle name="SAPBEXchaText 15 2" xfId="6773" xr:uid="{CCBFB9E0-B47C-4EEA-91BB-E33A85F7F152}"/>
    <cellStyle name="SAPBEXchaText 16" xfId="6774" xr:uid="{7F633199-5528-4763-A651-E2CDD9C0274F}"/>
    <cellStyle name="SAPBEXchaText 16 2" xfId="6775" xr:uid="{75D4DD33-8603-4960-86E3-C1014011E737}"/>
    <cellStyle name="SAPBEXchaText 17" xfId="6776" xr:uid="{0A8ADAE1-631A-4981-8A88-42BA4AD8BECA}"/>
    <cellStyle name="SAPBEXchaText 17 2" xfId="6777" xr:uid="{D81A901A-3727-41CC-93BA-E029E2DDAD7D}"/>
    <cellStyle name="SAPBEXchaText 18" xfId="6778" xr:uid="{88B60173-A8B1-4EC8-A115-6CB099C5A251}"/>
    <cellStyle name="SAPBEXchaText 2" xfId="1545" xr:uid="{00000000-0005-0000-0000-00005E050000}"/>
    <cellStyle name="SAPBEXchaText 2 10" xfId="6780" xr:uid="{F678D4A5-8E9C-4538-9300-40171B367305}"/>
    <cellStyle name="SAPBEXchaText 2 10 2" xfId="6781" xr:uid="{EF48202F-A69D-475D-91AB-54146B329641}"/>
    <cellStyle name="SAPBEXchaText 2 11" xfId="6782" xr:uid="{520D18BE-1F75-44F4-8187-A39955C94D66}"/>
    <cellStyle name="SAPBEXchaText 2 11 2" xfId="6783" xr:uid="{E2F1DFE1-D701-4E00-8C1E-972D740607A8}"/>
    <cellStyle name="SAPBEXchaText 2 12" xfId="6784" xr:uid="{F4CC1827-9B21-4BF2-A1C7-E7A8D9FD36F8}"/>
    <cellStyle name="SAPBEXchaText 2 12 2" xfId="6785" xr:uid="{11C781F8-7163-467C-BBE1-F336A7D6F9E2}"/>
    <cellStyle name="SAPBEXchaText 2 13" xfId="6786" xr:uid="{403611B9-243C-4B0F-830B-1BBC9F7940C4}"/>
    <cellStyle name="SAPBEXchaText 2 13 2" xfId="6787" xr:uid="{3A8B453B-E141-4813-BE1C-5C16B1B9E54F}"/>
    <cellStyle name="SAPBEXchaText 2 14" xfId="6788" xr:uid="{58B70427-3A3C-4211-876E-32EFC3341033}"/>
    <cellStyle name="SAPBEXchaText 2 14 2" xfId="6789" xr:uid="{A6C164E6-0E88-4EAF-AEE6-DD82F3DF8897}"/>
    <cellStyle name="SAPBEXchaText 2 15" xfId="6790" xr:uid="{0E1BF48F-2E57-4F41-B7A3-F7FA308E192D}"/>
    <cellStyle name="SAPBEXchaText 2 15 2" xfId="6791" xr:uid="{41B2D7BE-7DE0-486F-A912-E4B058FC7026}"/>
    <cellStyle name="SAPBEXchaText 2 16" xfId="6792" xr:uid="{24971A53-81BC-481D-8BFA-52EA915F7EF2}"/>
    <cellStyle name="SAPBEXchaText 2 16 2" xfId="6793" xr:uid="{4A968C4A-83E6-433C-9FE7-7CBA842ADD1F}"/>
    <cellStyle name="SAPBEXchaText 2 17" xfId="6794" xr:uid="{D65B7E01-BFC0-4258-B87F-C207825E87DF}"/>
    <cellStyle name="SAPBEXchaText 2 17 2" xfId="6795" xr:uid="{1E951770-03AF-41CB-B65E-E09D6E3917C8}"/>
    <cellStyle name="SAPBEXchaText 2 18" xfId="6796" xr:uid="{0264BA87-C9F7-415A-A9F8-5F69FC6016AC}"/>
    <cellStyle name="SAPBEXchaText 2 18 2" xfId="6797" xr:uid="{60FFCE35-257B-4513-840B-D2B39B249D0C}"/>
    <cellStyle name="SAPBEXchaText 2 2" xfId="6798" xr:uid="{BE5A3E30-94AB-4606-808D-D5C02B469920}"/>
    <cellStyle name="SAPBEXchaText 2 2 10" xfId="6799" xr:uid="{6975F012-B1F3-4281-B94B-65E6526A5FEB}"/>
    <cellStyle name="SAPBEXchaText 2 2 10 2" xfId="6800" xr:uid="{F298998C-234A-4E08-A81A-5B4F389DA773}"/>
    <cellStyle name="SAPBEXchaText 2 2 11" xfId="6801" xr:uid="{E9654BCA-1EF0-417F-954A-E81E2E6EE1F2}"/>
    <cellStyle name="SAPBEXchaText 2 2 11 2" xfId="6802" xr:uid="{9BDCA034-8183-41E8-ABB9-65177281E712}"/>
    <cellStyle name="SAPBEXchaText 2 2 12" xfId="6803" xr:uid="{2C449E93-CD96-4FC9-B35E-F6812BBD521A}"/>
    <cellStyle name="SAPBEXchaText 2 2 12 2" xfId="6804" xr:uid="{2BABFDD1-71A9-4218-83E6-B84951331AE0}"/>
    <cellStyle name="SAPBEXchaText 2 2 13" xfId="6805" xr:uid="{F7530A6D-2774-43BE-968B-8783CA322EA8}"/>
    <cellStyle name="SAPBEXchaText 2 2 13 2" xfId="6806" xr:uid="{C50DD960-A663-4CF6-857A-1146620CE82B}"/>
    <cellStyle name="SAPBEXchaText 2 2 14" xfId="6807" xr:uid="{FB24BE1C-AED8-466E-8CE8-A0DA2B4E69A5}"/>
    <cellStyle name="SAPBEXchaText 2 2 14 2" xfId="6808" xr:uid="{5E946C09-5B10-4363-A6B7-6216C980B19C}"/>
    <cellStyle name="SAPBEXchaText 2 2 15" xfId="6809" xr:uid="{D632B01A-1F4E-47B0-9385-E16F9B3F5DB7}"/>
    <cellStyle name="SAPBEXchaText 2 2 15 2" xfId="6810" xr:uid="{A567EA9F-B40E-4D13-8C20-1CA9A9A462B6}"/>
    <cellStyle name="SAPBEXchaText 2 2 16" xfId="6811" xr:uid="{1D436BB7-56C3-4F25-BE62-FACD6C02B83E}"/>
    <cellStyle name="SAPBEXchaText 2 2 16 2" xfId="6812" xr:uid="{27E2F3E6-DBA3-4777-9968-56ABC5F18FC9}"/>
    <cellStyle name="SAPBEXchaText 2 2 17" xfId="6813" xr:uid="{DBA52F1A-F4AF-4F00-9256-80B3185B5924}"/>
    <cellStyle name="SAPBEXchaText 2 2 17 2" xfId="6814" xr:uid="{C2E10C58-13AF-4E04-BAE6-545CD87DEB50}"/>
    <cellStyle name="SAPBEXchaText 2 2 2" xfId="6815" xr:uid="{46D00C62-8DA6-43AE-BA63-4823D889382D}"/>
    <cellStyle name="SAPBEXchaText 2 2 2 10" xfId="6816" xr:uid="{A0381B5A-42C4-4A27-A375-8DF405CF850B}"/>
    <cellStyle name="SAPBEXchaText 2 2 2 10 2" xfId="6817" xr:uid="{204547A4-0BA1-434B-8CC9-B573CA5D8ADD}"/>
    <cellStyle name="SAPBEXchaText 2 2 2 11" xfId="6818" xr:uid="{1268660C-6FD6-41B4-89B6-4F8FF278CC16}"/>
    <cellStyle name="SAPBEXchaText 2 2 2 11 2" xfId="6819" xr:uid="{F197EB8A-75FF-40EE-9851-19F6F81EB0F7}"/>
    <cellStyle name="SAPBEXchaText 2 2 2 12" xfId="6820" xr:uid="{7FD5A536-98D6-4553-9941-44DD4E11DC81}"/>
    <cellStyle name="SAPBEXchaText 2 2 2 12 2" xfId="6821" xr:uid="{1C1C9738-BFDA-4A40-8FFB-BC2DDFE5ED10}"/>
    <cellStyle name="SAPBEXchaText 2 2 2 13" xfId="6822" xr:uid="{8EF7DC01-1EC1-4F1D-9AEC-04C1948ECF59}"/>
    <cellStyle name="SAPBEXchaText 2 2 2 13 2" xfId="6823" xr:uid="{B9E043A4-EEB0-4EE0-8A7E-E6464DF66DC9}"/>
    <cellStyle name="SAPBEXchaText 2 2 2 14" xfId="6824" xr:uid="{243B0735-8577-4EB8-A34C-A843E1D09F95}"/>
    <cellStyle name="SAPBEXchaText 2 2 2 14 2" xfId="6825" xr:uid="{84A36AD9-6CE1-4E82-91CB-4AA47EBA7D43}"/>
    <cellStyle name="SAPBEXchaText 2 2 2 15" xfId="6826" xr:uid="{97C8CD9E-62D0-48FF-A9A8-B870C786119F}"/>
    <cellStyle name="SAPBEXchaText 2 2 2 15 2" xfId="6827" xr:uid="{812D1C54-170A-4BC5-B725-180C85AD0481}"/>
    <cellStyle name="SAPBEXchaText 2 2 2 2" xfId="6828" xr:uid="{9167BC58-0A69-4134-8EDE-1303FB0E08A8}"/>
    <cellStyle name="SAPBEXchaText 2 2 2 2 2" xfId="6829" xr:uid="{DB492146-52D3-43A4-9CA1-8636BD6EE28D}"/>
    <cellStyle name="SAPBEXchaText 2 2 2 3" xfId="6830" xr:uid="{1D50E9D8-7FD7-43FF-B4DD-74046B482CC7}"/>
    <cellStyle name="SAPBEXchaText 2 2 2 3 2" xfId="6831" xr:uid="{71FBEB0A-3A41-4012-90ED-46781C9EDEFA}"/>
    <cellStyle name="SAPBEXchaText 2 2 2 4" xfId="6832" xr:uid="{255C0988-8BBD-4E20-9CA6-A5D5C223EC41}"/>
    <cellStyle name="SAPBEXchaText 2 2 2 4 2" xfId="6833" xr:uid="{A9862839-0670-4A68-8DE4-9ADC195E7239}"/>
    <cellStyle name="SAPBEXchaText 2 2 2 5" xfId="6834" xr:uid="{8DB21BE0-89D6-4F64-BA49-B99513F96DD0}"/>
    <cellStyle name="SAPBEXchaText 2 2 2 5 2" xfId="6835" xr:uid="{390530A5-3566-411A-9000-ECF7A22B2F43}"/>
    <cellStyle name="SAPBEXchaText 2 2 2 6" xfId="6836" xr:uid="{D4C250EE-DEDF-4ABD-8626-FB166A616D5C}"/>
    <cellStyle name="SAPBEXchaText 2 2 2 6 2" xfId="6837" xr:uid="{37FA5E93-C0E8-43C0-91DE-1E196C4163DD}"/>
    <cellStyle name="SAPBEXchaText 2 2 2 7" xfId="6838" xr:uid="{692B00CA-EF35-497B-8FBA-06AA7FB15BFE}"/>
    <cellStyle name="SAPBEXchaText 2 2 2 7 2" xfId="6839" xr:uid="{45D567AF-8736-4F33-B7E3-497B42C52E10}"/>
    <cellStyle name="SAPBEXchaText 2 2 2 8" xfId="6840" xr:uid="{A2BF64F8-F2FD-417F-A22F-65EA5341DBA0}"/>
    <cellStyle name="SAPBEXchaText 2 2 2 8 2" xfId="6841" xr:uid="{892D8D84-6986-4AD6-8B6E-89BB99BDB799}"/>
    <cellStyle name="SAPBEXchaText 2 2 2 9" xfId="6842" xr:uid="{FFF63751-D2CA-4683-BF51-FDA1297070F2}"/>
    <cellStyle name="SAPBEXchaText 2 2 2 9 2" xfId="6843" xr:uid="{363606C8-FEBA-4D0F-B35F-92184B7C7D08}"/>
    <cellStyle name="SAPBEXchaText 2 2 3" xfId="6844" xr:uid="{D7CD80BF-A11A-4F52-93BD-9A32B3FAC762}"/>
    <cellStyle name="SAPBEXchaText 2 2 3 10" xfId="6845" xr:uid="{255C4734-FEFF-4830-A279-51CD000C6239}"/>
    <cellStyle name="SAPBEXchaText 2 2 3 10 2" xfId="6846" xr:uid="{01C5DE62-53AB-4BBA-9CF0-993C163C4F88}"/>
    <cellStyle name="SAPBEXchaText 2 2 3 11" xfId="6847" xr:uid="{63C548E3-CB07-4379-A3B8-37B247F1BA7A}"/>
    <cellStyle name="SAPBEXchaText 2 2 3 11 2" xfId="6848" xr:uid="{024BBBB4-779F-4820-A649-CF220B921689}"/>
    <cellStyle name="SAPBEXchaText 2 2 3 12" xfId="6849" xr:uid="{0A1DB774-4FE4-4AE4-8361-1F2C871E8842}"/>
    <cellStyle name="SAPBEXchaText 2 2 3 12 2" xfId="6850" xr:uid="{531527F1-0E5C-435E-B849-9A3430BAD5D5}"/>
    <cellStyle name="SAPBEXchaText 2 2 3 13" xfId="6851" xr:uid="{DD7C3FF0-399D-4DED-A8F0-E06540EB9311}"/>
    <cellStyle name="SAPBEXchaText 2 2 3 13 2" xfId="6852" xr:uid="{ADDFE6F4-33A2-422F-9CB7-38F769B54F63}"/>
    <cellStyle name="SAPBEXchaText 2 2 3 14" xfId="6853" xr:uid="{BBAC2B1C-2CA6-40E1-AE4A-D0987F192C24}"/>
    <cellStyle name="SAPBEXchaText 2 2 3 14 2" xfId="6854" xr:uid="{5222FA24-814B-484D-83F2-A227CF37F4C1}"/>
    <cellStyle name="SAPBEXchaText 2 2 3 15" xfId="6855" xr:uid="{E5A3C396-3C11-4CA8-A382-FDFAEBEC4BCF}"/>
    <cellStyle name="SAPBEXchaText 2 2 3 15 2" xfId="6856" xr:uid="{752B0859-6585-4A36-9D68-8053FCEF21CB}"/>
    <cellStyle name="SAPBEXchaText 2 2 3 2" xfId="6857" xr:uid="{EA9412B3-C288-4AF7-AC85-B73828D6D0B8}"/>
    <cellStyle name="SAPBEXchaText 2 2 3 2 2" xfId="6858" xr:uid="{F4946B21-12D7-415C-9BEB-29B371D42853}"/>
    <cellStyle name="SAPBEXchaText 2 2 3 3" xfId="6859" xr:uid="{0DDA494F-853E-416F-B7D8-A8E4695A321E}"/>
    <cellStyle name="SAPBEXchaText 2 2 3 3 2" xfId="6860" xr:uid="{84FD8369-0243-4B4B-AC29-B8538438C0E2}"/>
    <cellStyle name="SAPBEXchaText 2 2 3 4" xfId="6861" xr:uid="{15F87557-9629-46F7-A199-2C64AACA05DF}"/>
    <cellStyle name="SAPBEXchaText 2 2 3 4 2" xfId="6862" xr:uid="{CBE64BC6-7ABB-4732-9EC7-9D63C5795F3B}"/>
    <cellStyle name="SAPBEXchaText 2 2 3 5" xfId="6863" xr:uid="{F0E4CFA4-D417-4463-B11A-161FD81A1977}"/>
    <cellStyle name="SAPBEXchaText 2 2 3 5 2" xfId="6864" xr:uid="{45BA3840-F893-4FFC-BC53-C37AF7B5C405}"/>
    <cellStyle name="SAPBEXchaText 2 2 3 6" xfId="6865" xr:uid="{850CEACA-FFC8-402A-997D-EF38CA694366}"/>
    <cellStyle name="SAPBEXchaText 2 2 3 6 2" xfId="6866" xr:uid="{8B7080AB-0D1B-4421-956C-A824AFF32DB0}"/>
    <cellStyle name="SAPBEXchaText 2 2 3 7" xfId="6867" xr:uid="{F2B8ADA2-D054-4434-97D7-C02ED82DE92A}"/>
    <cellStyle name="SAPBEXchaText 2 2 3 7 2" xfId="6868" xr:uid="{D2C411F3-6B23-4BEC-9F7E-9DF0951F6291}"/>
    <cellStyle name="SAPBEXchaText 2 2 3 8" xfId="6869" xr:uid="{2DA57F13-58CB-4646-99FB-AC00DB9535EA}"/>
    <cellStyle name="SAPBEXchaText 2 2 3 8 2" xfId="6870" xr:uid="{BFC18CC7-C354-4F2C-A9C8-6A1F42BE6939}"/>
    <cellStyle name="SAPBEXchaText 2 2 3 9" xfId="6871" xr:uid="{47116821-9BDA-49E2-AC54-D49DA844AE12}"/>
    <cellStyle name="SAPBEXchaText 2 2 3 9 2" xfId="6872" xr:uid="{981A67E8-A2D8-419C-A4BA-C04622F7CD8F}"/>
    <cellStyle name="SAPBEXchaText 2 2 4" xfId="6873" xr:uid="{5A216821-2732-442F-AFAA-97A948B2F314}"/>
    <cellStyle name="SAPBEXchaText 2 2 4 2" xfId="6874" xr:uid="{18C1B869-0040-46E8-8793-F8E694D59249}"/>
    <cellStyle name="SAPBEXchaText 2 2 5" xfId="6875" xr:uid="{9E4CF2AA-7A82-4505-9D8D-0694F94571E9}"/>
    <cellStyle name="SAPBEXchaText 2 2 5 2" xfId="6876" xr:uid="{A4BFD1DE-0E7F-4EF4-AA57-62A1E6913D3D}"/>
    <cellStyle name="SAPBEXchaText 2 2 6" xfId="6877" xr:uid="{7A7FB414-F1D7-464F-B2C7-4642281E101C}"/>
    <cellStyle name="SAPBEXchaText 2 2 6 2" xfId="6878" xr:uid="{69DC9B52-8815-4A95-9B4A-A40BFB690A1E}"/>
    <cellStyle name="SAPBEXchaText 2 2 7" xfId="6879" xr:uid="{85CFBAEA-CECC-4729-9DE3-0C437BFFBA23}"/>
    <cellStyle name="SAPBEXchaText 2 2 7 2" xfId="6880" xr:uid="{9DD98C43-00A3-4648-85A3-7996C9871959}"/>
    <cellStyle name="SAPBEXchaText 2 2 8" xfId="6881" xr:uid="{5800DFD5-DD7F-455A-9A95-F4110BC3262F}"/>
    <cellStyle name="SAPBEXchaText 2 2 8 2" xfId="6882" xr:uid="{BA5B65E0-24B1-4055-92BF-4F505AD82958}"/>
    <cellStyle name="SAPBEXchaText 2 2 9" xfId="6883" xr:uid="{249DE04B-6215-4D26-8A19-EBD1B58F104A}"/>
    <cellStyle name="SAPBEXchaText 2 2 9 2" xfId="6884" xr:uid="{C36DF498-2287-4ACC-B70E-F6D8EF355AB2}"/>
    <cellStyle name="SAPBEXchaText 2 3" xfId="6885" xr:uid="{5C8AB08F-8EE6-45C6-ADD7-F20F49C0425E}"/>
    <cellStyle name="SAPBEXchaText 2 3 10" xfId="6886" xr:uid="{C9843B21-E6D3-4B64-B1CF-94E0FD6D7432}"/>
    <cellStyle name="SAPBEXchaText 2 3 10 2" xfId="6887" xr:uid="{E95DC06D-D617-4098-8A5B-22710F8761BF}"/>
    <cellStyle name="SAPBEXchaText 2 3 11" xfId="6888" xr:uid="{1F1C1D1E-5EC3-4609-8BFF-13C9FD1AA328}"/>
    <cellStyle name="SAPBEXchaText 2 3 11 2" xfId="6889" xr:uid="{E6B6AED3-4045-45ED-A795-EB36B57D9597}"/>
    <cellStyle name="SAPBEXchaText 2 3 12" xfId="6890" xr:uid="{B2318BAA-C1F3-4578-B94A-B50EE00BCAD3}"/>
    <cellStyle name="SAPBEXchaText 2 3 12 2" xfId="6891" xr:uid="{6D808BC1-7C3E-4190-8200-F13091E67DA7}"/>
    <cellStyle name="SAPBEXchaText 2 3 13" xfId="6892" xr:uid="{A36BE577-5298-4CC4-89B9-9B48C04FF6AA}"/>
    <cellStyle name="SAPBEXchaText 2 3 13 2" xfId="6893" xr:uid="{08434DF7-3A76-4F81-9CCF-362C1080CED1}"/>
    <cellStyle name="SAPBEXchaText 2 3 14" xfId="6894" xr:uid="{0433E3C5-5DD5-4D0E-BCD9-1FEDB2BA175C}"/>
    <cellStyle name="SAPBEXchaText 2 3 14 2" xfId="6895" xr:uid="{D3FAE0EF-560E-4A7B-8EF2-BF2A84AEE767}"/>
    <cellStyle name="SAPBEXchaText 2 3 15" xfId="6896" xr:uid="{33294669-8BB8-4627-A75B-C8539E4FCE28}"/>
    <cellStyle name="SAPBEXchaText 2 3 15 2" xfId="6897" xr:uid="{586BF5DA-28D8-42BD-B019-53CBDA4AFBBC}"/>
    <cellStyle name="SAPBEXchaText 2 3 16" xfId="6898" xr:uid="{F76100C8-46C2-49A1-9E60-B25E70B23578}"/>
    <cellStyle name="SAPBEXchaText 2 3 16 2" xfId="6899" xr:uid="{63BCF1E0-30A2-442F-9F4E-7A6C87FBCF61}"/>
    <cellStyle name="SAPBEXchaText 2 3 17" xfId="6900" xr:uid="{DC231A2C-F26F-4449-BCE7-619DD356353D}"/>
    <cellStyle name="SAPBEXchaText 2 3 17 2" xfId="6901" xr:uid="{4536A416-CC1E-42EC-ADAE-40A6882ED481}"/>
    <cellStyle name="SAPBEXchaText 2 3 2" xfId="6902" xr:uid="{2EC35759-AFD1-4212-A93D-BC69D001E091}"/>
    <cellStyle name="SAPBEXchaText 2 3 2 10" xfId="6903" xr:uid="{EB9D45DF-62DE-4622-8FD9-A54670BD22AA}"/>
    <cellStyle name="SAPBEXchaText 2 3 2 10 2" xfId="6904" xr:uid="{F1EDF35D-6C35-436B-9BCC-EEC4352495E9}"/>
    <cellStyle name="SAPBEXchaText 2 3 2 11" xfId="6905" xr:uid="{B1098438-A692-4122-9A7C-97688FAB311F}"/>
    <cellStyle name="SAPBEXchaText 2 3 2 11 2" xfId="6906" xr:uid="{286B020A-3EE5-4BB0-BEF1-24891ACF982B}"/>
    <cellStyle name="SAPBEXchaText 2 3 2 12" xfId="6907" xr:uid="{8FCBA73E-E01A-45B2-A03F-A4390B43F9D2}"/>
    <cellStyle name="SAPBEXchaText 2 3 2 12 2" xfId="6908" xr:uid="{03B398C1-E799-45FB-982B-FE8A0A69149C}"/>
    <cellStyle name="SAPBEXchaText 2 3 2 13" xfId="6909" xr:uid="{12774347-B0C9-4DF5-B476-813607E3A687}"/>
    <cellStyle name="SAPBEXchaText 2 3 2 13 2" xfId="6910" xr:uid="{19742F14-07E4-4D27-BD0F-C40FC28352BB}"/>
    <cellStyle name="SAPBEXchaText 2 3 2 14" xfId="6911" xr:uid="{AB6AB4FD-0CE4-4B9A-8E0F-D31210F09481}"/>
    <cellStyle name="SAPBEXchaText 2 3 2 14 2" xfId="6912" xr:uid="{B4E8D6C6-C315-4B9D-A1BD-1D70BC51AE15}"/>
    <cellStyle name="SAPBEXchaText 2 3 2 15" xfId="6913" xr:uid="{5A270E3A-6BCB-4449-8D99-E0F82A911F46}"/>
    <cellStyle name="SAPBEXchaText 2 3 2 15 2" xfId="6914" xr:uid="{53E6D690-3FFC-43CC-B6DB-3DA498C2DDF5}"/>
    <cellStyle name="SAPBEXchaText 2 3 2 2" xfId="6915" xr:uid="{BB02674B-4AD9-4CD3-9D61-BCFB45025DAC}"/>
    <cellStyle name="SAPBEXchaText 2 3 2 2 2" xfId="6916" xr:uid="{7047C52E-79DD-4780-96D1-256EBD020C39}"/>
    <cellStyle name="SAPBEXchaText 2 3 2 3" xfId="6917" xr:uid="{EFD79EA8-705F-4E0D-8FC3-20760E9FF94B}"/>
    <cellStyle name="SAPBEXchaText 2 3 2 3 2" xfId="6918" xr:uid="{9A3663BB-D053-415A-A045-BA4FF4139C12}"/>
    <cellStyle name="SAPBEXchaText 2 3 2 4" xfId="6919" xr:uid="{7FBD52CC-16FE-423B-AB72-A13AA7847394}"/>
    <cellStyle name="SAPBEXchaText 2 3 2 4 2" xfId="6920" xr:uid="{2778615E-901D-4833-B6C7-70E7C7D40F62}"/>
    <cellStyle name="SAPBEXchaText 2 3 2 5" xfId="6921" xr:uid="{846DFE87-2039-4DB9-9112-AFCF1F4F6C3A}"/>
    <cellStyle name="SAPBEXchaText 2 3 2 5 2" xfId="6922" xr:uid="{54AB990E-23AF-4C3D-8371-B182A0248E89}"/>
    <cellStyle name="SAPBEXchaText 2 3 2 6" xfId="6923" xr:uid="{10B4E4F5-A243-42AA-80D3-AEED5E01DDE2}"/>
    <cellStyle name="SAPBEXchaText 2 3 2 6 2" xfId="6924" xr:uid="{5F9C28C1-D6BC-4190-A8E6-0C6117E14246}"/>
    <cellStyle name="SAPBEXchaText 2 3 2 7" xfId="6925" xr:uid="{A81D6738-0348-42B1-89AF-50723F83B8BA}"/>
    <cellStyle name="SAPBEXchaText 2 3 2 7 2" xfId="6926" xr:uid="{633F54FC-30A2-4391-859D-A144AC61E1E5}"/>
    <cellStyle name="SAPBEXchaText 2 3 2 8" xfId="6927" xr:uid="{C8F74828-25C4-40C6-AD0F-AA0E7F01F508}"/>
    <cellStyle name="SAPBEXchaText 2 3 2 8 2" xfId="6928" xr:uid="{03E7CF4E-B2D8-402C-B8DE-14FFF03A07FD}"/>
    <cellStyle name="SAPBEXchaText 2 3 2 9" xfId="6929" xr:uid="{3EA28E64-E7CE-48D8-B63D-5B19D436BE45}"/>
    <cellStyle name="SAPBEXchaText 2 3 2 9 2" xfId="6930" xr:uid="{05597478-B28C-4974-AC9E-1C0A33B72EBA}"/>
    <cellStyle name="SAPBEXchaText 2 3 3" xfId="6931" xr:uid="{9265AA90-5709-4650-B76A-9B3DD9E8B668}"/>
    <cellStyle name="SAPBEXchaText 2 3 3 10" xfId="6932" xr:uid="{A15FC730-305C-4B52-B6E6-CFB44DD1B633}"/>
    <cellStyle name="SAPBEXchaText 2 3 3 10 2" xfId="6933" xr:uid="{3C004818-0038-4562-A6C4-F8EE5DC88032}"/>
    <cellStyle name="SAPBEXchaText 2 3 3 11" xfId="6934" xr:uid="{23D8F92B-C477-40EA-8DCD-48395112093A}"/>
    <cellStyle name="SAPBEXchaText 2 3 3 11 2" xfId="6935" xr:uid="{0CBD059C-9E4B-4D4B-A2AE-443B16C6F316}"/>
    <cellStyle name="SAPBEXchaText 2 3 3 12" xfId="6936" xr:uid="{F0865241-569F-4E63-8C30-8FB734C31BCD}"/>
    <cellStyle name="SAPBEXchaText 2 3 3 12 2" xfId="6937" xr:uid="{CF3B0488-24B5-4AEA-BC9D-FD2ED3D3E268}"/>
    <cellStyle name="SAPBEXchaText 2 3 3 13" xfId="6938" xr:uid="{AA257EB6-AC27-4B96-9C66-627E5F9C89E1}"/>
    <cellStyle name="SAPBEXchaText 2 3 3 13 2" xfId="6939" xr:uid="{E7BAEF2C-EB25-4359-97AF-CBA7712F8076}"/>
    <cellStyle name="SAPBEXchaText 2 3 3 14" xfId="6940" xr:uid="{50747B8A-353D-43F9-983F-11C8F9815A32}"/>
    <cellStyle name="SAPBEXchaText 2 3 3 14 2" xfId="6941" xr:uid="{5E492E7C-5118-44BD-88DF-90DA5A2EFDFD}"/>
    <cellStyle name="SAPBEXchaText 2 3 3 15" xfId="6942" xr:uid="{528EE2E1-350D-4AEC-BE6F-EC573C81A65C}"/>
    <cellStyle name="SAPBEXchaText 2 3 3 15 2" xfId="6943" xr:uid="{BB65F66B-735B-45CA-A3ED-ABF33A0437A1}"/>
    <cellStyle name="SAPBEXchaText 2 3 3 2" xfId="6944" xr:uid="{6E20150C-BD80-4583-A7A6-03CE0B727901}"/>
    <cellStyle name="SAPBEXchaText 2 3 3 2 2" xfId="6945" xr:uid="{C679E09A-B089-4BC8-8606-973D9419FDCF}"/>
    <cellStyle name="SAPBEXchaText 2 3 3 3" xfId="6946" xr:uid="{7AC6ECA0-9501-48B2-975D-F74C62F859D4}"/>
    <cellStyle name="SAPBEXchaText 2 3 3 3 2" xfId="6947" xr:uid="{A18F2C13-8E56-4641-A663-6548BD007D0F}"/>
    <cellStyle name="SAPBEXchaText 2 3 3 4" xfId="6948" xr:uid="{53DA7DBE-673E-432A-9DF8-322529CD38E4}"/>
    <cellStyle name="SAPBEXchaText 2 3 3 4 2" xfId="6949" xr:uid="{67811355-A638-4FC0-BE2B-AC64B28BDED7}"/>
    <cellStyle name="SAPBEXchaText 2 3 3 5" xfId="6950" xr:uid="{A3B5E472-629A-4C3D-BCFF-E4B3BF608DAE}"/>
    <cellStyle name="SAPBEXchaText 2 3 3 5 2" xfId="6951" xr:uid="{41FDA4B9-3F1B-4D8D-9305-DE000946403C}"/>
    <cellStyle name="SAPBEXchaText 2 3 3 6" xfId="6952" xr:uid="{0CA5292B-C0F0-46C4-85CE-01FFF16E6E4B}"/>
    <cellStyle name="SAPBEXchaText 2 3 3 6 2" xfId="6953" xr:uid="{82856781-6F2A-49FD-A303-AA6A95989A11}"/>
    <cellStyle name="SAPBEXchaText 2 3 3 7" xfId="6954" xr:uid="{A7FF27AC-4441-4F96-A7F9-8849170B3925}"/>
    <cellStyle name="SAPBEXchaText 2 3 3 7 2" xfId="6955" xr:uid="{A8174622-407B-49A1-B570-CEEDDEB40E3E}"/>
    <cellStyle name="SAPBEXchaText 2 3 3 8" xfId="6956" xr:uid="{FD474D57-B49E-427F-8776-DEBC0C5553A0}"/>
    <cellStyle name="SAPBEXchaText 2 3 3 8 2" xfId="6957" xr:uid="{9D18830D-C9BF-4F5B-A15F-17D4EE2257ED}"/>
    <cellStyle name="SAPBEXchaText 2 3 3 9" xfId="6958" xr:uid="{4E7F25D3-6253-4FCA-A426-E604DBCBEF45}"/>
    <cellStyle name="SAPBEXchaText 2 3 3 9 2" xfId="6959" xr:uid="{CE2C050D-CAAB-4207-A873-BFFE4C08DCF0}"/>
    <cellStyle name="SAPBEXchaText 2 3 4" xfId="6960" xr:uid="{9C9F06A7-5803-45D7-ABB4-3A06B910694D}"/>
    <cellStyle name="SAPBEXchaText 2 3 4 2" xfId="6961" xr:uid="{A4DB44C2-A02E-48C6-A4FD-0BBDB545080C}"/>
    <cellStyle name="SAPBEXchaText 2 3 5" xfId="6962" xr:uid="{0F488B3B-4AAC-4A4E-870B-20F73661402E}"/>
    <cellStyle name="SAPBEXchaText 2 3 5 2" xfId="6963" xr:uid="{EAF43212-8F4F-464C-A458-499213CE7C90}"/>
    <cellStyle name="SAPBEXchaText 2 3 6" xfId="6964" xr:uid="{EA3874D9-EA8F-463B-8EEA-57F712F00E5F}"/>
    <cellStyle name="SAPBEXchaText 2 3 6 2" xfId="6965" xr:uid="{971ACE13-374C-4F07-8A5D-EA798D99118D}"/>
    <cellStyle name="SAPBEXchaText 2 3 7" xfId="6966" xr:uid="{69AE5985-EF40-4B04-B96E-58F0CF44AF1A}"/>
    <cellStyle name="SAPBEXchaText 2 3 7 2" xfId="6967" xr:uid="{36DECCE6-7F97-4D87-8E8D-9DA9F9544136}"/>
    <cellStyle name="SAPBEXchaText 2 3 8" xfId="6968" xr:uid="{9975C8B0-674B-4F20-87CF-183893EABADD}"/>
    <cellStyle name="SAPBEXchaText 2 3 8 2" xfId="6969" xr:uid="{D21F72DB-812D-4077-9375-D9775EF81A9B}"/>
    <cellStyle name="SAPBEXchaText 2 3 9" xfId="6970" xr:uid="{72B8DF3E-3C9D-4CD6-8752-2579F7B1A3E5}"/>
    <cellStyle name="SAPBEXchaText 2 3 9 2" xfId="6971" xr:uid="{3C6DD603-9955-4F61-9080-FBB576FEC656}"/>
    <cellStyle name="SAPBEXchaText 2 4" xfId="6972" xr:uid="{CB9059D8-01E4-4BF0-868D-57833111717F}"/>
    <cellStyle name="SAPBEXchaText 2 4 10" xfId="6973" xr:uid="{B4FD202F-F4E2-4490-A23E-89361C9A9A6F}"/>
    <cellStyle name="SAPBEXchaText 2 4 10 2" xfId="6974" xr:uid="{9BDFFE7C-A6C3-488D-BFAA-5A69525087D0}"/>
    <cellStyle name="SAPBEXchaText 2 4 11" xfId="6975" xr:uid="{B0ABEAC8-3DE1-4263-9077-C1FD8F3D2466}"/>
    <cellStyle name="SAPBEXchaText 2 4 11 2" xfId="6976" xr:uid="{2BA4B08F-E603-46B2-9875-E45EC86E33CD}"/>
    <cellStyle name="SAPBEXchaText 2 4 12" xfId="6977" xr:uid="{DCE2DDA4-E38D-4F5A-A0B9-F8DDD9C45241}"/>
    <cellStyle name="SAPBEXchaText 2 4 12 2" xfId="6978" xr:uid="{92D00E9C-32E8-4966-BB2B-ED5540E62536}"/>
    <cellStyle name="SAPBEXchaText 2 4 13" xfId="6979" xr:uid="{936CEA70-A00B-416A-A548-2DE4736DEEB6}"/>
    <cellStyle name="SAPBEXchaText 2 4 13 2" xfId="6980" xr:uid="{628F9CFF-AE71-481D-8345-60B064BBB293}"/>
    <cellStyle name="SAPBEXchaText 2 4 14" xfId="6981" xr:uid="{7A91E895-B20E-43D5-BAD5-615C6DEC302C}"/>
    <cellStyle name="SAPBEXchaText 2 4 14 2" xfId="6982" xr:uid="{A847469C-A451-4287-9D08-217E76A0A55B}"/>
    <cellStyle name="SAPBEXchaText 2 4 15" xfId="6983" xr:uid="{FA145082-CC32-4149-8E16-0C53745A9F99}"/>
    <cellStyle name="SAPBEXchaText 2 4 15 2" xfId="6984" xr:uid="{6E797CDC-8DC8-4937-A2DC-0CF6BBE94D67}"/>
    <cellStyle name="SAPBEXchaText 2 4 16" xfId="6985" xr:uid="{B17DBBC2-04F0-46E9-B226-3B41CD7695CD}"/>
    <cellStyle name="SAPBEXchaText 2 4 16 2" xfId="6986" xr:uid="{ACC30252-6253-4B35-A717-13959E774CB1}"/>
    <cellStyle name="SAPBEXchaText 2 4 17" xfId="6987" xr:uid="{09BB9E6D-9D10-483B-9051-B3538A48F82C}"/>
    <cellStyle name="SAPBEXchaText 2 4 17 2" xfId="6988" xr:uid="{52A5D80C-EEAC-4946-AB90-F637DB85E2E9}"/>
    <cellStyle name="SAPBEXchaText 2 4 2" xfId="6989" xr:uid="{F52B29B4-B3FE-4578-8772-DB23AB207899}"/>
    <cellStyle name="SAPBEXchaText 2 4 2 10" xfId="6990" xr:uid="{A3B09B83-CCAD-4EBA-833F-EEF5553DC8F5}"/>
    <cellStyle name="SAPBEXchaText 2 4 2 10 2" xfId="6991" xr:uid="{2346A423-03C4-491D-BA3C-4302701FA3C6}"/>
    <cellStyle name="SAPBEXchaText 2 4 2 11" xfId="6992" xr:uid="{AAF448F3-EE8D-4714-9A7D-778289F94A56}"/>
    <cellStyle name="SAPBEXchaText 2 4 2 11 2" xfId="6993" xr:uid="{9818151A-F4F4-44DA-976C-2F75CB2E0724}"/>
    <cellStyle name="SAPBEXchaText 2 4 2 12" xfId="6994" xr:uid="{55E8C949-6E65-4DE9-84EF-48C24E862069}"/>
    <cellStyle name="SAPBEXchaText 2 4 2 12 2" xfId="6995" xr:uid="{AC190012-4E41-48C6-A00A-E2D698F8692A}"/>
    <cellStyle name="SAPBEXchaText 2 4 2 13" xfId="6996" xr:uid="{4C5A9CA7-0A85-4372-A1D0-29E0F5418B7B}"/>
    <cellStyle name="SAPBEXchaText 2 4 2 13 2" xfId="6997" xr:uid="{290B23D7-4903-4A12-9F6D-8DFFFDEE2056}"/>
    <cellStyle name="SAPBEXchaText 2 4 2 14" xfId="6998" xr:uid="{60E1DD73-F242-4B61-9EDC-8D523FABDAFF}"/>
    <cellStyle name="SAPBEXchaText 2 4 2 14 2" xfId="6999" xr:uid="{5FE53AC6-18DE-45CB-94D0-BF2CEDC0D9B2}"/>
    <cellStyle name="SAPBEXchaText 2 4 2 15" xfId="7000" xr:uid="{EF14972C-9877-4D52-B935-A0E6FC91C2E9}"/>
    <cellStyle name="SAPBEXchaText 2 4 2 15 2" xfId="7001" xr:uid="{28C282E4-CF60-4F58-9B6A-4BE236AA3477}"/>
    <cellStyle name="SAPBEXchaText 2 4 2 2" xfId="7002" xr:uid="{832ACD46-DC06-4A10-8DAB-0CFEAA36CE4E}"/>
    <cellStyle name="SAPBEXchaText 2 4 2 2 2" xfId="7003" xr:uid="{EC04522A-5262-44E5-A63E-4A558E36CA13}"/>
    <cellStyle name="SAPBEXchaText 2 4 2 3" xfId="7004" xr:uid="{CE20B9FA-2771-43FF-9900-D8E8EB88409D}"/>
    <cellStyle name="SAPBEXchaText 2 4 2 3 2" xfId="7005" xr:uid="{C71A7A65-862A-40CA-9663-73C9C9FEED22}"/>
    <cellStyle name="SAPBEXchaText 2 4 2 4" xfId="7006" xr:uid="{D9495253-A55D-44E0-BAB3-96BC83981FA9}"/>
    <cellStyle name="SAPBEXchaText 2 4 2 4 2" xfId="7007" xr:uid="{A4FC7C10-F459-4909-B42E-10B3953B6D5B}"/>
    <cellStyle name="SAPBEXchaText 2 4 2 5" xfId="7008" xr:uid="{C983E42C-F722-42B9-9EAB-885E9FB2864B}"/>
    <cellStyle name="SAPBEXchaText 2 4 2 5 2" xfId="7009" xr:uid="{16A747FD-8149-4C1D-945D-0649ECB1D3D4}"/>
    <cellStyle name="SAPBEXchaText 2 4 2 6" xfId="7010" xr:uid="{0E6C4687-B363-470D-AE91-01D61D1AB6A2}"/>
    <cellStyle name="SAPBEXchaText 2 4 2 6 2" xfId="7011" xr:uid="{537BE1FC-1644-4353-A0DD-46CA12FC9775}"/>
    <cellStyle name="SAPBEXchaText 2 4 2 7" xfId="7012" xr:uid="{9DB6A128-E86A-4073-82E1-4199823140B5}"/>
    <cellStyle name="SAPBEXchaText 2 4 2 7 2" xfId="7013" xr:uid="{9496932B-97F8-49CE-87DB-06397787DF3B}"/>
    <cellStyle name="SAPBEXchaText 2 4 2 8" xfId="7014" xr:uid="{983A5AD9-1369-49B0-8B7A-BDC3E2A89F42}"/>
    <cellStyle name="SAPBEXchaText 2 4 2 8 2" xfId="7015" xr:uid="{6394F546-5D63-4E39-9C09-AB184B16B022}"/>
    <cellStyle name="SAPBEXchaText 2 4 2 9" xfId="7016" xr:uid="{84A650CF-B74B-4ADB-A249-376FD2D59058}"/>
    <cellStyle name="SAPBEXchaText 2 4 2 9 2" xfId="7017" xr:uid="{DDE78E94-00F6-4021-9D5E-CAC3F906E2BB}"/>
    <cellStyle name="SAPBEXchaText 2 4 3" xfId="7018" xr:uid="{355DF051-3E80-4821-963F-CE3B3E18948A}"/>
    <cellStyle name="SAPBEXchaText 2 4 3 10" xfId="7019" xr:uid="{324F0819-92F1-48D7-81DE-80685B55FBEB}"/>
    <cellStyle name="SAPBEXchaText 2 4 3 10 2" xfId="7020" xr:uid="{52982E86-441A-4380-BB77-A9A333F249EE}"/>
    <cellStyle name="SAPBEXchaText 2 4 3 11" xfId="7021" xr:uid="{458E10B8-45DB-428B-BB8C-D5FFDF31CB19}"/>
    <cellStyle name="SAPBEXchaText 2 4 3 11 2" xfId="7022" xr:uid="{3D9B1527-B6B0-4531-8B01-BC7E5B0D7EFD}"/>
    <cellStyle name="SAPBEXchaText 2 4 3 12" xfId="7023" xr:uid="{83441F44-E0A9-480E-84D6-F49F98C0AA94}"/>
    <cellStyle name="SAPBEXchaText 2 4 3 12 2" xfId="7024" xr:uid="{2B3A15D8-3A1C-496B-8952-C4971D7143CF}"/>
    <cellStyle name="SAPBEXchaText 2 4 3 13" xfId="7025" xr:uid="{DB333A2E-C4E3-4437-B7A1-5D4CF0A09D2D}"/>
    <cellStyle name="SAPBEXchaText 2 4 3 13 2" xfId="7026" xr:uid="{5F0C6E4A-56B7-423A-B5A6-FD11593129AA}"/>
    <cellStyle name="SAPBEXchaText 2 4 3 14" xfId="7027" xr:uid="{EFBF57F8-2BBD-4939-80E6-EE37307C94D6}"/>
    <cellStyle name="SAPBEXchaText 2 4 3 14 2" xfId="7028" xr:uid="{2D77461B-CA74-4FA8-8770-291A4C473F63}"/>
    <cellStyle name="SAPBEXchaText 2 4 3 15" xfId="7029" xr:uid="{FA667CA9-4BF7-46C9-A8A9-ADF4D4358A72}"/>
    <cellStyle name="SAPBEXchaText 2 4 3 15 2" xfId="7030" xr:uid="{BE0945E7-ED88-497E-B784-4F3C80B65BAC}"/>
    <cellStyle name="SAPBEXchaText 2 4 3 2" xfId="7031" xr:uid="{00DF6D8E-C943-4CC8-8589-31FD80393633}"/>
    <cellStyle name="SAPBEXchaText 2 4 3 2 2" xfId="7032" xr:uid="{E50F0461-8253-4507-93D7-CF144F4058F8}"/>
    <cellStyle name="SAPBEXchaText 2 4 3 3" xfId="7033" xr:uid="{BF0E4B3A-80B7-4F8A-B7ED-66B8B4A16650}"/>
    <cellStyle name="SAPBEXchaText 2 4 3 3 2" xfId="7034" xr:uid="{4304C96C-DE1F-41BD-BDFC-2457D02CA9B5}"/>
    <cellStyle name="SAPBEXchaText 2 4 3 4" xfId="7035" xr:uid="{D7D633B9-2084-499C-870B-76706EE568A8}"/>
    <cellStyle name="SAPBEXchaText 2 4 3 4 2" xfId="7036" xr:uid="{94A83184-33B5-45F4-99AD-E882D2595B92}"/>
    <cellStyle name="SAPBEXchaText 2 4 3 5" xfId="7037" xr:uid="{71A1D5A7-2598-493C-8CA7-4BBE9495C6D4}"/>
    <cellStyle name="SAPBEXchaText 2 4 3 5 2" xfId="7038" xr:uid="{169475D4-C98D-48AF-9E75-5B2E4D2635DA}"/>
    <cellStyle name="SAPBEXchaText 2 4 3 6" xfId="7039" xr:uid="{53C14774-DD80-467E-8A49-6E2D6BAFC3F6}"/>
    <cellStyle name="SAPBEXchaText 2 4 3 6 2" xfId="7040" xr:uid="{28540E09-148D-40B0-8FA2-449FFFACE6DF}"/>
    <cellStyle name="SAPBEXchaText 2 4 3 7" xfId="7041" xr:uid="{CD887852-73EA-43BD-B95A-AE4302D22439}"/>
    <cellStyle name="SAPBEXchaText 2 4 3 7 2" xfId="7042" xr:uid="{36E69E2D-CF43-41D4-B3F3-51EDA194839D}"/>
    <cellStyle name="SAPBEXchaText 2 4 3 8" xfId="7043" xr:uid="{0DAB679E-131C-4A65-B659-42CC6AA67783}"/>
    <cellStyle name="SAPBEXchaText 2 4 3 8 2" xfId="7044" xr:uid="{5718BA05-CDF3-44D4-8D5F-5932B235A169}"/>
    <cellStyle name="SAPBEXchaText 2 4 3 9" xfId="7045" xr:uid="{266B4A23-C8CC-4F5D-A531-664850BD5E2D}"/>
    <cellStyle name="SAPBEXchaText 2 4 3 9 2" xfId="7046" xr:uid="{C60FCF1C-99C1-432D-AA1F-0EDADD888D06}"/>
    <cellStyle name="SAPBEXchaText 2 4 4" xfId="7047" xr:uid="{7E17DB06-BB06-4306-8A37-8D94CBFB01A9}"/>
    <cellStyle name="SAPBEXchaText 2 4 4 2" xfId="7048" xr:uid="{A13E5449-E47F-4E6E-9E60-7D78443AAC04}"/>
    <cellStyle name="SAPBEXchaText 2 4 5" xfId="7049" xr:uid="{5804F06F-6897-430F-93E1-AA52476966BC}"/>
    <cellStyle name="SAPBEXchaText 2 4 5 2" xfId="7050" xr:uid="{F4E4DAD7-BD5C-4EFD-80F0-BAD5F2069F9F}"/>
    <cellStyle name="SAPBEXchaText 2 4 6" xfId="7051" xr:uid="{83278A0E-B752-4925-BF9B-920E3F22F44D}"/>
    <cellStyle name="SAPBEXchaText 2 4 6 2" xfId="7052" xr:uid="{68EF39B3-C035-480A-AC5B-5B7053AC4A62}"/>
    <cellStyle name="SAPBEXchaText 2 4 7" xfId="7053" xr:uid="{142FB4FC-A7A5-4BEF-B4EF-D499BB72C6C4}"/>
    <cellStyle name="SAPBEXchaText 2 4 7 2" xfId="7054" xr:uid="{92EA8FC1-8D9B-45F4-81A0-48FFDA97C087}"/>
    <cellStyle name="SAPBEXchaText 2 4 8" xfId="7055" xr:uid="{D7F81D6E-9340-430D-9532-996907FF3C9B}"/>
    <cellStyle name="SAPBEXchaText 2 4 8 2" xfId="7056" xr:uid="{DE5948BB-B436-48C3-B400-AE5705AFB9B3}"/>
    <cellStyle name="SAPBEXchaText 2 4 9" xfId="7057" xr:uid="{271520C5-CA05-4420-87CD-AD4FFC370B3D}"/>
    <cellStyle name="SAPBEXchaText 2 4 9 2" xfId="7058" xr:uid="{A724D2FF-90ED-48C0-A400-59BC564AFC52}"/>
    <cellStyle name="SAPBEXchaText 2 5" xfId="7059" xr:uid="{78FC47E8-4F60-41E7-8500-C2BF0465CFFB}"/>
    <cellStyle name="SAPBEXchaText 2 5 2" xfId="7060" xr:uid="{CB086200-44DE-4546-950F-8ED9ED8ED4E9}"/>
    <cellStyle name="SAPBEXchaText 2 6" xfId="7061" xr:uid="{6A4DD81B-4236-4116-9C99-0E3CB063A001}"/>
    <cellStyle name="SAPBEXchaText 2 6 2" xfId="7062" xr:uid="{7D478BFC-6824-4645-ADEA-9EF287954D5C}"/>
    <cellStyle name="SAPBEXchaText 2 7" xfId="7063" xr:uid="{67A508FB-1009-4BAA-93D9-F7A207370DF3}"/>
    <cellStyle name="SAPBEXchaText 2 7 2" xfId="7064" xr:uid="{B5AFA669-5204-4816-8685-85566FE823CA}"/>
    <cellStyle name="SAPBEXchaText 2 8" xfId="7065" xr:uid="{72177666-1349-4DB8-8137-7968A95D9945}"/>
    <cellStyle name="SAPBEXchaText 2 8 2" xfId="7066" xr:uid="{9066EB5C-54CC-440A-A98E-5B4B4CE688DC}"/>
    <cellStyle name="SAPBEXchaText 2 9" xfId="7067" xr:uid="{9FD916B1-53F0-4145-8F67-4EE8A3717533}"/>
    <cellStyle name="SAPBEXchaText 2 9 2" xfId="7068" xr:uid="{C6D5E5E5-2BEB-4A07-A6A7-031B0C9ACC89}"/>
    <cellStyle name="SAPBEXchaText 2_T1 ANSP" xfId="6779" xr:uid="{0361F8AE-39FF-41E1-B77D-BCF83F9B6BF7}"/>
    <cellStyle name="SAPBEXchaText 3" xfId="1503" xr:uid="{00000000-0005-0000-0000-00005F050000}"/>
    <cellStyle name="SAPBEXchaText 4" xfId="7069" xr:uid="{3EF46627-3CA3-4A68-A112-CA00D958165D}"/>
    <cellStyle name="SAPBEXchaText 4 2" xfId="7070" xr:uid="{506A186D-3AB2-401E-9AF1-BB52BB4F0C11}"/>
    <cellStyle name="SAPBEXchaText 5" xfId="7071" xr:uid="{1EF8D91C-B2B9-42BB-9171-5B613C865121}"/>
    <cellStyle name="SAPBEXchaText 5 2" xfId="7072" xr:uid="{64E485C7-0F7D-436A-947F-60CC04A4E15E}"/>
    <cellStyle name="SAPBEXchaText 6" xfId="7073" xr:uid="{E9EE82C2-09B0-427E-8271-E1B1ECBE2A32}"/>
    <cellStyle name="SAPBEXchaText 6 2" xfId="7074" xr:uid="{962CFF75-950B-4315-AD27-F6AA6976710F}"/>
    <cellStyle name="SAPBEXchaText 7" xfId="7075" xr:uid="{1B7A606D-CF7A-4E5C-802E-494EEB26DD81}"/>
    <cellStyle name="SAPBEXchaText 7 2" xfId="7076" xr:uid="{469DFD82-10E1-47A2-8B7F-AFD2D1EDDC8F}"/>
    <cellStyle name="SAPBEXchaText 8" xfId="7077" xr:uid="{1798FCDA-F110-42D6-9A9A-D9211EA24688}"/>
    <cellStyle name="SAPBEXchaText 8 2" xfId="7078" xr:uid="{B47966CB-E75A-4CE7-8922-7CEF474E27EA}"/>
    <cellStyle name="SAPBEXchaText 9" xfId="7079" xr:uid="{0F48E04D-0126-47E1-AD3D-BFB1652EE0FA}"/>
    <cellStyle name="SAPBEXchaText 9 2" xfId="7080" xr:uid="{F1D4CA79-0411-4127-A328-00F3942FC886}"/>
    <cellStyle name="SAPBEXchaText_T1 ANSP" xfId="6761" xr:uid="{260E7FA3-E515-4C1C-A61E-CCB183EAE3D0}"/>
    <cellStyle name="SAPBEXexcBad7" xfId="731" xr:uid="{00000000-0005-0000-0000-000060050000}"/>
    <cellStyle name="SAPBEXexcBad7 10" xfId="7082" xr:uid="{BCD17235-9479-4DA4-93C0-9B1C81E470CB}"/>
    <cellStyle name="SAPBEXexcBad7 10 2" xfId="7083" xr:uid="{7A7E578C-A39E-496D-B046-B01F67881F50}"/>
    <cellStyle name="SAPBEXexcBad7 11" xfId="7084" xr:uid="{B1E063EB-39EC-400C-9931-D66B59E22B47}"/>
    <cellStyle name="SAPBEXexcBad7 11 2" xfId="7085" xr:uid="{AC4C34EC-09A9-45EC-B5A1-369E978D4DE1}"/>
    <cellStyle name="SAPBEXexcBad7 12" xfId="7086" xr:uid="{E7BE290D-731E-46FC-9600-586F53948DC2}"/>
    <cellStyle name="SAPBEXexcBad7 12 2" xfId="7087" xr:uid="{B1038D6D-73B9-4F0C-848A-3596F7DB4E3C}"/>
    <cellStyle name="SAPBEXexcBad7 13" xfId="7088" xr:uid="{9E1EEABB-72D9-45F8-85B6-02076715C55C}"/>
    <cellStyle name="SAPBEXexcBad7 13 2" xfId="7089" xr:uid="{856319FD-BFFB-4E6D-B88B-91F02678518C}"/>
    <cellStyle name="SAPBEXexcBad7 14" xfId="7090" xr:uid="{057497AE-9FEC-4F55-BAF9-A774F8DD8255}"/>
    <cellStyle name="SAPBEXexcBad7 14 2" xfId="7091" xr:uid="{0FA686BA-299B-47B7-8976-6AD2C6CBBD2E}"/>
    <cellStyle name="SAPBEXexcBad7 15" xfId="7092" xr:uid="{940EED2E-3BFD-4E58-8589-2B09C2B743CC}"/>
    <cellStyle name="SAPBEXexcBad7 15 2" xfId="7093" xr:uid="{4F8E2456-F87D-483C-A97B-9451714A0242}"/>
    <cellStyle name="SAPBEXexcBad7 16" xfId="7094" xr:uid="{B4A84139-A1E6-46FE-9979-7ADDF3B2619F}"/>
    <cellStyle name="SAPBEXexcBad7 16 2" xfId="7095" xr:uid="{1698DC3B-BBDA-4BE9-B926-5D4F5CDC83C5}"/>
    <cellStyle name="SAPBEXexcBad7 17" xfId="7096" xr:uid="{DD4E81C2-849C-4A3D-91DC-A3DCE29D50E9}"/>
    <cellStyle name="SAPBEXexcBad7 17 2" xfId="7097" xr:uid="{32ECBEEF-F4FD-4B9C-BCE3-143926554B39}"/>
    <cellStyle name="SAPBEXexcBad7 18" xfId="7098" xr:uid="{96E577A5-DB72-4E29-A398-43F3FAE930B2}"/>
    <cellStyle name="SAPBEXexcBad7 18 2" xfId="7099" xr:uid="{ED080927-CFF2-499D-A03C-09472849A087}"/>
    <cellStyle name="SAPBEXexcBad7 19" xfId="7100" xr:uid="{E61F7BF8-C356-44D8-9686-91767CC03C2F}"/>
    <cellStyle name="SAPBEXexcBad7 19 2" xfId="7101" xr:uid="{8AAA5B63-1689-45DE-A932-6256D957FBC3}"/>
    <cellStyle name="SAPBEXexcBad7 2" xfId="1546" xr:uid="{00000000-0005-0000-0000-000061050000}"/>
    <cellStyle name="SAPBEXexcBad7 2 10" xfId="7103" xr:uid="{186537DB-52F5-4567-9DAF-F293692C67F6}"/>
    <cellStyle name="SAPBEXexcBad7 2 10 2" xfId="7104" xr:uid="{F1CE0A51-7D3C-4174-9015-5424FCF1BEF9}"/>
    <cellStyle name="SAPBEXexcBad7 2 11" xfId="7105" xr:uid="{124AC69D-1C9E-44BB-989F-ADCF9F455B1E}"/>
    <cellStyle name="SAPBEXexcBad7 2 11 2" xfId="7106" xr:uid="{C40663E6-FB96-406F-9921-0307D496ECB1}"/>
    <cellStyle name="SAPBEXexcBad7 2 12" xfId="7107" xr:uid="{47A2FEBE-DE7E-4043-82ED-E1B5CD15C85F}"/>
    <cellStyle name="SAPBEXexcBad7 2 12 2" xfId="7108" xr:uid="{12D4ED45-CB91-4965-B36B-592A5BDB23F5}"/>
    <cellStyle name="SAPBEXexcBad7 2 13" xfId="7109" xr:uid="{180078C5-862D-4AB7-BDB7-115AFFBB442E}"/>
    <cellStyle name="SAPBEXexcBad7 2 13 2" xfId="7110" xr:uid="{3ADAF195-08A6-4850-AB83-8F36D4D38DBC}"/>
    <cellStyle name="SAPBEXexcBad7 2 14" xfId="7111" xr:uid="{30A8239D-310F-4881-9D8C-C42440A51A1A}"/>
    <cellStyle name="SAPBEXexcBad7 2 14 2" xfId="7112" xr:uid="{B4D2C397-B757-4425-B70B-F7C8F74A30AB}"/>
    <cellStyle name="SAPBEXexcBad7 2 15" xfId="7113" xr:uid="{B760927B-A09A-4769-80FF-A7E851455AB6}"/>
    <cellStyle name="SAPBEXexcBad7 2 15 2" xfId="7114" xr:uid="{BC9EBBAF-3A96-4169-BAC0-07681F19572B}"/>
    <cellStyle name="SAPBEXexcBad7 2 16" xfId="7115" xr:uid="{B6A4D0EB-537A-49BF-9F5A-EBE03913256B}"/>
    <cellStyle name="SAPBEXexcBad7 2 16 2" xfId="7116" xr:uid="{C547D6AD-D3B0-4BD0-9302-729D6B8397E6}"/>
    <cellStyle name="SAPBEXexcBad7 2 17" xfId="7117" xr:uid="{95D0BE37-0111-42DC-B7DD-80155FC6F2EF}"/>
    <cellStyle name="SAPBEXexcBad7 2 17 2" xfId="7118" xr:uid="{5FC5F068-6B33-4F46-B647-2061283C4B9B}"/>
    <cellStyle name="SAPBEXexcBad7 2 18" xfId="7119" xr:uid="{D88EF284-EB6B-4CAC-A5AA-804CA468B1FC}"/>
    <cellStyle name="SAPBEXexcBad7 2 18 2" xfId="7120" xr:uid="{C1242414-B9BF-4B77-8D03-AAD3FE4BABEE}"/>
    <cellStyle name="SAPBEXexcBad7 2 2" xfId="7121" xr:uid="{E374DEC3-35F5-4991-B202-A121595A6DFB}"/>
    <cellStyle name="SAPBEXexcBad7 2 2 10" xfId="7122" xr:uid="{85A9334E-9B4F-478F-9017-13F28A94FABA}"/>
    <cellStyle name="SAPBEXexcBad7 2 2 10 2" xfId="7123" xr:uid="{CF4B2733-F15C-441A-96F6-E56D618E6579}"/>
    <cellStyle name="SAPBEXexcBad7 2 2 11" xfId="7124" xr:uid="{6484B94A-6064-487B-8ECD-E10ABF74E668}"/>
    <cellStyle name="SAPBEXexcBad7 2 2 11 2" xfId="7125" xr:uid="{C42910A9-CCB6-4FB6-B539-3ECAF56BAB68}"/>
    <cellStyle name="SAPBEXexcBad7 2 2 12" xfId="7126" xr:uid="{667855C5-0906-4D51-9FEE-48C67683D395}"/>
    <cellStyle name="SAPBEXexcBad7 2 2 12 2" xfId="7127" xr:uid="{CE34DB0E-340F-4CFD-8A6A-3726F4640F08}"/>
    <cellStyle name="SAPBEXexcBad7 2 2 13" xfId="7128" xr:uid="{70A416B3-30C3-4385-BF4F-A57D6E8D638A}"/>
    <cellStyle name="SAPBEXexcBad7 2 2 13 2" xfId="7129" xr:uid="{C92E24A2-F756-49C6-807D-A1D11638A1F9}"/>
    <cellStyle name="SAPBEXexcBad7 2 2 14" xfId="7130" xr:uid="{1EE2F34E-D91D-48A4-96B0-E36821A6710D}"/>
    <cellStyle name="SAPBEXexcBad7 2 2 14 2" xfId="7131" xr:uid="{5BB92F5B-1657-4859-9CFC-C3DFB4EEC700}"/>
    <cellStyle name="SAPBEXexcBad7 2 2 15" xfId="7132" xr:uid="{2FBCC47A-5BDE-44A3-8A8F-E6FDE386ECBC}"/>
    <cellStyle name="SAPBEXexcBad7 2 2 15 2" xfId="7133" xr:uid="{5E8C0F5E-22C5-43AD-82E1-369AA410B9F7}"/>
    <cellStyle name="SAPBEXexcBad7 2 2 16" xfId="7134" xr:uid="{9A8550FF-6F35-417E-8ACE-075E30A09779}"/>
    <cellStyle name="SAPBEXexcBad7 2 2 16 2" xfId="7135" xr:uid="{DA50D97A-9BBE-4CC2-92B8-F581565B37FC}"/>
    <cellStyle name="SAPBEXexcBad7 2 2 17" xfId="7136" xr:uid="{DDEC4C55-E2D8-4F9E-B917-B7C9FD22E40F}"/>
    <cellStyle name="SAPBEXexcBad7 2 2 17 2" xfId="7137" xr:uid="{B3A1D41D-85D2-49F2-91E7-42C628DAA6FF}"/>
    <cellStyle name="SAPBEXexcBad7 2 2 2" xfId="7138" xr:uid="{A88402A6-8D35-4A84-8E94-1728E5640954}"/>
    <cellStyle name="SAPBEXexcBad7 2 2 2 10" xfId="7139" xr:uid="{7462B0A2-9DE4-414F-896E-08606D05B3DB}"/>
    <cellStyle name="SAPBEXexcBad7 2 2 2 10 2" xfId="7140" xr:uid="{7878C396-0C28-43A9-B61D-E7569DD30DEC}"/>
    <cellStyle name="SAPBEXexcBad7 2 2 2 11" xfId="7141" xr:uid="{A5DDAB62-AEFA-4FB2-BED2-1A4D5D307463}"/>
    <cellStyle name="SAPBEXexcBad7 2 2 2 11 2" xfId="7142" xr:uid="{D8A58CAE-3348-4CCB-83F3-4F98A9666740}"/>
    <cellStyle name="SAPBEXexcBad7 2 2 2 12" xfId="7143" xr:uid="{B15CCF28-234B-4FA6-96DF-F927D79D8A27}"/>
    <cellStyle name="SAPBEXexcBad7 2 2 2 12 2" xfId="7144" xr:uid="{EB877C1A-6AB6-4E25-BC9D-66E89FCDF866}"/>
    <cellStyle name="SAPBEXexcBad7 2 2 2 13" xfId="7145" xr:uid="{4168131A-AC58-4839-80A8-FA57C00D9004}"/>
    <cellStyle name="SAPBEXexcBad7 2 2 2 13 2" xfId="7146" xr:uid="{C5F6E4E4-F1FD-44F1-9E65-DE74B15FCD7A}"/>
    <cellStyle name="SAPBEXexcBad7 2 2 2 14" xfId="7147" xr:uid="{112A47BC-5451-4B04-BB75-2D49BA0EDAA7}"/>
    <cellStyle name="SAPBEXexcBad7 2 2 2 14 2" xfId="7148" xr:uid="{B689006B-307A-4018-8123-652212BBF29E}"/>
    <cellStyle name="SAPBEXexcBad7 2 2 2 15" xfId="7149" xr:uid="{283A51CA-D1BE-4AAB-A4F2-084F8FDE3F56}"/>
    <cellStyle name="SAPBEXexcBad7 2 2 2 15 2" xfId="7150" xr:uid="{D597448A-C29F-4030-9308-3CFBEC680B53}"/>
    <cellStyle name="SAPBEXexcBad7 2 2 2 2" xfId="7151" xr:uid="{7EBAB693-0304-4185-A5A9-8202F755BE7C}"/>
    <cellStyle name="SAPBEXexcBad7 2 2 2 2 2" xfId="7152" xr:uid="{8B509734-F40F-4469-B595-06483187D012}"/>
    <cellStyle name="SAPBEXexcBad7 2 2 2 3" xfId="7153" xr:uid="{4045A901-38C4-41A1-B722-DA5922C98BED}"/>
    <cellStyle name="SAPBEXexcBad7 2 2 2 3 2" xfId="7154" xr:uid="{AD7DCB4A-0D4D-4E1B-97AB-955E225B0CAE}"/>
    <cellStyle name="SAPBEXexcBad7 2 2 2 4" xfId="7155" xr:uid="{C7FABD49-87AD-4506-84E5-E6FE326EFB14}"/>
    <cellStyle name="SAPBEXexcBad7 2 2 2 4 2" xfId="7156" xr:uid="{C9CEC2CB-D353-475E-AADE-A77A95FC5DC7}"/>
    <cellStyle name="SAPBEXexcBad7 2 2 2 5" xfId="7157" xr:uid="{C56D8FAC-B045-4880-9C10-7E7EF6F0F0CD}"/>
    <cellStyle name="SAPBEXexcBad7 2 2 2 5 2" xfId="7158" xr:uid="{1D3A5F18-B3E9-4343-B44C-1F92EB09790E}"/>
    <cellStyle name="SAPBEXexcBad7 2 2 2 6" xfId="7159" xr:uid="{B5620054-C5E8-4E1F-8791-1467408EC020}"/>
    <cellStyle name="SAPBEXexcBad7 2 2 2 6 2" xfId="7160" xr:uid="{1E55E92F-F41B-4212-80C5-DD487D4FA21C}"/>
    <cellStyle name="SAPBEXexcBad7 2 2 2 7" xfId="7161" xr:uid="{4E383D22-BCF8-47D5-9C94-174BA3374C31}"/>
    <cellStyle name="SAPBEXexcBad7 2 2 2 7 2" xfId="7162" xr:uid="{16240F27-56C4-48E4-BF61-781145F2F6AF}"/>
    <cellStyle name="SAPBEXexcBad7 2 2 2 8" xfId="7163" xr:uid="{656FC0ED-17A1-4CC4-8B06-AF8CE5EE0191}"/>
    <cellStyle name="SAPBEXexcBad7 2 2 2 8 2" xfId="7164" xr:uid="{C69718B6-830B-4F3E-963A-773895622A10}"/>
    <cellStyle name="SAPBEXexcBad7 2 2 2 9" xfId="7165" xr:uid="{E96F3B5B-CB13-4888-A585-CB25D5AB66DD}"/>
    <cellStyle name="SAPBEXexcBad7 2 2 2 9 2" xfId="7166" xr:uid="{7D5F2740-BE38-492D-B8AD-8C9AEE85D18C}"/>
    <cellStyle name="SAPBEXexcBad7 2 2 3" xfId="7167" xr:uid="{FCA3DD92-E773-43A2-9BB5-7B9B436B0FAC}"/>
    <cellStyle name="SAPBEXexcBad7 2 2 3 10" xfId="7168" xr:uid="{47AA9F5B-42BA-4C26-9CE7-533A84AF348F}"/>
    <cellStyle name="SAPBEXexcBad7 2 2 3 10 2" xfId="7169" xr:uid="{79B6C1AD-378D-4421-8765-66D1F912DDA4}"/>
    <cellStyle name="SAPBEXexcBad7 2 2 3 11" xfId="7170" xr:uid="{7E594608-1EFA-428C-882E-9A4CAC622A50}"/>
    <cellStyle name="SAPBEXexcBad7 2 2 3 11 2" xfId="7171" xr:uid="{FC682667-7714-4721-B2C3-31A25430F0A9}"/>
    <cellStyle name="SAPBEXexcBad7 2 2 3 12" xfId="7172" xr:uid="{6E86DF5F-22F2-4B52-B635-86A38C5528AE}"/>
    <cellStyle name="SAPBEXexcBad7 2 2 3 12 2" xfId="7173" xr:uid="{A6496D1C-1BBD-4340-B70D-62D2BAD6E9D0}"/>
    <cellStyle name="SAPBEXexcBad7 2 2 3 13" xfId="7174" xr:uid="{5DB68EC5-7CCF-4CF5-BD24-E24BD3D8CD8D}"/>
    <cellStyle name="SAPBEXexcBad7 2 2 3 13 2" xfId="7175" xr:uid="{0AF04A5B-2E36-4591-A8C7-5197E2FB8A07}"/>
    <cellStyle name="SAPBEXexcBad7 2 2 3 14" xfId="7176" xr:uid="{831ABA73-BFAA-4378-8522-40482674C267}"/>
    <cellStyle name="SAPBEXexcBad7 2 2 3 14 2" xfId="7177" xr:uid="{863AD7D3-29B2-4E91-9DF9-7F10F38997D7}"/>
    <cellStyle name="SAPBEXexcBad7 2 2 3 15" xfId="7178" xr:uid="{231524BB-7CF0-45FD-89EF-4771FA36028B}"/>
    <cellStyle name="SAPBEXexcBad7 2 2 3 15 2" xfId="7179" xr:uid="{8C66E951-AB7A-4FE0-8411-E2A75F701395}"/>
    <cellStyle name="SAPBEXexcBad7 2 2 3 2" xfId="7180" xr:uid="{DAEA97C1-CC20-454D-BA17-C080D0570788}"/>
    <cellStyle name="SAPBEXexcBad7 2 2 3 2 2" xfId="7181" xr:uid="{1BDF8359-0FB8-4787-8D04-644068CFBA45}"/>
    <cellStyle name="SAPBEXexcBad7 2 2 3 3" xfId="7182" xr:uid="{C3264135-4E81-460E-AB84-4403A3331AEC}"/>
    <cellStyle name="SAPBEXexcBad7 2 2 3 3 2" xfId="7183" xr:uid="{F8026FA7-803C-43A7-A2F9-66E702042075}"/>
    <cellStyle name="SAPBEXexcBad7 2 2 3 4" xfId="7184" xr:uid="{97FA7685-EF9E-43A3-8EA8-EC37CF59EDFF}"/>
    <cellStyle name="SAPBEXexcBad7 2 2 3 4 2" xfId="7185" xr:uid="{E3C6D548-694E-4310-B4A3-3B4751FB931A}"/>
    <cellStyle name="SAPBEXexcBad7 2 2 3 5" xfId="7186" xr:uid="{40AF100C-ED10-4779-A042-914C73130F1A}"/>
    <cellStyle name="SAPBEXexcBad7 2 2 3 5 2" xfId="7187" xr:uid="{2AA637D3-AFDA-4502-B590-C14407C137C4}"/>
    <cellStyle name="SAPBEXexcBad7 2 2 3 6" xfId="7188" xr:uid="{43DFA729-62EF-4E5F-9F09-BCBF3EFE57CB}"/>
    <cellStyle name="SAPBEXexcBad7 2 2 3 6 2" xfId="7189" xr:uid="{C853C4C0-2961-4F2A-A22B-01B6B6F8762B}"/>
    <cellStyle name="SAPBEXexcBad7 2 2 3 7" xfId="7190" xr:uid="{246C355F-4BE4-4AB6-869A-A6BAA72B278E}"/>
    <cellStyle name="SAPBEXexcBad7 2 2 3 7 2" xfId="7191" xr:uid="{1B625CB2-DCFB-49E8-98DB-09430E77D48D}"/>
    <cellStyle name="SAPBEXexcBad7 2 2 3 8" xfId="7192" xr:uid="{A71AC466-82D9-4D60-B419-AD1856398312}"/>
    <cellStyle name="SAPBEXexcBad7 2 2 3 8 2" xfId="7193" xr:uid="{04FD229E-4F87-4670-81CF-C4E9B4503E7F}"/>
    <cellStyle name="SAPBEXexcBad7 2 2 3 9" xfId="7194" xr:uid="{BDF6E81E-75E3-46B9-A36A-00E21ED6B20A}"/>
    <cellStyle name="SAPBEXexcBad7 2 2 3 9 2" xfId="7195" xr:uid="{30CF28B8-CAE4-4D92-8755-BDFC95DBDAD3}"/>
    <cellStyle name="SAPBEXexcBad7 2 2 4" xfId="7196" xr:uid="{F318C8D0-86C6-4B80-A0B9-A1B419489F03}"/>
    <cellStyle name="SAPBEXexcBad7 2 2 4 2" xfId="7197" xr:uid="{67E3477C-5CDE-4570-8D46-0C5554C43DB7}"/>
    <cellStyle name="SAPBEXexcBad7 2 2 5" xfId="7198" xr:uid="{40C2D96C-0147-4AEA-AF36-F861F6BC1505}"/>
    <cellStyle name="SAPBEXexcBad7 2 2 5 2" xfId="7199" xr:uid="{231DA114-6B51-4BE7-816E-E4E4F40C02AC}"/>
    <cellStyle name="SAPBEXexcBad7 2 2 6" xfId="7200" xr:uid="{15BD2AF7-CCA2-48A0-93AD-1F2127A168F3}"/>
    <cellStyle name="SAPBEXexcBad7 2 2 6 2" xfId="7201" xr:uid="{B11E00EB-647F-4141-BEDB-9D1FB574117F}"/>
    <cellStyle name="SAPBEXexcBad7 2 2 7" xfId="7202" xr:uid="{4494646E-3619-4119-8625-BAC817020E73}"/>
    <cellStyle name="SAPBEXexcBad7 2 2 7 2" xfId="7203" xr:uid="{12798C75-084E-4BDF-9C5E-E0206C758383}"/>
    <cellStyle name="SAPBEXexcBad7 2 2 8" xfId="7204" xr:uid="{88E9CBDF-74C1-483B-B059-4A0483070EB5}"/>
    <cellStyle name="SAPBEXexcBad7 2 2 8 2" xfId="7205" xr:uid="{3B539F91-C20C-4405-B9DA-1DECD23560CA}"/>
    <cellStyle name="SAPBEXexcBad7 2 2 9" xfId="7206" xr:uid="{0D01FD35-62E5-4E0E-9808-937BCC9FD4EF}"/>
    <cellStyle name="SAPBEXexcBad7 2 2 9 2" xfId="7207" xr:uid="{E1C00072-19D8-4205-A6A1-1D5455F168C2}"/>
    <cellStyle name="SAPBEXexcBad7 2 3" xfId="7208" xr:uid="{39EECE2E-BB26-4C91-9110-885236BF5793}"/>
    <cellStyle name="SAPBEXexcBad7 2 3 10" xfId="7209" xr:uid="{80E0A417-B6AD-47B9-A94A-CD85063F0DBA}"/>
    <cellStyle name="SAPBEXexcBad7 2 3 10 2" xfId="7210" xr:uid="{E50272C6-BBE0-4C3B-819A-A94F1D3D1630}"/>
    <cellStyle name="SAPBEXexcBad7 2 3 11" xfId="7211" xr:uid="{D30F6583-0A2B-444B-AFB5-5C26D800D0A3}"/>
    <cellStyle name="SAPBEXexcBad7 2 3 11 2" xfId="7212" xr:uid="{82212C0F-D68F-404D-ACE0-8B80FF6CC8BF}"/>
    <cellStyle name="SAPBEXexcBad7 2 3 12" xfId="7213" xr:uid="{B7B99A49-6AC2-4B5F-88B3-AB8F8E3DCE69}"/>
    <cellStyle name="SAPBEXexcBad7 2 3 12 2" xfId="7214" xr:uid="{EB4BF3D7-B5C4-492E-8095-E1D7F234D0A3}"/>
    <cellStyle name="SAPBEXexcBad7 2 3 13" xfId="7215" xr:uid="{F798EC09-EA03-4A53-B566-9DCE12A9E61D}"/>
    <cellStyle name="SAPBEXexcBad7 2 3 13 2" xfId="7216" xr:uid="{BCFBA9D6-4C5A-4C00-B5C5-008B21E667AA}"/>
    <cellStyle name="SAPBEXexcBad7 2 3 14" xfId="7217" xr:uid="{CB2E4374-E869-4496-BBDB-CE39FE179319}"/>
    <cellStyle name="SAPBEXexcBad7 2 3 14 2" xfId="7218" xr:uid="{6CD615FE-A155-4D75-9874-533DC919BDC0}"/>
    <cellStyle name="SAPBEXexcBad7 2 3 15" xfId="7219" xr:uid="{A9135715-DEDA-4F7E-A39F-B571DBAED1B5}"/>
    <cellStyle name="SAPBEXexcBad7 2 3 15 2" xfId="7220" xr:uid="{E75C9D84-A97C-4492-8A16-8D57A1146DF4}"/>
    <cellStyle name="SAPBEXexcBad7 2 3 16" xfId="7221" xr:uid="{1CCBBFCF-FC52-46B1-A4A3-22BE6E8B218E}"/>
    <cellStyle name="SAPBEXexcBad7 2 3 16 2" xfId="7222" xr:uid="{D0BBB5F0-689C-4242-AD24-C3DF5F678854}"/>
    <cellStyle name="SAPBEXexcBad7 2 3 17" xfId="7223" xr:uid="{A0A48A1F-0B4C-479A-B80E-22AEF5AF286F}"/>
    <cellStyle name="SAPBEXexcBad7 2 3 17 2" xfId="7224" xr:uid="{73EF4E51-CFDC-447E-A1C5-56F1D303C71C}"/>
    <cellStyle name="SAPBEXexcBad7 2 3 2" xfId="7225" xr:uid="{5F54B71A-DD52-42C0-9E81-9DA827287DAB}"/>
    <cellStyle name="SAPBEXexcBad7 2 3 2 10" xfId="7226" xr:uid="{72E2C1E0-CB3A-4A5A-A33F-2D0F735CCEA5}"/>
    <cellStyle name="SAPBEXexcBad7 2 3 2 10 2" xfId="7227" xr:uid="{5BA34D01-7207-42A9-B7DB-14DDF7DB67FF}"/>
    <cellStyle name="SAPBEXexcBad7 2 3 2 11" xfId="7228" xr:uid="{C51A4068-AD17-4FBF-AB00-515648ECCD26}"/>
    <cellStyle name="SAPBEXexcBad7 2 3 2 11 2" xfId="7229" xr:uid="{27E8C039-BD1A-41CD-9F26-CCB47CFB7AD5}"/>
    <cellStyle name="SAPBEXexcBad7 2 3 2 12" xfId="7230" xr:uid="{9BADDA27-E29C-42D0-ADF4-2AA4CF6500BE}"/>
    <cellStyle name="SAPBEXexcBad7 2 3 2 12 2" xfId="7231" xr:uid="{E5B15EA7-9BD2-4C83-8D62-E395DEA3D7A4}"/>
    <cellStyle name="SAPBEXexcBad7 2 3 2 13" xfId="7232" xr:uid="{B52DAF69-AF8A-4B5D-A5E3-6B5C87E4903B}"/>
    <cellStyle name="SAPBEXexcBad7 2 3 2 13 2" xfId="7233" xr:uid="{B7270057-B15F-43AA-BC2A-55BD6D05FE83}"/>
    <cellStyle name="SAPBEXexcBad7 2 3 2 14" xfId="7234" xr:uid="{5C63BA8F-73F9-4940-BB0D-88DFE2C481EE}"/>
    <cellStyle name="SAPBEXexcBad7 2 3 2 14 2" xfId="7235" xr:uid="{1BD145C2-3A33-4742-BCF9-25FEBC1711E9}"/>
    <cellStyle name="SAPBEXexcBad7 2 3 2 15" xfId="7236" xr:uid="{F0DC80E8-0D82-4E38-9FCA-1CEFABD1C2C0}"/>
    <cellStyle name="SAPBEXexcBad7 2 3 2 15 2" xfId="7237" xr:uid="{7B66C744-A2F1-42B1-9983-4A3D04BC993A}"/>
    <cellStyle name="SAPBEXexcBad7 2 3 2 2" xfId="7238" xr:uid="{87DF162E-B9EB-4715-9878-6E6ACD7CC882}"/>
    <cellStyle name="SAPBEXexcBad7 2 3 2 2 2" xfId="7239" xr:uid="{591EF9A5-9E53-445E-B2BC-DF593DEF28C5}"/>
    <cellStyle name="SAPBEXexcBad7 2 3 2 3" xfId="7240" xr:uid="{DC462355-7E87-47AC-905A-D9878F85903D}"/>
    <cellStyle name="SAPBEXexcBad7 2 3 2 3 2" xfId="7241" xr:uid="{18A99F2E-6011-43B1-984E-392F3BA80DD2}"/>
    <cellStyle name="SAPBEXexcBad7 2 3 2 4" xfId="7242" xr:uid="{B9924F4F-F2D7-4A0A-8BDD-2B127C762195}"/>
    <cellStyle name="SAPBEXexcBad7 2 3 2 4 2" xfId="7243" xr:uid="{265A68B9-50FA-4426-AD4E-A6580EB4ACF9}"/>
    <cellStyle name="SAPBEXexcBad7 2 3 2 5" xfId="7244" xr:uid="{94327581-518B-4DEB-859B-D0A298CBB7EB}"/>
    <cellStyle name="SAPBEXexcBad7 2 3 2 5 2" xfId="7245" xr:uid="{A3DF563B-80DC-4746-950B-EEEFD68A5FE2}"/>
    <cellStyle name="SAPBEXexcBad7 2 3 2 6" xfId="7246" xr:uid="{1627B423-0514-481D-A59F-5DDC5F480E68}"/>
    <cellStyle name="SAPBEXexcBad7 2 3 2 6 2" xfId="7247" xr:uid="{731D9D76-55FB-4419-9E00-4AA3CDD50465}"/>
    <cellStyle name="SAPBEXexcBad7 2 3 2 7" xfId="7248" xr:uid="{CACCD6A3-5896-413F-918D-875B0668A6D5}"/>
    <cellStyle name="SAPBEXexcBad7 2 3 2 7 2" xfId="7249" xr:uid="{2C70A00F-8C72-497B-A676-589D5C7A34E5}"/>
    <cellStyle name="SAPBEXexcBad7 2 3 2 8" xfId="7250" xr:uid="{CF1259C3-3E99-4D54-A4F7-9CCB1828A812}"/>
    <cellStyle name="SAPBEXexcBad7 2 3 2 8 2" xfId="7251" xr:uid="{E26940CD-732D-4AD6-BB41-86FAAE9C0A3C}"/>
    <cellStyle name="SAPBEXexcBad7 2 3 2 9" xfId="7252" xr:uid="{30F9CBB3-4DD5-45C1-B175-4D881C494217}"/>
    <cellStyle name="SAPBEXexcBad7 2 3 2 9 2" xfId="7253" xr:uid="{5315F93F-0B7E-42DA-9499-AFFD6A96EC33}"/>
    <cellStyle name="SAPBEXexcBad7 2 3 3" xfId="7254" xr:uid="{062E3027-BD22-4218-866E-3A3F84811E12}"/>
    <cellStyle name="SAPBEXexcBad7 2 3 3 10" xfId="7255" xr:uid="{7821A7C0-1387-47FC-BABF-9E1E4E625F40}"/>
    <cellStyle name="SAPBEXexcBad7 2 3 3 10 2" xfId="7256" xr:uid="{45211B21-4F38-4EC4-BC71-F148321AB4C1}"/>
    <cellStyle name="SAPBEXexcBad7 2 3 3 11" xfId="7257" xr:uid="{8FB879D2-8E78-4203-B1C8-2BC2CB0A0D0D}"/>
    <cellStyle name="SAPBEXexcBad7 2 3 3 11 2" xfId="7258" xr:uid="{A78220F7-48FA-43F5-A1FE-49270426E5D5}"/>
    <cellStyle name="SAPBEXexcBad7 2 3 3 12" xfId="7259" xr:uid="{A3E7B8B9-3F2E-45B7-AFE9-05ED5DB2C983}"/>
    <cellStyle name="SAPBEXexcBad7 2 3 3 12 2" xfId="7260" xr:uid="{C4170EAF-8565-4723-9EAB-02C33F635927}"/>
    <cellStyle name="SAPBEXexcBad7 2 3 3 13" xfId="7261" xr:uid="{3A5FDEDC-DC16-4302-A3C9-CD35929662FD}"/>
    <cellStyle name="SAPBEXexcBad7 2 3 3 13 2" xfId="7262" xr:uid="{26798493-10C8-47F8-BE69-F983AEC4A37B}"/>
    <cellStyle name="SAPBEXexcBad7 2 3 3 14" xfId="7263" xr:uid="{ACDC16B0-41CC-450D-BBE2-8430CE8AB240}"/>
    <cellStyle name="SAPBEXexcBad7 2 3 3 14 2" xfId="7264" xr:uid="{E4445699-A53F-41A9-B8AC-4081FB75C05B}"/>
    <cellStyle name="SAPBEXexcBad7 2 3 3 15" xfId="7265" xr:uid="{AFFB02CA-06FD-4699-B8A1-23DE7A3180B1}"/>
    <cellStyle name="SAPBEXexcBad7 2 3 3 15 2" xfId="7266" xr:uid="{D25BD491-2CB0-48AB-9947-1AB04E66E359}"/>
    <cellStyle name="SAPBEXexcBad7 2 3 3 2" xfId="7267" xr:uid="{D228E0F9-7BB0-4800-A7C3-A647C60180F0}"/>
    <cellStyle name="SAPBEXexcBad7 2 3 3 2 2" xfId="7268" xr:uid="{9F73CC59-BB47-42D8-8027-C37EAFD24819}"/>
    <cellStyle name="SAPBEXexcBad7 2 3 3 3" xfId="7269" xr:uid="{63D1CB8F-2369-4858-B3A0-A3D5DED4CADD}"/>
    <cellStyle name="SAPBEXexcBad7 2 3 3 3 2" xfId="7270" xr:uid="{C7819306-FE84-4471-AD4E-1A087C4F3B9E}"/>
    <cellStyle name="SAPBEXexcBad7 2 3 3 4" xfId="7271" xr:uid="{3D9E41D7-2957-409B-9E2D-4DB6E4EA2395}"/>
    <cellStyle name="SAPBEXexcBad7 2 3 3 4 2" xfId="7272" xr:uid="{0858DA14-9C4A-482E-B4F1-91F302EDA032}"/>
    <cellStyle name="SAPBEXexcBad7 2 3 3 5" xfId="7273" xr:uid="{31373BC1-A3A4-4AAA-9FBC-6B99090CF93C}"/>
    <cellStyle name="SAPBEXexcBad7 2 3 3 5 2" xfId="7274" xr:uid="{DBED818E-550A-4796-88CF-53F839B30329}"/>
    <cellStyle name="SAPBEXexcBad7 2 3 3 6" xfId="7275" xr:uid="{1FDC7ED8-9713-4989-B79F-EC4F06CABCB2}"/>
    <cellStyle name="SAPBEXexcBad7 2 3 3 6 2" xfId="7276" xr:uid="{2F7C3A37-65CE-4F73-9222-7BBC42EBE242}"/>
    <cellStyle name="SAPBEXexcBad7 2 3 3 7" xfId="7277" xr:uid="{CC7E1869-BA11-472C-A9D8-6E7A58CB30AC}"/>
    <cellStyle name="SAPBEXexcBad7 2 3 3 7 2" xfId="7278" xr:uid="{1201A502-505B-4E42-8DAD-4D68D037C854}"/>
    <cellStyle name="SAPBEXexcBad7 2 3 3 8" xfId="7279" xr:uid="{17F5039B-467A-4E96-BB42-9765C226D8ED}"/>
    <cellStyle name="SAPBEXexcBad7 2 3 3 8 2" xfId="7280" xr:uid="{8A719421-F9E7-4776-AAEF-7A4C801F409F}"/>
    <cellStyle name="SAPBEXexcBad7 2 3 3 9" xfId="7281" xr:uid="{596F2B35-114B-48E7-AA5F-8F886CCD7A5D}"/>
    <cellStyle name="SAPBEXexcBad7 2 3 3 9 2" xfId="7282" xr:uid="{C240EF8E-2927-4036-BA0C-F04D7E4FAC3C}"/>
    <cellStyle name="SAPBEXexcBad7 2 3 4" xfId="7283" xr:uid="{3C043E36-D8CE-4016-B512-FBF6B36CAB60}"/>
    <cellStyle name="SAPBEXexcBad7 2 3 4 2" xfId="7284" xr:uid="{DD5F158E-B807-4F13-87D5-79E31B43722D}"/>
    <cellStyle name="SAPBEXexcBad7 2 3 5" xfId="7285" xr:uid="{3D80F317-A18B-4C59-96A1-D00B6D2D0C61}"/>
    <cellStyle name="SAPBEXexcBad7 2 3 5 2" xfId="7286" xr:uid="{EA907431-F065-4644-8088-80C9910F287C}"/>
    <cellStyle name="SAPBEXexcBad7 2 3 6" xfId="7287" xr:uid="{7EA55D6D-44EE-498F-90A5-07C167081F25}"/>
    <cellStyle name="SAPBEXexcBad7 2 3 6 2" xfId="7288" xr:uid="{23723FF3-66B5-4A21-8305-131711501A24}"/>
    <cellStyle name="SAPBEXexcBad7 2 3 7" xfId="7289" xr:uid="{FF6F85F8-321A-4D2E-ACAD-A47D9F863E0A}"/>
    <cellStyle name="SAPBEXexcBad7 2 3 7 2" xfId="7290" xr:uid="{E397D789-0DC7-4A88-94CB-81F921FCD726}"/>
    <cellStyle name="SAPBEXexcBad7 2 3 8" xfId="7291" xr:uid="{06606762-ECAD-4D63-8661-2D4A1350C530}"/>
    <cellStyle name="SAPBEXexcBad7 2 3 8 2" xfId="7292" xr:uid="{7EF298A9-820D-4D7E-9654-2B8FB33663C4}"/>
    <cellStyle name="SAPBEXexcBad7 2 3 9" xfId="7293" xr:uid="{2E144BE8-08E2-470D-885F-AC5F1B5989E2}"/>
    <cellStyle name="SAPBEXexcBad7 2 3 9 2" xfId="7294" xr:uid="{A504B4B0-E06D-4BBD-8A65-1930E287205C}"/>
    <cellStyle name="SAPBEXexcBad7 2 4" xfId="7295" xr:uid="{6C067ECD-71D5-4026-9551-E69F032D668B}"/>
    <cellStyle name="SAPBEXexcBad7 2 4 10" xfId="7296" xr:uid="{9AFFA697-DA05-42A7-B6B1-C703341F3253}"/>
    <cellStyle name="SAPBEXexcBad7 2 4 10 2" xfId="7297" xr:uid="{AB008CDD-8D05-43BB-B16E-5C06DB15E715}"/>
    <cellStyle name="SAPBEXexcBad7 2 4 11" xfId="7298" xr:uid="{243FCBEC-7E54-4989-8641-DCE40DC1442D}"/>
    <cellStyle name="SAPBEXexcBad7 2 4 11 2" xfId="7299" xr:uid="{8B53854B-6F4E-463A-B54F-8416A440B299}"/>
    <cellStyle name="SAPBEXexcBad7 2 4 12" xfId="7300" xr:uid="{F6DD4EB5-476B-48F0-A37E-F5BC96A9AF4A}"/>
    <cellStyle name="SAPBEXexcBad7 2 4 12 2" xfId="7301" xr:uid="{887D6C8C-4159-4A25-8A81-7DF344D297AB}"/>
    <cellStyle name="SAPBEXexcBad7 2 4 13" xfId="7302" xr:uid="{23489ED2-FEC7-4BF3-BA8A-ADE804CC17D3}"/>
    <cellStyle name="SAPBEXexcBad7 2 4 13 2" xfId="7303" xr:uid="{E86B22BD-D236-4C92-8E03-60614D94B200}"/>
    <cellStyle name="SAPBEXexcBad7 2 4 14" xfId="7304" xr:uid="{1AD42D56-6EB7-4DE2-BC38-09E0B6A05F74}"/>
    <cellStyle name="SAPBEXexcBad7 2 4 14 2" xfId="7305" xr:uid="{400D2AD3-0429-4C22-BBB8-5700B2423E37}"/>
    <cellStyle name="SAPBEXexcBad7 2 4 15" xfId="7306" xr:uid="{ED6D7B68-6EC3-4C89-8538-378CBD7D1096}"/>
    <cellStyle name="SAPBEXexcBad7 2 4 15 2" xfId="7307" xr:uid="{99497A98-CFB4-4231-98D6-3029EA2F4793}"/>
    <cellStyle name="SAPBEXexcBad7 2 4 16" xfId="7308" xr:uid="{984B8D3E-6845-4E17-B38A-A79FDE55B11E}"/>
    <cellStyle name="SAPBEXexcBad7 2 4 16 2" xfId="7309" xr:uid="{33314924-3289-4BE9-A811-8354081376E1}"/>
    <cellStyle name="SAPBEXexcBad7 2 4 17" xfId="7310" xr:uid="{7299DFF6-D367-48E6-A051-45F848A03AD2}"/>
    <cellStyle name="SAPBEXexcBad7 2 4 17 2" xfId="7311" xr:uid="{DC28BAC4-41BB-4DE8-9947-022B34AF719D}"/>
    <cellStyle name="SAPBEXexcBad7 2 4 2" xfId="7312" xr:uid="{1886AC41-90C7-4FF1-B5AA-5804752E9377}"/>
    <cellStyle name="SAPBEXexcBad7 2 4 2 10" xfId="7313" xr:uid="{44F647D5-094D-44D9-BB1D-AA6C8C83B561}"/>
    <cellStyle name="SAPBEXexcBad7 2 4 2 10 2" xfId="7314" xr:uid="{7A45B541-07D5-4B54-881E-7030804CD403}"/>
    <cellStyle name="SAPBEXexcBad7 2 4 2 11" xfId="7315" xr:uid="{25EACAD8-DBDE-49D4-B2F9-AFD534F0D3F2}"/>
    <cellStyle name="SAPBEXexcBad7 2 4 2 11 2" xfId="7316" xr:uid="{6ED34890-AC97-4DA5-A3F6-DBCD8D7B8048}"/>
    <cellStyle name="SAPBEXexcBad7 2 4 2 12" xfId="7317" xr:uid="{7C671F5C-6F57-4002-9362-7211EA7E7E90}"/>
    <cellStyle name="SAPBEXexcBad7 2 4 2 12 2" xfId="7318" xr:uid="{37F8E3AA-AD13-464B-9C24-CE72F49E78FD}"/>
    <cellStyle name="SAPBEXexcBad7 2 4 2 13" xfId="7319" xr:uid="{59A47B76-B845-4D1F-96B3-FD297AC25A1D}"/>
    <cellStyle name="SAPBEXexcBad7 2 4 2 13 2" xfId="7320" xr:uid="{B8250284-0292-4971-9DCD-A8FDE3C2CC74}"/>
    <cellStyle name="SAPBEXexcBad7 2 4 2 14" xfId="7321" xr:uid="{0A464C67-E612-40C2-9A7F-961E399E3397}"/>
    <cellStyle name="SAPBEXexcBad7 2 4 2 14 2" xfId="7322" xr:uid="{C4EE471D-624A-45D5-BD21-F19F0A0F2838}"/>
    <cellStyle name="SAPBEXexcBad7 2 4 2 15" xfId="7323" xr:uid="{9E2C494B-4F45-422C-A95D-6F2E9E508277}"/>
    <cellStyle name="SAPBEXexcBad7 2 4 2 15 2" xfId="7324" xr:uid="{4DE7BD8F-BB30-48E0-BA45-EDCEDAD95021}"/>
    <cellStyle name="SAPBEXexcBad7 2 4 2 2" xfId="7325" xr:uid="{5508300E-F8C2-4371-B0D4-D0040CAAB5C1}"/>
    <cellStyle name="SAPBEXexcBad7 2 4 2 2 2" xfId="7326" xr:uid="{228140EF-F0EE-4DB8-95B1-9DADBCA00E20}"/>
    <cellStyle name="SAPBEXexcBad7 2 4 2 3" xfId="7327" xr:uid="{E3CEBADF-7D44-4DF9-B18B-8D37FD957E91}"/>
    <cellStyle name="SAPBEXexcBad7 2 4 2 3 2" xfId="7328" xr:uid="{AFFC3DB8-F1CF-4157-BE4C-6F4A2C707839}"/>
    <cellStyle name="SAPBEXexcBad7 2 4 2 4" xfId="7329" xr:uid="{8B077005-4E48-4F01-A1F8-75522EEBD361}"/>
    <cellStyle name="SAPBEXexcBad7 2 4 2 4 2" xfId="7330" xr:uid="{F2E1CC37-1AC2-41AD-B330-DA9E49A4E2C2}"/>
    <cellStyle name="SAPBEXexcBad7 2 4 2 5" xfId="7331" xr:uid="{4130A148-88E2-4B62-AD76-DEAD6F2338FE}"/>
    <cellStyle name="SAPBEXexcBad7 2 4 2 5 2" xfId="7332" xr:uid="{B821B487-2015-4BD4-8919-02627196E244}"/>
    <cellStyle name="SAPBEXexcBad7 2 4 2 6" xfId="7333" xr:uid="{BEE4A832-CF14-4F76-B26B-9418CEB6147F}"/>
    <cellStyle name="SAPBEXexcBad7 2 4 2 6 2" xfId="7334" xr:uid="{FE865342-BBA1-425C-B6FB-9B01E94FA5C9}"/>
    <cellStyle name="SAPBEXexcBad7 2 4 2 7" xfId="7335" xr:uid="{1ED42F57-4DE8-4AEF-8D5E-C8B77B52268A}"/>
    <cellStyle name="SAPBEXexcBad7 2 4 2 7 2" xfId="7336" xr:uid="{CEFA5F8A-E8FD-433A-83DE-4C0509614CBC}"/>
    <cellStyle name="SAPBEXexcBad7 2 4 2 8" xfId="7337" xr:uid="{687CF88C-DA41-4ECC-9F98-8A60168D6B55}"/>
    <cellStyle name="SAPBEXexcBad7 2 4 2 8 2" xfId="7338" xr:uid="{37D02950-3E83-4506-9B3B-C555DEC9EB45}"/>
    <cellStyle name="SAPBEXexcBad7 2 4 2 9" xfId="7339" xr:uid="{9E7FB85F-70F3-48E5-9CD8-340EAEBF639B}"/>
    <cellStyle name="SAPBEXexcBad7 2 4 2 9 2" xfId="7340" xr:uid="{652848A8-7E4F-49A7-A0C4-57828EFC6DA7}"/>
    <cellStyle name="SAPBEXexcBad7 2 4 3" xfId="7341" xr:uid="{C992A02C-8188-4F87-804B-B2C1BDED83A4}"/>
    <cellStyle name="SAPBEXexcBad7 2 4 3 10" xfId="7342" xr:uid="{3FA888D5-49FF-4D02-8B0B-0325A1F3F042}"/>
    <cellStyle name="SAPBEXexcBad7 2 4 3 10 2" xfId="7343" xr:uid="{D9B4CABE-D629-4D2F-A5AA-268A533D8017}"/>
    <cellStyle name="SAPBEXexcBad7 2 4 3 11" xfId="7344" xr:uid="{06C0BBF6-92A1-40B0-8416-22A238190E7B}"/>
    <cellStyle name="SAPBEXexcBad7 2 4 3 11 2" xfId="7345" xr:uid="{11983E97-BED1-4154-B5A8-0BE845C14066}"/>
    <cellStyle name="SAPBEXexcBad7 2 4 3 12" xfId="7346" xr:uid="{B846A623-B23E-41CB-ABD7-05EE49618D96}"/>
    <cellStyle name="SAPBEXexcBad7 2 4 3 12 2" xfId="7347" xr:uid="{D2013509-E411-4E1C-A287-29E3051471DD}"/>
    <cellStyle name="SAPBEXexcBad7 2 4 3 13" xfId="7348" xr:uid="{243C669F-EB8A-41BB-B52E-BBAABEE1E690}"/>
    <cellStyle name="SAPBEXexcBad7 2 4 3 13 2" xfId="7349" xr:uid="{7D28E03E-D2B8-447E-98A4-690646962B1A}"/>
    <cellStyle name="SAPBEXexcBad7 2 4 3 14" xfId="7350" xr:uid="{C0A01AD2-BBFA-4E6B-B42F-7D856229CF3F}"/>
    <cellStyle name="SAPBEXexcBad7 2 4 3 14 2" xfId="7351" xr:uid="{E41120BC-F36B-461C-9E32-854EFF0B62E9}"/>
    <cellStyle name="SAPBEXexcBad7 2 4 3 15" xfId="7352" xr:uid="{97E2A57F-3649-447A-A3D0-371220C53FE0}"/>
    <cellStyle name="SAPBEXexcBad7 2 4 3 15 2" xfId="7353" xr:uid="{C756A726-465D-463F-8EF9-F257542942C9}"/>
    <cellStyle name="SAPBEXexcBad7 2 4 3 2" xfId="7354" xr:uid="{6E5A7C93-22E1-4D77-8B6B-5F4598DB178B}"/>
    <cellStyle name="SAPBEXexcBad7 2 4 3 2 2" xfId="7355" xr:uid="{229040C6-7753-43D2-AEF8-93079A187A24}"/>
    <cellStyle name="SAPBEXexcBad7 2 4 3 3" xfId="7356" xr:uid="{7C21191C-FEA2-423A-8163-496FA6A8C276}"/>
    <cellStyle name="SAPBEXexcBad7 2 4 3 3 2" xfId="7357" xr:uid="{64953BF7-8774-4865-B216-A5F34F350556}"/>
    <cellStyle name="SAPBEXexcBad7 2 4 3 4" xfId="7358" xr:uid="{3C2A6EA9-1B55-44A9-A196-40E2CCA820FB}"/>
    <cellStyle name="SAPBEXexcBad7 2 4 3 4 2" xfId="7359" xr:uid="{5234D270-D909-4121-86D1-319588E68AE1}"/>
    <cellStyle name="SAPBEXexcBad7 2 4 3 5" xfId="7360" xr:uid="{A11E358D-A14C-474D-A4D3-B7F11ADFDE2E}"/>
    <cellStyle name="SAPBEXexcBad7 2 4 3 5 2" xfId="7361" xr:uid="{CBB29031-A0F9-4DA7-97E0-2E5B92D5DB38}"/>
    <cellStyle name="SAPBEXexcBad7 2 4 3 6" xfId="7362" xr:uid="{ED2BB78E-F046-40CE-8EC4-9CDCEBD2D8C0}"/>
    <cellStyle name="SAPBEXexcBad7 2 4 3 6 2" xfId="7363" xr:uid="{5334ACE5-90B8-4A67-9D30-DD2F67D72022}"/>
    <cellStyle name="SAPBEXexcBad7 2 4 3 7" xfId="7364" xr:uid="{3BDBD649-97BE-4994-B5F2-E03D91A641B3}"/>
    <cellStyle name="SAPBEXexcBad7 2 4 3 7 2" xfId="7365" xr:uid="{BEA737C3-629E-432F-BC85-C1442F9ED0AB}"/>
    <cellStyle name="SAPBEXexcBad7 2 4 3 8" xfId="7366" xr:uid="{E711D0AF-83F6-4CBD-87CA-8348AA73BED4}"/>
    <cellStyle name="SAPBEXexcBad7 2 4 3 8 2" xfId="7367" xr:uid="{61FE63C9-2679-4669-A40F-2CD6BD996A22}"/>
    <cellStyle name="SAPBEXexcBad7 2 4 3 9" xfId="7368" xr:uid="{E7A34E65-6081-4326-A883-376CB0E4D5DB}"/>
    <cellStyle name="SAPBEXexcBad7 2 4 3 9 2" xfId="7369" xr:uid="{74CB1C16-3E23-42B9-95BE-17D580822328}"/>
    <cellStyle name="SAPBEXexcBad7 2 4 4" xfId="7370" xr:uid="{C6C75F74-E604-458D-8B9F-4567CA5E523F}"/>
    <cellStyle name="SAPBEXexcBad7 2 4 4 2" xfId="7371" xr:uid="{1091D87A-1E45-4B65-9653-23B7AF7993F1}"/>
    <cellStyle name="SAPBEXexcBad7 2 4 5" xfId="7372" xr:uid="{3EC37F69-624A-4BA6-BC9F-97A26E4040CF}"/>
    <cellStyle name="SAPBEXexcBad7 2 4 5 2" xfId="7373" xr:uid="{BB04FB74-41D2-40E0-9D47-CE302CBF3AF5}"/>
    <cellStyle name="SAPBEXexcBad7 2 4 6" xfId="7374" xr:uid="{805D8BA6-B4AE-4E25-90C1-369155EBD7ED}"/>
    <cellStyle name="SAPBEXexcBad7 2 4 6 2" xfId="7375" xr:uid="{821106D2-2ACF-4DAA-B8FD-816F762B5A6B}"/>
    <cellStyle name="SAPBEXexcBad7 2 4 7" xfId="7376" xr:uid="{7668C6B1-27AA-4591-B4C3-A2756E6267CA}"/>
    <cellStyle name="SAPBEXexcBad7 2 4 7 2" xfId="7377" xr:uid="{79935F97-18B9-4AFB-90B0-D5791762528F}"/>
    <cellStyle name="SAPBEXexcBad7 2 4 8" xfId="7378" xr:uid="{96B31566-D4DC-4618-A9C7-E8B1A802C09A}"/>
    <cellStyle name="SAPBEXexcBad7 2 4 8 2" xfId="7379" xr:uid="{1D62D604-B95F-4166-AB6B-3ACC19309EF8}"/>
    <cellStyle name="SAPBEXexcBad7 2 4 9" xfId="7380" xr:uid="{E0180837-96C4-4D97-A990-248C17A7529B}"/>
    <cellStyle name="SAPBEXexcBad7 2 4 9 2" xfId="7381" xr:uid="{7D5DE60E-7A54-4F96-8727-F65F99B045F4}"/>
    <cellStyle name="SAPBEXexcBad7 2 5" xfId="7382" xr:uid="{A6538F50-8043-4567-9031-F6DFB599C67C}"/>
    <cellStyle name="SAPBEXexcBad7 2 5 2" xfId="7383" xr:uid="{8ADB2CFB-4EDE-48EC-963B-9017BF839731}"/>
    <cellStyle name="SAPBEXexcBad7 2 6" xfId="7384" xr:uid="{118E7B22-EC68-499B-B2D3-C9F42E1D0A19}"/>
    <cellStyle name="SAPBEXexcBad7 2 6 2" xfId="7385" xr:uid="{83F90BEA-D37A-4FBF-96D7-8F56F389F335}"/>
    <cellStyle name="SAPBEXexcBad7 2 7" xfId="7386" xr:uid="{339C25A4-434D-4E47-91A6-B48FAB6057B8}"/>
    <cellStyle name="SAPBEXexcBad7 2 7 2" xfId="7387" xr:uid="{E75D3F7A-F82A-4192-8406-4A831BD4A070}"/>
    <cellStyle name="SAPBEXexcBad7 2 8" xfId="7388" xr:uid="{A26B9A95-A281-419B-B780-BE2447ACDAF1}"/>
    <cellStyle name="SAPBEXexcBad7 2 8 2" xfId="7389" xr:uid="{98EF8C9A-C356-44BA-9E7E-7B0DBC37823A}"/>
    <cellStyle name="SAPBEXexcBad7 2 9" xfId="7390" xr:uid="{6CD4E194-EE1C-412A-8439-27673237D5B0}"/>
    <cellStyle name="SAPBEXexcBad7 2 9 2" xfId="7391" xr:uid="{E38536DA-394A-4FD9-ADBC-1195CEE99047}"/>
    <cellStyle name="SAPBEXexcBad7 2_T1 ANSP" xfId="7102" xr:uid="{EBEF6401-38B0-49F2-8319-FE4B4B116D8A}"/>
    <cellStyle name="SAPBEXexcBad7 20" xfId="7392" xr:uid="{46D605B1-7173-457C-ABD5-4D80C5850847}"/>
    <cellStyle name="SAPBEXexcBad7 3" xfId="1504" xr:uid="{00000000-0005-0000-0000-000062050000}"/>
    <cellStyle name="SAPBEXexcBad7 3 10" xfId="7394" xr:uid="{D5F6EB45-0E88-4F12-925D-E327F7F75909}"/>
    <cellStyle name="SAPBEXexcBad7 3 10 2" xfId="7395" xr:uid="{74A97BCE-1232-479E-9D3A-93C74803C67A}"/>
    <cellStyle name="SAPBEXexcBad7 3 11" xfId="7396" xr:uid="{D717981E-C2B7-45C3-A8D0-4D0108EA3158}"/>
    <cellStyle name="SAPBEXexcBad7 3 11 2" xfId="7397" xr:uid="{C3A42F2F-774F-488F-ACF0-5B6462AD08EA}"/>
    <cellStyle name="SAPBEXexcBad7 3 12" xfId="7398" xr:uid="{BF8344E8-1762-4CE8-813C-8CE751FA9FCF}"/>
    <cellStyle name="SAPBEXexcBad7 3 12 2" xfId="7399" xr:uid="{90EE61C7-2AFE-4AED-8E19-88CF3F216ADF}"/>
    <cellStyle name="SAPBEXexcBad7 3 13" xfId="7400" xr:uid="{A9424439-F6A8-49D5-A634-EB500881E492}"/>
    <cellStyle name="SAPBEXexcBad7 3 13 2" xfId="7401" xr:uid="{47978C56-5A81-4ADE-A2F3-D3081AD225F1}"/>
    <cellStyle name="SAPBEXexcBad7 3 14" xfId="7402" xr:uid="{90694667-CE2A-4EBB-B1A3-1B2D3070AC2F}"/>
    <cellStyle name="SAPBEXexcBad7 3 14 2" xfId="7403" xr:uid="{01D798B6-FAFF-4CCF-B89D-0976CC4D7CEE}"/>
    <cellStyle name="SAPBEXexcBad7 3 15" xfId="7404" xr:uid="{A0090D9B-1B9D-48B6-A5E7-015F640A2C70}"/>
    <cellStyle name="SAPBEXexcBad7 3 15 2" xfId="7405" xr:uid="{8AAAEE77-649F-42F2-B8DC-AAB150952E5D}"/>
    <cellStyle name="SAPBEXexcBad7 3 16" xfId="7406" xr:uid="{21F86FD0-D934-4EE1-BB03-95311D3C2860}"/>
    <cellStyle name="SAPBEXexcBad7 3 16 2" xfId="7407" xr:uid="{0269EFA1-588B-40F4-AB00-EDAAE3B0EFA6}"/>
    <cellStyle name="SAPBEXexcBad7 3 17" xfId="7408" xr:uid="{1EE55607-28D9-4705-8A8A-B3300C95A6A1}"/>
    <cellStyle name="SAPBEXexcBad7 3 17 2" xfId="7409" xr:uid="{46B624E9-624C-417D-B7B1-A227D3C32A66}"/>
    <cellStyle name="SAPBEXexcBad7 3 18" xfId="7410" xr:uid="{19339C35-8A5A-4ECF-AB05-C3DCD80A9F04}"/>
    <cellStyle name="SAPBEXexcBad7 3 2" xfId="7411" xr:uid="{C505B389-075F-4277-90A3-CFF5DE17925D}"/>
    <cellStyle name="SAPBEXexcBad7 3 2 10" xfId="7412" xr:uid="{250C7AD5-C3D4-44CD-AAF7-E8E31CA792AE}"/>
    <cellStyle name="SAPBEXexcBad7 3 2 10 2" xfId="7413" xr:uid="{181297BE-70D7-4E01-B9B1-3946E5A4A866}"/>
    <cellStyle name="SAPBEXexcBad7 3 2 11" xfId="7414" xr:uid="{6F18908C-BCE9-4E27-9E43-F5838AC0890A}"/>
    <cellStyle name="SAPBEXexcBad7 3 2 11 2" xfId="7415" xr:uid="{BC04D372-8F6A-4546-8C71-81D1F5AC0255}"/>
    <cellStyle name="SAPBEXexcBad7 3 2 12" xfId="7416" xr:uid="{D6F059C0-5CE2-4F9B-878F-2E383B2A2561}"/>
    <cellStyle name="SAPBEXexcBad7 3 2 12 2" xfId="7417" xr:uid="{1F556835-7049-4095-8D64-3CF6FA484101}"/>
    <cellStyle name="SAPBEXexcBad7 3 2 13" xfId="7418" xr:uid="{178C7692-1F37-4E00-B8D9-92A6A2033D27}"/>
    <cellStyle name="SAPBEXexcBad7 3 2 13 2" xfId="7419" xr:uid="{4BD30ED0-637A-44D8-99B8-61FDDC2A82FC}"/>
    <cellStyle name="SAPBEXexcBad7 3 2 14" xfId="7420" xr:uid="{DE562AF8-A0B7-4727-B461-6883AA39FD54}"/>
    <cellStyle name="SAPBEXexcBad7 3 2 14 2" xfId="7421" xr:uid="{9D4D8F73-9280-43B0-B80B-40E67A8DBD13}"/>
    <cellStyle name="SAPBEXexcBad7 3 2 15" xfId="7422" xr:uid="{A8BBAA8C-B628-4510-8418-3DDA6307635A}"/>
    <cellStyle name="SAPBEXexcBad7 3 2 15 2" xfId="7423" xr:uid="{BF7BFEA2-CB45-42B8-ACBE-E4265923BFDC}"/>
    <cellStyle name="SAPBEXexcBad7 3 2 16" xfId="7424" xr:uid="{BB3E43A2-A183-40CC-A029-FEA417911F3C}"/>
    <cellStyle name="SAPBEXexcBad7 3 2 2" xfId="7425" xr:uid="{D52206E7-F4A4-4348-9635-E61F1784D14D}"/>
    <cellStyle name="SAPBEXexcBad7 3 2 2 2" xfId="7426" xr:uid="{3806BA8A-B9DE-401C-84A8-8335D9F0E8D8}"/>
    <cellStyle name="SAPBEXexcBad7 3 2 3" xfId="7427" xr:uid="{EDD2BC5F-5867-4E24-857A-889EAA579C9D}"/>
    <cellStyle name="SAPBEXexcBad7 3 2 3 2" xfId="7428" xr:uid="{316CE3E3-CE1E-40F1-B707-1D4F2CE6075B}"/>
    <cellStyle name="SAPBEXexcBad7 3 2 4" xfId="7429" xr:uid="{819449CA-5B33-460B-96F0-9D56BABAE3B0}"/>
    <cellStyle name="SAPBEXexcBad7 3 2 4 2" xfId="7430" xr:uid="{506CA856-593D-4C2F-8086-5208C2D1A3A1}"/>
    <cellStyle name="SAPBEXexcBad7 3 2 5" xfId="7431" xr:uid="{74FBE896-6331-4637-A66E-537A7DE7D875}"/>
    <cellStyle name="SAPBEXexcBad7 3 2 5 2" xfId="7432" xr:uid="{7D577C26-8B58-472F-9023-A5EC4CAEC997}"/>
    <cellStyle name="SAPBEXexcBad7 3 2 6" xfId="7433" xr:uid="{FDC83F05-443A-4B24-B6AB-6761F3F35DA0}"/>
    <cellStyle name="SAPBEXexcBad7 3 2 6 2" xfId="7434" xr:uid="{57823EBE-D138-4C7A-8C3F-F7B86DC9B91C}"/>
    <cellStyle name="SAPBEXexcBad7 3 2 7" xfId="7435" xr:uid="{7DB0C5B7-4A47-4E4C-A186-4C31F985E920}"/>
    <cellStyle name="SAPBEXexcBad7 3 2 7 2" xfId="7436" xr:uid="{2C8F9AA5-37E2-4406-AA57-7709A47267ED}"/>
    <cellStyle name="SAPBEXexcBad7 3 2 8" xfId="7437" xr:uid="{4AAA1637-986B-4806-904E-599DB2D7F94C}"/>
    <cellStyle name="SAPBEXexcBad7 3 2 8 2" xfId="7438" xr:uid="{0010DA51-055E-40EE-94F8-AD0EBA8FF8C0}"/>
    <cellStyle name="SAPBEXexcBad7 3 2 9" xfId="7439" xr:uid="{8C4175AA-9598-4236-B64E-A90F34229DDD}"/>
    <cellStyle name="SAPBEXexcBad7 3 2 9 2" xfId="7440" xr:uid="{D34CF944-AAAE-418C-8F45-BAFB9A3791FA}"/>
    <cellStyle name="SAPBEXexcBad7 3 3" xfId="7441" xr:uid="{6F1D0982-61B5-4773-ADFA-D582BBAF403D}"/>
    <cellStyle name="SAPBEXexcBad7 3 3 10" xfId="7442" xr:uid="{CF12899B-92C0-4C10-BAB0-BAB22F2CB921}"/>
    <cellStyle name="SAPBEXexcBad7 3 3 10 2" xfId="7443" xr:uid="{D7319DDC-A5F0-4AE7-9E89-BD0EB0BE0F9C}"/>
    <cellStyle name="SAPBEXexcBad7 3 3 11" xfId="7444" xr:uid="{C37981CD-0A35-4F57-A687-DFEC55E9A9A5}"/>
    <cellStyle name="SAPBEXexcBad7 3 3 11 2" xfId="7445" xr:uid="{22B14C40-EDDC-4B9A-B654-2851672FBC03}"/>
    <cellStyle name="SAPBEXexcBad7 3 3 12" xfId="7446" xr:uid="{C902DAF0-7E11-476D-B414-1AF21A2A9D81}"/>
    <cellStyle name="SAPBEXexcBad7 3 3 12 2" xfId="7447" xr:uid="{11E91BA5-17AC-4128-8C6D-56C72D6F9AED}"/>
    <cellStyle name="SAPBEXexcBad7 3 3 13" xfId="7448" xr:uid="{0BA0FFF3-04A1-465D-A22C-C305448C3220}"/>
    <cellStyle name="SAPBEXexcBad7 3 3 13 2" xfId="7449" xr:uid="{768E6158-9451-46A6-BF29-AAD52DEA23E1}"/>
    <cellStyle name="SAPBEXexcBad7 3 3 14" xfId="7450" xr:uid="{DD3EC729-556A-4830-8229-DBA62128D839}"/>
    <cellStyle name="SAPBEXexcBad7 3 3 14 2" xfId="7451" xr:uid="{943EDD96-573D-439B-8F13-E58D8C417B3A}"/>
    <cellStyle name="SAPBEXexcBad7 3 3 15" xfId="7452" xr:uid="{496FC301-D60C-4D9E-AB7D-C75C5C2FD146}"/>
    <cellStyle name="SAPBEXexcBad7 3 3 15 2" xfId="7453" xr:uid="{B9370E36-4745-4DCE-9C9C-958DFDAA35DD}"/>
    <cellStyle name="SAPBEXexcBad7 3 3 16" xfId="7454" xr:uid="{56803A78-0619-4AEF-B800-5C06EB41C045}"/>
    <cellStyle name="SAPBEXexcBad7 3 3 2" xfId="7455" xr:uid="{1BB4C44F-D7A2-4ED1-A5C3-F51E429EE969}"/>
    <cellStyle name="SAPBEXexcBad7 3 3 2 2" xfId="7456" xr:uid="{E2919CCE-92BF-4DC1-98EF-26750BC34F68}"/>
    <cellStyle name="SAPBEXexcBad7 3 3 3" xfId="7457" xr:uid="{4558CD5B-1785-46A2-93F8-D74280DA1E04}"/>
    <cellStyle name="SAPBEXexcBad7 3 3 3 2" xfId="7458" xr:uid="{27A8486F-1B08-422C-A0DF-BDDA05D88329}"/>
    <cellStyle name="SAPBEXexcBad7 3 3 4" xfId="7459" xr:uid="{710B29D7-62D6-414F-B6FB-8DE558C5C85D}"/>
    <cellStyle name="SAPBEXexcBad7 3 3 4 2" xfId="7460" xr:uid="{3FDB33DF-DD76-4297-9124-B2070C49E9A2}"/>
    <cellStyle name="SAPBEXexcBad7 3 3 5" xfId="7461" xr:uid="{D127DC54-0BFE-4B47-ABB5-1B3E8D8C7650}"/>
    <cellStyle name="SAPBEXexcBad7 3 3 5 2" xfId="7462" xr:uid="{4376F252-5DE1-4529-A5AE-D400F9AD5AD4}"/>
    <cellStyle name="SAPBEXexcBad7 3 3 6" xfId="7463" xr:uid="{97AC6354-BB72-46FA-8B1A-15854BD903C5}"/>
    <cellStyle name="SAPBEXexcBad7 3 3 6 2" xfId="7464" xr:uid="{4E0E6A49-5168-4CB2-88C4-7742C7F6F750}"/>
    <cellStyle name="SAPBEXexcBad7 3 3 7" xfId="7465" xr:uid="{954F249D-567D-403D-8DB5-F2EBEF4A6543}"/>
    <cellStyle name="SAPBEXexcBad7 3 3 7 2" xfId="7466" xr:uid="{5F2A2739-AFEC-4175-B3DB-BFB1A7E765DC}"/>
    <cellStyle name="SAPBEXexcBad7 3 3 8" xfId="7467" xr:uid="{4016DDB1-177C-4263-9769-709DE3069D01}"/>
    <cellStyle name="SAPBEXexcBad7 3 3 8 2" xfId="7468" xr:uid="{9ED74391-E54E-4541-B1F6-A4CF53E11538}"/>
    <cellStyle name="SAPBEXexcBad7 3 3 9" xfId="7469" xr:uid="{E9069B4D-20B8-4E8A-B62E-74ACEB48992E}"/>
    <cellStyle name="SAPBEXexcBad7 3 3 9 2" xfId="7470" xr:uid="{249A8441-C442-40AF-B242-7712287CE7D5}"/>
    <cellStyle name="SAPBEXexcBad7 3 4" xfId="7471" xr:uid="{895F63A4-6143-4B43-B8D0-F86887948C52}"/>
    <cellStyle name="SAPBEXexcBad7 3 4 2" xfId="7472" xr:uid="{E0E07E1F-38E3-4625-982D-FC5AD37D5628}"/>
    <cellStyle name="SAPBEXexcBad7 3 5" xfId="7473" xr:uid="{49D8FC47-544B-47C9-801F-BB4B6336311E}"/>
    <cellStyle name="SAPBEXexcBad7 3 5 2" xfId="7474" xr:uid="{1A9EDB4A-7204-4A49-953B-BE3AAC297B59}"/>
    <cellStyle name="SAPBEXexcBad7 3 6" xfId="7475" xr:uid="{D432E3F1-47F2-4A08-B1C2-F58CB03E7884}"/>
    <cellStyle name="SAPBEXexcBad7 3 6 2" xfId="7476" xr:uid="{68C2D948-BAA4-4805-AB83-459D30C44D0B}"/>
    <cellStyle name="SAPBEXexcBad7 3 7" xfId="7477" xr:uid="{CAC1B4D7-6420-466C-A6F1-EB98748E8AA1}"/>
    <cellStyle name="SAPBEXexcBad7 3 7 2" xfId="7478" xr:uid="{855065C2-7DF8-41FE-85CD-07DA66E36B26}"/>
    <cellStyle name="SAPBEXexcBad7 3 8" xfId="7479" xr:uid="{FE30FB50-C4A5-4169-BB4C-E1B45FA39C5C}"/>
    <cellStyle name="SAPBEXexcBad7 3 8 2" xfId="7480" xr:uid="{6EB561D1-7570-4EDB-8223-424215A4A341}"/>
    <cellStyle name="SAPBEXexcBad7 3 9" xfId="7481" xr:uid="{449ED5D1-4A12-40C7-9471-3E0C5943AA8A}"/>
    <cellStyle name="SAPBEXexcBad7 3 9 2" xfId="7482" xr:uid="{1FEB13BF-C29F-453E-A444-FEE812EB2DEE}"/>
    <cellStyle name="SAPBEXexcBad7 3_T1 ANSP" xfId="7393" xr:uid="{54A03607-6AC9-4A6A-99EC-213A422111FF}"/>
    <cellStyle name="SAPBEXexcBad7 4" xfId="7483" xr:uid="{6CF9C24E-A82D-4853-B8AC-D62E1B8DF145}"/>
    <cellStyle name="SAPBEXexcBad7 4 10" xfId="7484" xr:uid="{2AA134A5-BCAE-49E1-9426-C39CDD47FEFA}"/>
    <cellStyle name="SAPBEXexcBad7 4 10 2" xfId="7485" xr:uid="{1A59557F-2766-4651-AD14-C165124BB15D}"/>
    <cellStyle name="SAPBEXexcBad7 4 11" xfId="7486" xr:uid="{5857AAB8-E1E2-4B54-866D-EEC861FF741B}"/>
    <cellStyle name="SAPBEXexcBad7 4 11 2" xfId="7487" xr:uid="{4885D8B8-59E8-45A0-A679-F3A5BE2BFA75}"/>
    <cellStyle name="SAPBEXexcBad7 4 12" xfId="7488" xr:uid="{A0E036C9-110B-44B7-A054-0B8FC38A85D9}"/>
    <cellStyle name="SAPBEXexcBad7 4 12 2" xfId="7489" xr:uid="{DDF922A2-AFF3-4BFF-AC7A-4AE6CAE96464}"/>
    <cellStyle name="SAPBEXexcBad7 4 13" xfId="7490" xr:uid="{07B79BAA-1C70-41F1-AE62-24E8BD9AE074}"/>
    <cellStyle name="SAPBEXexcBad7 4 13 2" xfId="7491" xr:uid="{FF66D93D-6399-4B38-BDC3-22C60632CC26}"/>
    <cellStyle name="SAPBEXexcBad7 4 14" xfId="7492" xr:uid="{45333265-6862-46AB-97E1-D536F47C5569}"/>
    <cellStyle name="SAPBEXexcBad7 4 14 2" xfId="7493" xr:uid="{FB8C1F91-8DBD-450C-B592-55C8A23C7E5B}"/>
    <cellStyle name="SAPBEXexcBad7 4 15" xfId="7494" xr:uid="{B303076E-BC63-44AE-BAA6-010DA5FAE425}"/>
    <cellStyle name="SAPBEXexcBad7 4 15 2" xfId="7495" xr:uid="{BA57A66A-8A90-4078-AAF9-3C028017A80C}"/>
    <cellStyle name="SAPBEXexcBad7 4 16" xfId="7496" xr:uid="{E68CD5B6-77B4-4282-A0DE-5511258BECE9}"/>
    <cellStyle name="SAPBEXexcBad7 4 16 2" xfId="7497" xr:uid="{2F9AE632-0E3E-4BB0-8A53-A45FE5C03652}"/>
    <cellStyle name="SAPBEXexcBad7 4 17" xfId="7498" xr:uid="{82D2273B-462A-454B-9953-3966B4FFE4EA}"/>
    <cellStyle name="SAPBEXexcBad7 4 17 2" xfId="7499" xr:uid="{0F0A3DCB-6586-494F-82D6-3375B3C4941C}"/>
    <cellStyle name="SAPBEXexcBad7 4 18" xfId="7500" xr:uid="{B7496BA9-8251-4C6B-ACB5-E76AE118E710}"/>
    <cellStyle name="SAPBEXexcBad7 4 2" xfId="7501" xr:uid="{FAED49DD-A140-4E5D-96A5-4FFA0E64F291}"/>
    <cellStyle name="SAPBEXexcBad7 4 2 10" xfId="7502" xr:uid="{F91962B7-1096-4F2A-803B-C5D503262D82}"/>
    <cellStyle name="SAPBEXexcBad7 4 2 10 2" xfId="7503" xr:uid="{89163DF9-F135-455E-AB5A-4478549022FE}"/>
    <cellStyle name="SAPBEXexcBad7 4 2 11" xfId="7504" xr:uid="{EFFE60C2-61F8-40AA-A47B-DB606E773556}"/>
    <cellStyle name="SAPBEXexcBad7 4 2 11 2" xfId="7505" xr:uid="{618A2BFF-2B94-40CB-BDE7-0DA4192D9B78}"/>
    <cellStyle name="SAPBEXexcBad7 4 2 12" xfId="7506" xr:uid="{C94B685F-D5D1-4148-8C5C-D7E518C89AB4}"/>
    <cellStyle name="SAPBEXexcBad7 4 2 12 2" xfId="7507" xr:uid="{C27664DA-4B10-415A-9137-BD375AC6177B}"/>
    <cellStyle name="SAPBEXexcBad7 4 2 13" xfId="7508" xr:uid="{6085FE89-4AAD-4A27-B634-90E2A9AEE8E8}"/>
    <cellStyle name="SAPBEXexcBad7 4 2 13 2" xfId="7509" xr:uid="{D0E3338E-6B6C-45B0-9D70-72A1DA8A33A6}"/>
    <cellStyle name="SAPBEXexcBad7 4 2 14" xfId="7510" xr:uid="{FA0D59F7-8C9B-4B46-B663-C8DFD4002CB5}"/>
    <cellStyle name="SAPBEXexcBad7 4 2 14 2" xfId="7511" xr:uid="{60DA587C-D87E-45C7-9649-E7B034CCB162}"/>
    <cellStyle name="SAPBEXexcBad7 4 2 15" xfId="7512" xr:uid="{7FFF1553-968E-4BC9-86DD-EBC28FCAAB7A}"/>
    <cellStyle name="SAPBEXexcBad7 4 2 15 2" xfId="7513" xr:uid="{6DF81529-A4CC-40E6-AA9F-E98D5DFB8498}"/>
    <cellStyle name="SAPBEXexcBad7 4 2 16" xfId="7514" xr:uid="{BCAC0862-323D-4E72-BD24-415FA5AD8A53}"/>
    <cellStyle name="SAPBEXexcBad7 4 2 2" xfId="7515" xr:uid="{C2C55C64-03C0-4628-8C37-4873D6D0C3BD}"/>
    <cellStyle name="SAPBEXexcBad7 4 2 2 2" xfId="7516" xr:uid="{C3C49787-C6C6-4026-BD9E-F60414C52E7B}"/>
    <cellStyle name="SAPBEXexcBad7 4 2 3" xfId="7517" xr:uid="{8B4DBFE6-824D-491D-B63F-664D4325E314}"/>
    <cellStyle name="SAPBEXexcBad7 4 2 3 2" xfId="7518" xr:uid="{8EF01D6E-0358-422B-8BE4-8B1A84EDB40B}"/>
    <cellStyle name="SAPBEXexcBad7 4 2 4" xfId="7519" xr:uid="{29FB94EF-1653-41CE-AE08-2D21226C8C18}"/>
    <cellStyle name="SAPBEXexcBad7 4 2 4 2" xfId="7520" xr:uid="{F6004959-E9EE-4749-B487-B4A1E63AFDD8}"/>
    <cellStyle name="SAPBEXexcBad7 4 2 5" xfId="7521" xr:uid="{2406EE8E-B1B9-46BB-972C-B42C88F5F5DE}"/>
    <cellStyle name="SAPBEXexcBad7 4 2 5 2" xfId="7522" xr:uid="{1FC9BEB5-B5E9-44DE-83BB-45FB38E163B1}"/>
    <cellStyle name="SAPBEXexcBad7 4 2 6" xfId="7523" xr:uid="{AA1AFE2C-0DA9-42CE-9F2B-02C65A51E4F6}"/>
    <cellStyle name="SAPBEXexcBad7 4 2 6 2" xfId="7524" xr:uid="{3B5811EE-CA7F-480F-8A4A-240A433D718C}"/>
    <cellStyle name="SAPBEXexcBad7 4 2 7" xfId="7525" xr:uid="{92779B96-38B0-4263-BB73-9FBED44DCCF7}"/>
    <cellStyle name="SAPBEXexcBad7 4 2 7 2" xfId="7526" xr:uid="{BCC0E031-A99F-4347-AE80-60DD41ED8B3D}"/>
    <cellStyle name="SAPBEXexcBad7 4 2 8" xfId="7527" xr:uid="{3C67742E-55D3-4EF0-B916-DF1F2CFE7E22}"/>
    <cellStyle name="SAPBEXexcBad7 4 2 8 2" xfId="7528" xr:uid="{F4CF13CC-90AB-4449-A06F-27A8EB5E8ABB}"/>
    <cellStyle name="SAPBEXexcBad7 4 2 9" xfId="7529" xr:uid="{B0DE8685-4731-499E-93B7-296A1303A748}"/>
    <cellStyle name="SAPBEXexcBad7 4 2 9 2" xfId="7530" xr:uid="{BB22952A-186A-43F5-9FD2-3CBBE7E14C33}"/>
    <cellStyle name="SAPBEXexcBad7 4 3" xfId="7531" xr:uid="{F007FA29-1831-4B73-9D39-789B8EA05BD3}"/>
    <cellStyle name="SAPBEXexcBad7 4 3 10" xfId="7532" xr:uid="{DC8732C2-72AC-41CE-85B2-16BD190A1165}"/>
    <cellStyle name="SAPBEXexcBad7 4 3 10 2" xfId="7533" xr:uid="{23540E49-5FF5-48B5-B88D-1FFD08F1DBE8}"/>
    <cellStyle name="SAPBEXexcBad7 4 3 11" xfId="7534" xr:uid="{2417B94D-9DE5-4584-BC6D-6E187E8767FE}"/>
    <cellStyle name="SAPBEXexcBad7 4 3 11 2" xfId="7535" xr:uid="{59E56DD1-9226-438B-9E5A-8CA18F38D439}"/>
    <cellStyle name="SAPBEXexcBad7 4 3 12" xfId="7536" xr:uid="{C859B206-6668-4FDB-9B26-43E6107EE1B0}"/>
    <cellStyle name="SAPBEXexcBad7 4 3 12 2" xfId="7537" xr:uid="{55B43DED-E94E-48E7-B543-E0360A3CF159}"/>
    <cellStyle name="SAPBEXexcBad7 4 3 13" xfId="7538" xr:uid="{4D4A5075-EA16-4A8B-96C3-8577E2739D46}"/>
    <cellStyle name="SAPBEXexcBad7 4 3 13 2" xfId="7539" xr:uid="{DE4148CB-B299-442D-8ECA-9A2B8382B55D}"/>
    <cellStyle name="SAPBEXexcBad7 4 3 14" xfId="7540" xr:uid="{F6CB1E00-EE67-49C8-9873-588C8FBB758B}"/>
    <cellStyle name="SAPBEXexcBad7 4 3 14 2" xfId="7541" xr:uid="{F837C62B-10F4-4AEE-9206-253E61A87F7C}"/>
    <cellStyle name="SAPBEXexcBad7 4 3 15" xfId="7542" xr:uid="{C32C5D64-6AD8-4B0B-BD3E-480CE1CC5B75}"/>
    <cellStyle name="SAPBEXexcBad7 4 3 15 2" xfId="7543" xr:uid="{24A31C95-2D87-4ED9-B0D4-D11B8CECCD85}"/>
    <cellStyle name="SAPBEXexcBad7 4 3 16" xfId="7544" xr:uid="{A45B119F-4B17-48EC-8BCB-1CF04BDDB18E}"/>
    <cellStyle name="SAPBEXexcBad7 4 3 2" xfId="7545" xr:uid="{0A681D20-FCD7-4D27-891B-050DC68949EA}"/>
    <cellStyle name="SAPBEXexcBad7 4 3 2 2" xfId="7546" xr:uid="{03105835-6055-49FA-93F7-05611FFA8093}"/>
    <cellStyle name="SAPBEXexcBad7 4 3 3" xfId="7547" xr:uid="{042886A9-7447-4E0A-93C0-4F2C6A18A1E2}"/>
    <cellStyle name="SAPBEXexcBad7 4 3 3 2" xfId="7548" xr:uid="{0FABEF78-EA21-4447-B5EF-938D8B1D1E3B}"/>
    <cellStyle name="SAPBEXexcBad7 4 3 4" xfId="7549" xr:uid="{81D68573-90B9-4673-91F0-6B4EC029EEC9}"/>
    <cellStyle name="SAPBEXexcBad7 4 3 4 2" xfId="7550" xr:uid="{74091CEE-DCA6-462E-B8B8-271CF4322182}"/>
    <cellStyle name="SAPBEXexcBad7 4 3 5" xfId="7551" xr:uid="{45E09E94-4F8D-456D-BBF0-B8A3E64CF5C0}"/>
    <cellStyle name="SAPBEXexcBad7 4 3 5 2" xfId="7552" xr:uid="{D2E5BA64-1BBC-43CC-B159-059B6ED73374}"/>
    <cellStyle name="SAPBEXexcBad7 4 3 6" xfId="7553" xr:uid="{0685E993-2EFE-4D2F-9DFF-FEFE3F8C9B70}"/>
    <cellStyle name="SAPBEXexcBad7 4 3 6 2" xfId="7554" xr:uid="{BC521E0D-261C-4431-9246-8D0795B1E7AE}"/>
    <cellStyle name="SAPBEXexcBad7 4 3 7" xfId="7555" xr:uid="{7E50577A-1390-454F-9EFC-0CF3F17BB6FE}"/>
    <cellStyle name="SAPBEXexcBad7 4 3 7 2" xfId="7556" xr:uid="{BAE4D66C-C80D-4DAC-A001-5DDF3F26ABD2}"/>
    <cellStyle name="SAPBEXexcBad7 4 3 8" xfId="7557" xr:uid="{59EFBFEE-19D1-498B-8F06-6C8D5FDA7844}"/>
    <cellStyle name="SAPBEXexcBad7 4 3 8 2" xfId="7558" xr:uid="{D5357FD6-C9A5-4A3C-93A2-A868A94DBA0F}"/>
    <cellStyle name="SAPBEXexcBad7 4 3 9" xfId="7559" xr:uid="{8D91790C-F037-42B0-8596-D8D925843EDA}"/>
    <cellStyle name="SAPBEXexcBad7 4 3 9 2" xfId="7560" xr:uid="{6F19B5E6-4A44-4940-901F-8F3CE8B95BB7}"/>
    <cellStyle name="SAPBEXexcBad7 4 4" xfId="7561" xr:uid="{266B5444-79C8-496F-98A1-6A2B7BC244C3}"/>
    <cellStyle name="SAPBEXexcBad7 4 4 2" xfId="7562" xr:uid="{C813421F-1987-4736-A87F-95C753BC0B6E}"/>
    <cellStyle name="SAPBEXexcBad7 4 5" xfId="7563" xr:uid="{2646A481-5AE0-460B-8DD7-70796C8EE848}"/>
    <cellStyle name="SAPBEXexcBad7 4 5 2" xfId="7564" xr:uid="{2B8A00E8-76B6-4C65-9908-C8E13CB36538}"/>
    <cellStyle name="SAPBEXexcBad7 4 6" xfId="7565" xr:uid="{FCEC426F-7D54-4BE2-8404-AB7C10025A59}"/>
    <cellStyle name="SAPBEXexcBad7 4 6 2" xfId="7566" xr:uid="{13F58307-76F3-43BD-9589-130736D5680D}"/>
    <cellStyle name="SAPBEXexcBad7 4 7" xfId="7567" xr:uid="{BA6DCC20-8B6B-459E-BF7E-C74E6FB5C9DD}"/>
    <cellStyle name="SAPBEXexcBad7 4 7 2" xfId="7568" xr:uid="{7BFE17AA-735A-456A-A52A-803864AE40D7}"/>
    <cellStyle name="SAPBEXexcBad7 4 8" xfId="7569" xr:uid="{0B5E7BE5-244B-4EAF-9760-6358A4485D27}"/>
    <cellStyle name="SAPBEXexcBad7 4 8 2" xfId="7570" xr:uid="{27362562-19F7-4A99-8625-75412E88AD66}"/>
    <cellStyle name="SAPBEXexcBad7 4 9" xfId="7571" xr:uid="{8896C00F-4471-4347-AF77-6F81021D3B3A}"/>
    <cellStyle name="SAPBEXexcBad7 4 9 2" xfId="7572" xr:uid="{08B4D28B-7977-4B1A-B8E0-D84D07CE93E4}"/>
    <cellStyle name="SAPBEXexcBad7 5" xfId="7573" xr:uid="{076C0537-355D-48D8-991C-B0664714F964}"/>
    <cellStyle name="SAPBEXexcBad7 5 10" xfId="7574" xr:uid="{AAC225CB-C65A-42AF-A01A-26415E2385F3}"/>
    <cellStyle name="SAPBEXexcBad7 5 10 2" xfId="7575" xr:uid="{14A6E613-7662-4DBF-A533-1A8729DF6589}"/>
    <cellStyle name="SAPBEXexcBad7 5 11" xfId="7576" xr:uid="{6823980F-4125-41B8-B3D6-2925D405D0D8}"/>
    <cellStyle name="SAPBEXexcBad7 5 11 2" xfId="7577" xr:uid="{D3871670-9FB7-4CC3-863A-6D40B20BCB3B}"/>
    <cellStyle name="SAPBEXexcBad7 5 12" xfId="7578" xr:uid="{8D15098A-976B-4D8E-AFD8-FEDB3808B82C}"/>
    <cellStyle name="SAPBEXexcBad7 5 12 2" xfId="7579" xr:uid="{B7D8F173-F37B-4935-B45B-6A3CB5EC6E0A}"/>
    <cellStyle name="SAPBEXexcBad7 5 13" xfId="7580" xr:uid="{67083D39-1CD9-40F0-A90C-AAC45AC90E1A}"/>
    <cellStyle name="SAPBEXexcBad7 5 13 2" xfId="7581" xr:uid="{822D7AB8-3205-4A4B-99FA-0823E7081E7C}"/>
    <cellStyle name="SAPBEXexcBad7 5 14" xfId="7582" xr:uid="{4F6520CB-117A-4BC2-A2D5-503496A0E6E1}"/>
    <cellStyle name="SAPBEXexcBad7 5 14 2" xfId="7583" xr:uid="{69915D80-552D-4BFF-A222-12250D154234}"/>
    <cellStyle name="SAPBEXexcBad7 5 15" xfId="7584" xr:uid="{711CBB3E-77B0-4A30-9871-D6EF1D0FABA4}"/>
    <cellStyle name="SAPBEXexcBad7 5 15 2" xfId="7585" xr:uid="{17C6D431-A086-41F6-BACD-6EE26DD21B63}"/>
    <cellStyle name="SAPBEXexcBad7 5 16" xfId="7586" xr:uid="{9E49E690-B8DA-401A-9F35-821F7374A7B1}"/>
    <cellStyle name="SAPBEXexcBad7 5 2" xfId="7587" xr:uid="{48CB366B-7180-421C-A3D6-C47282930124}"/>
    <cellStyle name="SAPBEXexcBad7 5 2 2" xfId="7588" xr:uid="{B21CFE22-B32B-4C2E-8514-858106C3B3BF}"/>
    <cellStyle name="SAPBEXexcBad7 5 3" xfId="7589" xr:uid="{832D2D88-E2AE-47DC-9F04-F9DEA193571F}"/>
    <cellStyle name="SAPBEXexcBad7 5 3 2" xfId="7590" xr:uid="{593F4A02-164D-40E6-B9EB-A2D41FD0BA55}"/>
    <cellStyle name="SAPBEXexcBad7 5 4" xfId="7591" xr:uid="{757193B7-40BC-4C6C-95E7-B06800E4117B}"/>
    <cellStyle name="SAPBEXexcBad7 5 4 2" xfId="7592" xr:uid="{666BF6A9-EC66-4354-A315-E768955CFA8B}"/>
    <cellStyle name="SAPBEXexcBad7 5 5" xfId="7593" xr:uid="{7A248C7F-9C2E-4A32-B968-35804C3FC9B8}"/>
    <cellStyle name="SAPBEXexcBad7 5 5 2" xfId="7594" xr:uid="{46CD45D3-653D-4769-8D57-2CBF528419D1}"/>
    <cellStyle name="SAPBEXexcBad7 5 6" xfId="7595" xr:uid="{8A95D26D-DA86-4DB7-96A6-CA09A607D51F}"/>
    <cellStyle name="SAPBEXexcBad7 5 6 2" xfId="7596" xr:uid="{8826566F-4465-48E4-8A60-8E579A294841}"/>
    <cellStyle name="SAPBEXexcBad7 5 7" xfId="7597" xr:uid="{E911F420-4A82-4E64-AAF7-AFF24B3E4D25}"/>
    <cellStyle name="SAPBEXexcBad7 5 7 2" xfId="7598" xr:uid="{C3AB97D0-37D5-45A4-8E16-09716E01D07B}"/>
    <cellStyle name="SAPBEXexcBad7 5 8" xfId="7599" xr:uid="{E3CF9640-0FC3-460D-889D-F99578813C9D}"/>
    <cellStyle name="SAPBEXexcBad7 5 8 2" xfId="7600" xr:uid="{D431D3F0-E6DC-407E-90A6-624AF6F14B59}"/>
    <cellStyle name="SAPBEXexcBad7 5 9" xfId="7601" xr:uid="{415E2CE7-10A3-4BAE-9D75-5D220BC7F4AD}"/>
    <cellStyle name="SAPBEXexcBad7 5 9 2" xfId="7602" xr:uid="{9BB408DF-2E35-404A-B817-40DAFB3D8110}"/>
    <cellStyle name="SAPBEXexcBad7 6" xfId="7603" xr:uid="{7F49D436-B9CB-488B-BB6C-29DDFF1ECF64}"/>
    <cellStyle name="SAPBEXexcBad7 6 2" xfId="7604" xr:uid="{DF8F4197-D667-4BA4-A299-8109143E7EA3}"/>
    <cellStyle name="SAPBEXexcBad7 7" xfId="7605" xr:uid="{DAEE69FA-49EE-4E8E-89EA-BFF25B8FD9EA}"/>
    <cellStyle name="SAPBEXexcBad7 7 2" xfId="7606" xr:uid="{71D028FB-7358-4196-A5EF-2E05E66EA20B}"/>
    <cellStyle name="SAPBEXexcBad7 8" xfId="7607" xr:uid="{67FB1D9D-57F5-4922-BDF8-A02480D260E8}"/>
    <cellStyle name="SAPBEXexcBad7 8 2" xfId="7608" xr:uid="{1A914407-2C45-4DD2-AD7D-6045DF96CC21}"/>
    <cellStyle name="SAPBEXexcBad7 9" xfId="7609" xr:uid="{3A122F7D-01A4-427D-94F4-A57CA74E5A22}"/>
    <cellStyle name="SAPBEXexcBad7 9 2" xfId="7610" xr:uid="{F20C9CDE-AB3C-4828-899F-99EBAAD46E6C}"/>
    <cellStyle name="SAPBEXexcBad7_T1 ANSP" xfId="7081" xr:uid="{02F5D914-B134-4798-B19B-441B790CF63A}"/>
    <cellStyle name="SAPBEXexcBad8" xfId="732" xr:uid="{00000000-0005-0000-0000-000063050000}"/>
    <cellStyle name="SAPBEXexcBad8 10" xfId="7612" xr:uid="{1AE8795A-30CC-4498-A056-9CC58F7D14ED}"/>
    <cellStyle name="SAPBEXexcBad8 10 2" xfId="7613" xr:uid="{4B8F3BC9-52FC-48A5-91C2-6FA0585F9DBF}"/>
    <cellStyle name="SAPBEXexcBad8 11" xfId="7614" xr:uid="{740E03F6-2517-47C2-AAD9-21EFE763D848}"/>
    <cellStyle name="SAPBEXexcBad8 11 2" xfId="7615" xr:uid="{E03831DE-1F94-4297-808B-D5B49F8BEC9E}"/>
    <cellStyle name="SAPBEXexcBad8 12" xfId="7616" xr:uid="{E5B69C83-4C0A-459B-B5BB-22CF11348177}"/>
    <cellStyle name="SAPBEXexcBad8 12 2" xfId="7617" xr:uid="{924F488F-2577-4A3C-BF62-94E3D6B0BE0F}"/>
    <cellStyle name="SAPBEXexcBad8 13" xfId="7618" xr:uid="{BB105431-29C3-413E-A0E3-5BE8F441D60C}"/>
    <cellStyle name="SAPBEXexcBad8 13 2" xfId="7619" xr:uid="{80E446E3-EC7C-4307-B527-D3F061A5CAE9}"/>
    <cellStyle name="SAPBEXexcBad8 14" xfId="7620" xr:uid="{9A9B2F39-1F78-474F-BF7B-1308B6880C56}"/>
    <cellStyle name="SAPBEXexcBad8 14 2" xfId="7621" xr:uid="{40050CB4-2708-4223-AEE1-64B6F136031E}"/>
    <cellStyle name="SAPBEXexcBad8 15" xfId="7622" xr:uid="{3F83588C-1D18-4864-854A-E4B093E14E9C}"/>
    <cellStyle name="SAPBEXexcBad8 15 2" xfId="7623" xr:uid="{6DD8434A-15E3-41C6-8530-E2D96F54214E}"/>
    <cellStyle name="SAPBEXexcBad8 16" xfId="7624" xr:uid="{59BF4694-D1F7-440E-9CF5-F2252459595E}"/>
    <cellStyle name="SAPBEXexcBad8 16 2" xfId="7625" xr:uid="{A864F288-C527-4B5A-A168-9C15D9B68546}"/>
    <cellStyle name="SAPBEXexcBad8 17" xfId="7626" xr:uid="{82CFF9B0-B8FC-4949-84A4-3574D3FE78D1}"/>
    <cellStyle name="SAPBEXexcBad8 17 2" xfId="7627" xr:uid="{9FEDFB5E-6973-41D0-A099-DB4B2BB952A9}"/>
    <cellStyle name="SAPBEXexcBad8 18" xfId="7628" xr:uid="{DAA283C2-CC88-4AEB-AD01-A688571B5FC9}"/>
    <cellStyle name="SAPBEXexcBad8 18 2" xfId="7629" xr:uid="{65A694FF-572F-446C-A3FA-44FF203A6066}"/>
    <cellStyle name="SAPBEXexcBad8 19" xfId="7630" xr:uid="{FC9DB45E-8BFE-4F41-AAB2-7E7CC3475FAA}"/>
    <cellStyle name="SAPBEXexcBad8 19 2" xfId="7631" xr:uid="{4FC9C7DF-228B-4771-A054-481C81F8184F}"/>
    <cellStyle name="SAPBEXexcBad8 2" xfId="1547" xr:uid="{00000000-0005-0000-0000-000064050000}"/>
    <cellStyle name="SAPBEXexcBad8 2 10" xfId="7633" xr:uid="{E75739B0-5A97-49EA-A2D9-DA64DDC9239D}"/>
    <cellStyle name="SAPBEXexcBad8 2 10 2" xfId="7634" xr:uid="{F9E0E9A7-A300-40A1-A457-B6F0F7A10E65}"/>
    <cellStyle name="SAPBEXexcBad8 2 11" xfId="7635" xr:uid="{382DB023-9682-47A2-B039-5310ED5EE7E6}"/>
    <cellStyle name="SAPBEXexcBad8 2 11 2" xfId="7636" xr:uid="{8CD26F21-CA43-4BBD-AD42-5A9AA9B857CD}"/>
    <cellStyle name="SAPBEXexcBad8 2 12" xfId="7637" xr:uid="{F3C6D877-1C37-457D-ACF7-8BC0C01E31B7}"/>
    <cellStyle name="SAPBEXexcBad8 2 12 2" xfId="7638" xr:uid="{77B9264B-50F5-4718-B537-2FB506E29395}"/>
    <cellStyle name="SAPBEXexcBad8 2 13" xfId="7639" xr:uid="{D58ADD87-AC47-4878-9A10-E0011BC80602}"/>
    <cellStyle name="SAPBEXexcBad8 2 13 2" xfId="7640" xr:uid="{B0A0A8F5-42DC-447C-8AA9-145064D9C132}"/>
    <cellStyle name="SAPBEXexcBad8 2 14" xfId="7641" xr:uid="{7872524C-4E95-4151-9A4C-CED00C02D36B}"/>
    <cellStyle name="SAPBEXexcBad8 2 14 2" xfId="7642" xr:uid="{82C31423-0446-433D-BA4F-D252B3A51094}"/>
    <cellStyle name="SAPBEXexcBad8 2 15" xfId="7643" xr:uid="{88FED2A1-75DF-4D43-AC29-8E21A00001BA}"/>
    <cellStyle name="SAPBEXexcBad8 2 15 2" xfId="7644" xr:uid="{D92E0B96-7966-489D-B1A1-36B2FF22BDF0}"/>
    <cellStyle name="SAPBEXexcBad8 2 16" xfId="7645" xr:uid="{F5AA03DD-A037-4384-9E7A-61CD1446EEF2}"/>
    <cellStyle name="SAPBEXexcBad8 2 16 2" xfId="7646" xr:uid="{8FBCD953-DE06-443B-89BF-67E1EC4D2091}"/>
    <cellStyle name="SAPBEXexcBad8 2 17" xfId="7647" xr:uid="{14A0014C-6458-478C-AEDC-DD31537178A6}"/>
    <cellStyle name="SAPBEXexcBad8 2 17 2" xfId="7648" xr:uid="{E8CB7AE2-CA60-4AB1-B2C6-AC0A4797BA35}"/>
    <cellStyle name="SAPBEXexcBad8 2 18" xfId="7649" xr:uid="{56E8EFC3-3EF2-495B-A9F2-9AA9D5CAB6EF}"/>
    <cellStyle name="SAPBEXexcBad8 2 18 2" xfId="7650" xr:uid="{8569DF49-2E0A-40B6-88C3-A11B32531E7E}"/>
    <cellStyle name="SAPBEXexcBad8 2 2" xfId="7651" xr:uid="{68CE6E30-1E78-4509-8A15-48D2F3D81AC0}"/>
    <cellStyle name="SAPBEXexcBad8 2 2 10" xfId="7652" xr:uid="{C4991F11-4C13-4F1D-BE4C-7D4D0A403E9B}"/>
    <cellStyle name="SAPBEXexcBad8 2 2 10 2" xfId="7653" xr:uid="{C888F48A-0A13-4808-9BBD-9C297FDC8A34}"/>
    <cellStyle name="SAPBEXexcBad8 2 2 11" xfId="7654" xr:uid="{2477C259-FD69-4FA0-8FA6-8662BF94A1C8}"/>
    <cellStyle name="SAPBEXexcBad8 2 2 11 2" xfId="7655" xr:uid="{18A62B51-8AEF-4F79-8AAE-E5CC801B8872}"/>
    <cellStyle name="SAPBEXexcBad8 2 2 12" xfId="7656" xr:uid="{1C85690A-5013-486A-AFFA-A19784FF8CC8}"/>
    <cellStyle name="SAPBEXexcBad8 2 2 12 2" xfId="7657" xr:uid="{6A5ECE6B-5970-4223-AD7B-C01CCF9574BD}"/>
    <cellStyle name="SAPBEXexcBad8 2 2 13" xfId="7658" xr:uid="{DBE52F45-5ACF-403F-8DFC-E6F8288C13F6}"/>
    <cellStyle name="SAPBEXexcBad8 2 2 13 2" xfId="7659" xr:uid="{AFB551CC-778D-4ACA-B78E-C00E48227D9C}"/>
    <cellStyle name="SAPBEXexcBad8 2 2 14" xfId="7660" xr:uid="{B78364E4-AED7-4A1E-AC34-B0294E4A0DE0}"/>
    <cellStyle name="SAPBEXexcBad8 2 2 14 2" xfId="7661" xr:uid="{750789C2-A8FA-490B-8BF9-0AEAC146BDB9}"/>
    <cellStyle name="SAPBEXexcBad8 2 2 15" xfId="7662" xr:uid="{050926EC-9D3F-4491-A176-81B62B5A1C68}"/>
    <cellStyle name="SAPBEXexcBad8 2 2 15 2" xfId="7663" xr:uid="{0035908A-8DE0-44C1-A1B7-E90C9A2DB2FE}"/>
    <cellStyle name="SAPBEXexcBad8 2 2 16" xfId="7664" xr:uid="{25618180-9377-4484-A427-234BA5628096}"/>
    <cellStyle name="SAPBEXexcBad8 2 2 16 2" xfId="7665" xr:uid="{75FEB3F7-374D-4608-A2D3-912BB2B8CEFC}"/>
    <cellStyle name="SAPBEXexcBad8 2 2 17" xfId="7666" xr:uid="{701632FC-AB36-4B26-B4DC-F1EA8F156D82}"/>
    <cellStyle name="SAPBEXexcBad8 2 2 17 2" xfId="7667" xr:uid="{311F6506-2F73-48C7-B6CD-0539DC86421B}"/>
    <cellStyle name="SAPBEXexcBad8 2 2 2" xfId="7668" xr:uid="{5F1AED06-90F0-4F0A-859D-D113DE0F4090}"/>
    <cellStyle name="SAPBEXexcBad8 2 2 2 10" xfId="7669" xr:uid="{32FD9529-0B0C-47B0-88DA-28AC3CD3F204}"/>
    <cellStyle name="SAPBEXexcBad8 2 2 2 10 2" xfId="7670" xr:uid="{C0E4C9BB-A2D9-4E81-AF70-3586F8A52637}"/>
    <cellStyle name="SAPBEXexcBad8 2 2 2 11" xfId="7671" xr:uid="{C4B0965B-8506-47DA-8767-E202EEF921C2}"/>
    <cellStyle name="SAPBEXexcBad8 2 2 2 11 2" xfId="7672" xr:uid="{4C5E1B2E-6C34-4D27-8057-F2561DAC2A32}"/>
    <cellStyle name="SAPBEXexcBad8 2 2 2 12" xfId="7673" xr:uid="{8E0630E0-0B33-4F02-BCD4-7752E0BF6E4B}"/>
    <cellStyle name="SAPBEXexcBad8 2 2 2 12 2" xfId="7674" xr:uid="{83CB4E1A-975B-41A6-9AD3-E9A8A47D1B35}"/>
    <cellStyle name="SAPBEXexcBad8 2 2 2 13" xfId="7675" xr:uid="{66777F7D-5D1E-4569-976F-4A77C1C1D6EC}"/>
    <cellStyle name="SAPBEXexcBad8 2 2 2 13 2" xfId="7676" xr:uid="{4B9C7831-0AEF-4ED4-BB51-91475B5BB122}"/>
    <cellStyle name="SAPBEXexcBad8 2 2 2 14" xfId="7677" xr:uid="{BCB3791B-D527-405A-9261-BE756821474C}"/>
    <cellStyle name="SAPBEXexcBad8 2 2 2 14 2" xfId="7678" xr:uid="{CA48431C-E2EC-41E6-B90B-81B8E5A95DED}"/>
    <cellStyle name="SAPBEXexcBad8 2 2 2 15" xfId="7679" xr:uid="{747A3F92-2F3C-498A-A997-FD6BEE4BBD92}"/>
    <cellStyle name="SAPBEXexcBad8 2 2 2 15 2" xfId="7680" xr:uid="{6495BF00-8267-451F-8CDF-894E213701CD}"/>
    <cellStyle name="SAPBEXexcBad8 2 2 2 2" xfId="7681" xr:uid="{3BF65988-9D0C-4414-8673-68DD8294243F}"/>
    <cellStyle name="SAPBEXexcBad8 2 2 2 2 2" xfId="7682" xr:uid="{6B4EBB09-7EB5-4914-B080-27DA8D19983B}"/>
    <cellStyle name="SAPBEXexcBad8 2 2 2 3" xfId="7683" xr:uid="{8882F792-B8AB-4E4B-AA21-D5090D4522BE}"/>
    <cellStyle name="SAPBEXexcBad8 2 2 2 3 2" xfId="7684" xr:uid="{88760D96-3965-4963-9E43-4EDBADACEDE3}"/>
    <cellStyle name="SAPBEXexcBad8 2 2 2 4" xfId="7685" xr:uid="{2AF83645-F6B7-472B-8817-0FF4C6BBD393}"/>
    <cellStyle name="SAPBEXexcBad8 2 2 2 4 2" xfId="7686" xr:uid="{77FDBFD9-59A6-41A4-B1AE-DA45085F39C8}"/>
    <cellStyle name="SAPBEXexcBad8 2 2 2 5" xfId="7687" xr:uid="{2C448207-738A-4354-B5DB-E7BC9A5FA249}"/>
    <cellStyle name="SAPBEXexcBad8 2 2 2 5 2" xfId="7688" xr:uid="{F02AFC80-29A2-4E9D-BB40-250C789E659A}"/>
    <cellStyle name="SAPBEXexcBad8 2 2 2 6" xfId="7689" xr:uid="{F9EB76FD-E3B8-42EE-8CB8-B46137A08388}"/>
    <cellStyle name="SAPBEXexcBad8 2 2 2 6 2" xfId="7690" xr:uid="{29CE992D-C28E-4EB5-8B15-B23672526F6C}"/>
    <cellStyle name="SAPBEXexcBad8 2 2 2 7" xfId="7691" xr:uid="{A7D76739-D595-4634-B44F-BAB305908CA3}"/>
    <cellStyle name="SAPBEXexcBad8 2 2 2 7 2" xfId="7692" xr:uid="{BB736316-206B-4F2A-A3BF-31129D29983F}"/>
    <cellStyle name="SAPBEXexcBad8 2 2 2 8" xfId="7693" xr:uid="{C0091CAE-6DDB-43E5-806A-8FAAAA5C1823}"/>
    <cellStyle name="SAPBEXexcBad8 2 2 2 8 2" xfId="7694" xr:uid="{15EA61E7-08DF-401E-90AA-A02E79EF312B}"/>
    <cellStyle name="SAPBEXexcBad8 2 2 2 9" xfId="7695" xr:uid="{AAB2B803-C336-47C2-AEE7-31101A843437}"/>
    <cellStyle name="SAPBEXexcBad8 2 2 2 9 2" xfId="7696" xr:uid="{5D3EE664-4138-48BB-B80A-F095625E7544}"/>
    <cellStyle name="SAPBEXexcBad8 2 2 3" xfId="7697" xr:uid="{3FE4713C-5CCF-4028-9BC5-EC72F4029906}"/>
    <cellStyle name="SAPBEXexcBad8 2 2 3 10" xfId="7698" xr:uid="{879C7FF1-2313-4E0A-B679-CE1A390A3C72}"/>
    <cellStyle name="SAPBEXexcBad8 2 2 3 10 2" xfId="7699" xr:uid="{6F69A0DA-69BF-460D-BBA4-C3CA2C51AE83}"/>
    <cellStyle name="SAPBEXexcBad8 2 2 3 11" xfId="7700" xr:uid="{22AF1BB0-1C55-40EE-9B8D-111E8CA4AD0C}"/>
    <cellStyle name="SAPBEXexcBad8 2 2 3 11 2" xfId="7701" xr:uid="{B8309B93-FC15-421A-A085-46BB91EB6B29}"/>
    <cellStyle name="SAPBEXexcBad8 2 2 3 12" xfId="7702" xr:uid="{2B62F31C-28BF-4D84-A1A7-E9BAC173A9C8}"/>
    <cellStyle name="SAPBEXexcBad8 2 2 3 12 2" xfId="7703" xr:uid="{E697F86A-C4D4-4B34-BEAB-F7FF768D1E81}"/>
    <cellStyle name="SAPBEXexcBad8 2 2 3 13" xfId="7704" xr:uid="{388EDF02-AFEF-479C-9E36-A4B852B456FF}"/>
    <cellStyle name="SAPBEXexcBad8 2 2 3 13 2" xfId="7705" xr:uid="{D5126C46-816F-4CD4-938F-47BAB079A45A}"/>
    <cellStyle name="SAPBEXexcBad8 2 2 3 14" xfId="7706" xr:uid="{4D2DE9BF-0625-433C-A6C1-BE930F845F01}"/>
    <cellStyle name="SAPBEXexcBad8 2 2 3 14 2" xfId="7707" xr:uid="{A2409D5A-0DF5-4CD9-A179-89AFB6F2F798}"/>
    <cellStyle name="SAPBEXexcBad8 2 2 3 15" xfId="7708" xr:uid="{B3F285EE-4324-4133-A0BD-7E69E7EEDB8C}"/>
    <cellStyle name="SAPBEXexcBad8 2 2 3 15 2" xfId="7709" xr:uid="{CEB9C163-61BE-4CD7-8A21-67834C638371}"/>
    <cellStyle name="SAPBEXexcBad8 2 2 3 2" xfId="7710" xr:uid="{3AA93192-4D96-4EDD-8921-4AA5A36349D2}"/>
    <cellStyle name="SAPBEXexcBad8 2 2 3 2 2" xfId="7711" xr:uid="{D7F3FD8E-D8BB-4A53-8CE0-BA285ED75700}"/>
    <cellStyle name="SAPBEXexcBad8 2 2 3 3" xfId="7712" xr:uid="{C8B1621D-536B-4541-9B6F-CE745E0C7224}"/>
    <cellStyle name="SAPBEXexcBad8 2 2 3 3 2" xfId="7713" xr:uid="{649667B6-9655-4DAB-A6B7-9AD8AF7A5C41}"/>
    <cellStyle name="SAPBEXexcBad8 2 2 3 4" xfId="7714" xr:uid="{0228C675-889A-46C8-B281-D035B045FB65}"/>
    <cellStyle name="SAPBEXexcBad8 2 2 3 4 2" xfId="7715" xr:uid="{1CF51F01-502D-4A1C-ACDD-769F70E20F52}"/>
    <cellStyle name="SAPBEXexcBad8 2 2 3 5" xfId="7716" xr:uid="{AA9D1413-2341-460A-BE01-95A3A49CDF6A}"/>
    <cellStyle name="SAPBEXexcBad8 2 2 3 5 2" xfId="7717" xr:uid="{5B9EA2C3-7C4D-453A-AB67-67FAE64AC1D2}"/>
    <cellStyle name="SAPBEXexcBad8 2 2 3 6" xfId="7718" xr:uid="{D8B01D76-3FC8-4436-86D8-40D16EAB5A94}"/>
    <cellStyle name="SAPBEXexcBad8 2 2 3 6 2" xfId="7719" xr:uid="{C25D034D-5B10-4862-9606-93245A84FF5B}"/>
    <cellStyle name="SAPBEXexcBad8 2 2 3 7" xfId="7720" xr:uid="{D9E599A8-EA41-4BEE-A9A5-41261785D556}"/>
    <cellStyle name="SAPBEXexcBad8 2 2 3 7 2" xfId="7721" xr:uid="{AE940E19-1838-46BC-9261-21953A1D4184}"/>
    <cellStyle name="SAPBEXexcBad8 2 2 3 8" xfId="7722" xr:uid="{6808EDE5-2348-4AC1-9EAD-871BDF646921}"/>
    <cellStyle name="SAPBEXexcBad8 2 2 3 8 2" xfId="7723" xr:uid="{15186415-8323-4FE4-9CC5-78D9FE2E6B8E}"/>
    <cellStyle name="SAPBEXexcBad8 2 2 3 9" xfId="7724" xr:uid="{D6489231-96FD-4CAC-84E7-ECDD7A32F59D}"/>
    <cellStyle name="SAPBEXexcBad8 2 2 3 9 2" xfId="7725" xr:uid="{4A2F467D-E745-4CAF-8C9A-3853C64CACAF}"/>
    <cellStyle name="SAPBEXexcBad8 2 2 4" xfId="7726" xr:uid="{3C38C052-D195-444A-AC21-FF252F895288}"/>
    <cellStyle name="SAPBEXexcBad8 2 2 4 2" xfId="7727" xr:uid="{41C1B659-EA44-40CF-A7C2-F78258E21848}"/>
    <cellStyle name="SAPBEXexcBad8 2 2 5" xfId="7728" xr:uid="{6CD26BF1-D0D8-49CE-B3D6-46E1DCCDFA69}"/>
    <cellStyle name="SAPBEXexcBad8 2 2 5 2" xfId="7729" xr:uid="{C1E009EE-EA8A-414F-9CDA-501FB0B4B746}"/>
    <cellStyle name="SAPBEXexcBad8 2 2 6" xfId="7730" xr:uid="{ED8F13B3-8CA0-4ECC-AEC1-62EF347B2F2E}"/>
    <cellStyle name="SAPBEXexcBad8 2 2 6 2" xfId="7731" xr:uid="{D3E8B693-5336-4C7E-A2C0-C4255AD4D99A}"/>
    <cellStyle name="SAPBEXexcBad8 2 2 7" xfId="7732" xr:uid="{9BD3F891-A962-49D0-AFC1-48E5B3E189A2}"/>
    <cellStyle name="SAPBEXexcBad8 2 2 7 2" xfId="7733" xr:uid="{AAF23734-24D2-40B4-ABD9-C0D2E19BEFBB}"/>
    <cellStyle name="SAPBEXexcBad8 2 2 8" xfId="7734" xr:uid="{57480DCA-2BE0-4DEB-B831-42E3D0FD6D3E}"/>
    <cellStyle name="SAPBEXexcBad8 2 2 8 2" xfId="7735" xr:uid="{5FA55486-F460-4FC8-8CF6-19546D9B5E4F}"/>
    <cellStyle name="SAPBEXexcBad8 2 2 9" xfId="7736" xr:uid="{E964299D-22B4-4404-939D-1B1AB8856A2F}"/>
    <cellStyle name="SAPBEXexcBad8 2 2 9 2" xfId="7737" xr:uid="{C0FE6C99-D417-4131-9CEA-4C709E7FF542}"/>
    <cellStyle name="SAPBEXexcBad8 2 3" xfId="7738" xr:uid="{89013F72-9961-42F5-8799-1EFA781E4463}"/>
    <cellStyle name="SAPBEXexcBad8 2 3 10" xfId="7739" xr:uid="{08CFF650-7270-4BBD-BBEA-8868E4988C81}"/>
    <cellStyle name="SAPBEXexcBad8 2 3 10 2" xfId="7740" xr:uid="{E1C54D38-62AB-4F3F-AD12-5832ACAA0277}"/>
    <cellStyle name="SAPBEXexcBad8 2 3 11" xfId="7741" xr:uid="{D4989AAA-57CC-49E0-A3F8-481ED502E96E}"/>
    <cellStyle name="SAPBEXexcBad8 2 3 11 2" xfId="7742" xr:uid="{9AFCF294-90BF-4954-AA7B-795403B56D4E}"/>
    <cellStyle name="SAPBEXexcBad8 2 3 12" xfId="7743" xr:uid="{160B3337-287A-4C6E-98A4-4E2A5D3E8961}"/>
    <cellStyle name="SAPBEXexcBad8 2 3 12 2" xfId="7744" xr:uid="{B81FF0D6-A390-4F10-882E-C48459D95251}"/>
    <cellStyle name="SAPBEXexcBad8 2 3 13" xfId="7745" xr:uid="{3B619830-F1B3-41F8-B96B-CCF6625CD328}"/>
    <cellStyle name="SAPBEXexcBad8 2 3 13 2" xfId="7746" xr:uid="{E5D65ECB-8805-465F-BB51-A880352174E8}"/>
    <cellStyle name="SAPBEXexcBad8 2 3 14" xfId="7747" xr:uid="{C5AB9DD3-65A7-4991-A3F1-C7832E5913FE}"/>
    <cellStyle name="SAPBEXexcBad8 2 3 14 2" xfId="7748" xr:uid="{795997DE-DDFE-4823-9D95-529BB1A7D678}"/>
    <cellStyle name="SAPBEXexcBad8 2 3 15" xfId="7749" xr:uid="{1F702FA2-69C1-4BBE-B89B-4D45019EDB32}"/>
    <cellStyle name="SAPBEXexcBad8 2 3 15 2" xfId="7750" xr:uid="{C910FC1D-52BD-4566-BF81-A4EE53183116}"/>
    <cellStyle name="SAPBEXexcBad8 2 3 16" xfId="7751" xr:uid="{E58DF86D-0045-48B4-9EE3-C66702F71E7E}"/>
    <cellStyle name="SAPBEXexcBad8 2 3 16 2" xfId="7752" xr:uid="{A534E173-61A4-4052-9D28-CF8220E926F3}"/>
    <cellStyle name="SAPBEXexcBad8 2 3 17" xfId="7753" xr:uid="{127D5AF4-C957-416D-B4A4-86204F504537}"/>
    <cellStyle name="SAPBEXexcBad8 2 3 17 2" xfId="7754" xr:uid="{AF967E01-2D50-4CB7-B55F-A593CABB4194}"/>
    <cellStyle name="SAPBEXexcBad8 2 3 2" xfId="7755" xr:uid="{70467D02-E5F6-4953-8694-E783FAB24CFB}"/>
    <cellStyle name="SAPBEXexcBad8 2 3 2 10" xfId="7756" xr:uid="{0E7574E7-ACD2-46D3-B0F8-DA1381654008}"/>
    <cellStyle name="SAPBEXexcBad8 2 3 2 10 2" xfId="7757" xr:uid="{F5874026-B030-4011-859F-74E951002CD1}"/>
    <cellStyle name="SAPBEXexcBad8 2 3 2 11" xfId="7758" xr:uid="{93B213D4-A678-4994-94E2-C404B0BCCBC4}"/>
    <cellStyle name="SAPBEXexcBad8 2 3 2 11 2" xfId="7759" xr:uid="{F807F98A-6F79-41AA-83EF-76A446E0677B}"/>
    <cellStyle name="SAPBEXexcBad8 2 3 2 12" xfId="7760" xr:uid="{136AC5F1-547F-4165-97FA-6248FD943B90}"/>
    <cellStyle name="SAPBEXexcBad8 2 3 2 12 2" xfId="7761" xr:uid="{5F3B0615-E881-4A72-940F-B7773E93CC6B}"/>
    <cellStyle name="SAPBEXexcBad8 2 3 2 13" xfId="7762" xr:uid="{A3094E7E-2501-4FA0-B8C6-2F0E51E899FF}"/>
    <cellStyle name="SAPBEXexcBad8 2 3 2 13 2" xfId="7763" xr:uid="{C866CD82-5B24-4850-9A1A-877DAE01D445}"/>
    <cellStyle name="SAPBEXexcBad8 2 3 2 14" xfId="7764" xr:uid="{3A75550E-046D-4C92-AE2A-0117D91162A4}"/>
    <cellStyle name="SAPBEXexcBad8 2 3 2 14 2" xfId="7765" xr:uid="{F74492A7-698A-47D6-9BE3-D4B46B81D966}"/>
    <cellStyle name="SAPBEXexcBad8 2 3 2 15" xfId="7766" xr:uid="{A970A875-8971-47A8-8601-C705A3DC986F}"/>
    <cellStyle name="SAPBEXexcBad8 2 3 2 15 2" xfId="7767" xr:uid="{7A5F9656-66D8-4447-9908-93B9A4F46CB4}"/>
    <cellStyle name="SAPBEXexcBad8 2 3 2 2" xfId="7768" xr:uid="{80F6ECB1-E5C2-4A18-8682-E20531DA2EAC}"/>
    <cellStyle name="SAPBEXexcBad8 2 3 2 2 2" xfId="7769" xr:uid="{151DD4BF-CD0B-44A1-A6C6-7B59353ED9F3}"/>
    <cellStyle name="SAPBEXexcBad8 2 3 2 3" xfId="7770" xr:uid="{6B458267-867D-4A72-8EDC-730FE7FCFBF1}"/>
    <cellStyle name="SAPBEXexcBad8 2 3 2 3 2" xfId="7771" xr:uid="{7A6193E4-AFD6-4FCC-A0A8-EA7473158887}"/>
    <cellStyle name="SAPBEXexcBad8 2 3 2 4" xfId="7772" xr:uid="{E0443328-B954-474C-A92F-81D05D4B7EF8}"/>
    <cellStyle name="SAPBEXexcBad8 2 3 2 4 2" xfId="7773" xr:uid="{79688474-0BE4-444F-85AF-528261245C0E}"/>
    <cellStyle name="SAPBEXexcBad8 2 3 2 5" xfId="7774" xr:uid="{491154DC-09CE-4A9F-9808-1C4E89D6E668}"/>
    <cellStyle name="SAPBEXexcBad8 2 3 2 5 2" xfId="7775" xr:uid="{85386A39-E97D-4B98-B5EF-71B66F2F84CA}"/>
    <cellStyle name="SAPBEXexcBad8 2 3 2 6" xfId="7776" xr:uid="{039E3DE9-4768-4CD8-B760-7BB5C12BC35C}"/>
    <cellStyle name="SAPBEXexcBad8 2 3 2 6 2" xfId="7777" xr:uid="{DB43A509-1CB8-408D-A7CA-20F896F36FBC}"/>
    <cellStyle name="SAPBEXexcBad8 2 3 2 7" xfId="7778" xr:uid="{4EA9016B-8283-4D53-BDCC-D9AC2195C221}"/>
    <cellStyle name="SAPBEXexcBad8 2 3 2 7 2" xfId="7779" xr:uid="{0C3FAD0A-E32B-43CC-94E0-188961080176}"/>
    <cellStyle name="SAPBEXexcBad8 2 3 2 8" xfId="7780" xr:uid="{D4972681-05A8-4F5F-A20B-F3D403A26D52}"/>
    <cellStyle name="SAPBEXexcBad8 2 3 2 8 2" xfId="7781" xr:uid="{23EB8F5D-611D-429B-BC6E-14DC2FE328A0}"/>
    <cellStyle name="SAPBEXexcBad8 2 3 2 9" xfId="7782" xr:uid="{FFD3438D-2F21-42E9-8726-DB89F0CED22A}"/>
    <cellStyle name="SAPBEXexcBad8 2 3 2 9 2" xfId="7783" xr:uid="{A86F5ED1-D068-4506-B351-421CEF6AD011}"/>
    <cellStyle name="SAPBEXexcBad8 2 3 3" xfId="7784" xr:uid="{B9EAF27E-AD0C-435A-B1DE-B4B659458A56}"/>
    <cellStyle name="SAPBEXexcBad8 2 3 3 10" xfId="7785" xr:uid="{F4C10E25-AB15-4971-A203-8878F9F25A63}"/>
    <cellStyle name="SAPBEXexcBad8 2 3 3 10 2" xfId="7786" xr:uid="{DE0BE885-BADA-4435-9A9E-8B3AB0C4B90A}"/>
    <cellStyle name="SAPBEXexcBad8 2 3 3 11" xfId="7787" xr:uid="{DD205119-BFF8-4F39-A5E4-7684A28ABEBE}"/>
    <cellStyle name="SAPBEXexcBad8 2 3 3 11 2" xfId="7788" xr:uid="{9800A037-F681-4480-B93B-F22516A93141}"/>
    <cellStyle name="SAPBEXexcBad8 2 3 3 12" xfId="7789" xr:uid="{7B067313-9635-4062-9C63-49EEAF584BB1}"/>
    <cellStyle name="SAPBEXexcBad8 2 3 3 12 2" xfId="7790" xr:uid="{AC24C165-1658-4547-B37E-4B6456922455}"/>
    <cellStyle name="SAPBEXexcBad8 2 3 3 13" xfId="7791" xr:uid="{97328285-6E7F-4F36-91F6-8B940E61D3CD}"/>
    <cellStyle name="SAPBEXexcBad8 2 3 3 13 2" xfId="7792" xr:uid="{DEC1F56B-FAE8-4A8D-8B5B-34149B1B02D1}"/>
    <cellStyle name="SAPBEXexcBad8 2 3 3 14" xfId="7793" xr:uid="{3F47765C-4504-4B38-8BC3-788899F3A291}"/>
    <cellStyle name="SAPBEXexcBad8 2 3 3 14 2" xfId="7794" xr:uid="{DB7E9277-0F97-4D03-861B-A328E373E21F}"/>
    <cellStyle name="SAPBEXexcBad8 2 3 3 15" xfId="7795" xr:uid="{BE5DF580-D51A-4C8D-A92B-538C6D783708}"/>
    <cellStyle name="SAPBEXexcBad8 2 3 3 15 2" xfId="7796" xr:uid="{5CEC043F-C6FE-4323-A498-6A5CA87B5EB5}"/>
    <cellStyle name="SAPBEXexcBad8 2 3 3 2" xfId="7797" xr:uid="{30D514F4-0832-4FB3-95A5-BD6E46DC1BA9}"/>
    <cellStyle name="SAPBEXexcBad8 2 3 3 2 2" xfId="7798" xr:uid="{F5D6D0CF-2BE8-4E24-8B38-CF881D052965}"/>
    <cellStyle name="SAPBEXexcBad8 2 3 3 3" xfId="7799" xr:uid="{67975FB9-0222-4640-B18A-8E8BC4086A2E}"/>
    <cellStyle name="SAPBEXexcBad8 2 3 3 3 2" xfId="7800" xr:uid="{58804A45-D276-41FA-A655-2E4109E89118}"/>
    <cellStyle name="SAPBEXexcBad8 2 3 3 4" xfId="7801" xr:uid="{0073E78C-2444-4002-A889-0B43E3C13BDC}"/>
    <cellStyle name="SAPBEXexcBad8 2 3 3 4 2" xfId="7802" xr:uid="{4F423BEA-933E-4D68-858F-7267911DDD22}"/>
    <cellStyle name="SAPBEXexcBad8 2 3 3 5" xfId="7803" xr:uid="{F35BE422-24F5-4AAF-9595-64AF11AC5BC3}"/>
    <cellStyle name="SAPBEXexcBad8 2 3 3 5 2" xfId="7804" xr:uid="{D6D2397A-307C-43EB-8478-5DB2404AA715}"/>
    <cellStyle name="SAPBEXexcBad8 2 3 3 6" xfId="7805" xr:uid="{FD2FC3C5-B41B-4E8C-8A17-29E4FF8A29D3}"/>
    <cellStyle name="SAPBEXexcBad8 2 3 3 6 2" xfId="7806" xr:uid="{D54C1B55-8290-4BBB-8B5E-DDBB1758A721}"/>
    <cellStyle name="SAPBEXexcBad8 2 3 3 7" xfId="7807" xr:uid="{0B4B02C0-1A1B-4ACC-A6F8-AB430B408E27}"/>
    <cellStyle name="SAPBEXexcBad8 2 3 3 7 2" xfId="7808" xr:uid="{BB1DF213-57EA-4A40-92D0-812043F91C86}"/>
    <cellStyle name="SAPBEXexcBad8 2 3 3 8" xfId="7809" xr:uid="{F725958F-6A1C-4711-AC10-780138595C28}"/>
    <cellStyle name="SAPBEXexcBad8 2 3 3 8 2" xfId="7810" xr:uid="{38E77CBF-F2F9-4D35-9402-55ED030E29EE}"/>
    <cellStyle name="SAPBEXexcBad8 2 3 3 9" xfId="7811" xr:uid="{7D2EDB47-B1AA-407C-ABC2-DC92ABF44B03}"/>
    <cellStyle name="SAPBEXexcBad8 2 3 3 9 2" xfId="7812" xr:uid="{43A84DCE-38E6-489F-ADDF-6E0B0268BE80}"/>
    <cellStyle name="SAPBEXexcBad8 2 3 4" xfId="7813" xr:uid="{F86A7D6F-2BB0-4457-9F91-B65A8563DC74}"/>
    <cellStyle name="SAPBEXexcBad8 2 3 4 2" xfId="7814" xr:uid="{7AA327B5-6E69-442D-A001-BE73C019C642}"/>
    <cellStyle name="SAPBEXexcBad8 2 3 5" xfId="7815" xr:uid="{95A0D77F-5864-4DC8-A6E1-E70595976D5D}"/>
    <cellStyle name="SAPBEXexcBad8 2 3 5 2" xfId="7816" xr:uid="{E5DD8872-5DA4-4C10-8033-2C01713363C1}"/>
    <cellStyle name="SAPBEXexcBad8 2 3 6" xfId="7817" xr:uid="{EB11F7BE-FBD1-48B1-BF62-63DDC401A644}"/>
    <cellStyle name="SAPBEXexcBad8 2 3 6 2" xfId="7818" xr:uid="{35687D78-198C-48AD-AD04-6892DC1F92BC}"/>
    <cellStyle name="SAPBEXexcBad8 2 3 7" xfId="7819" xr:uid="{C50C5F72-05EF-4EB1-806E-16657A2AC7B3}"/>
    <cellStyle name="SAPBEXexcBad8 2 3 7 2" xfId="7820" xr:uid="{E08B622E-1D91-41C9-AEAD-37C43884FB59}"/>
    <cellStyle name="SAPBEXexcBad8 2 3 8" xfId="7821" xr:uid="{658FE965-10CD-45B2-96BE-F923DBB2EABA}"/>
    <cellStyle name="SAPBEXexcBad8 2 3 8 2" xfId="7822" xr:uid="{F5C086B7-DA73-4C08-9DC8-BA40A11CCBBB}"/>
    <cellStyle name="SAPBEXexcBad8 2 3 9" xfId="7823" xr:uid="{96F8928D-709A-48E4-B974-FD4402413324}"/>
    <cellStyle name="SAPBEXexcBad8 2 3 9 2" xfId="7824" xr:uid="{06EEE885-5494-4C65-A856-608069511308}"/>
    <cellStyle name="SAPBEXexcBad8 2 4" xfId="7825" xr:uid="{A99D304B-5BBE-4985-ADD2-A75D6C0E4F4E}"/>
    <cellStyle name="SAPBEXexcBad8 2 4 10" xfId="7826" xr:uid="{A65DD923-88FC-493B-9372-46607E623973}"/>
    <cellStyle name="SAPBEXexcBad8 2 4 10 2" xfId="7827" xr:uid="{4BC61385-F6DB-48B4-BE1F-50FD01671A53}"/>
    <cellStyle name="SAPBEXexcBad8 2 4 11" xfId="7828" xr:uid="{95C96E3F-A0B2-4E5B-A2A3-85643782C3F6}"/>
    <cellStyle name="SAPBEXexcBad8 2 4 11 2" xfId="7829" xr:uid="{4CE5BEAF-B27A-4287-B173-634F5A1C9590}"/>
    <cellStyle name="SAPBEXexcBad8 2 4 12" xfId="7830" xr:uid="{AC500626-61C2-4775-8EE0-B2750BADFF59}"/>
    <cellStyle name="SAPBEXexcBad8 2 4 12 2" xfId="7831" xr:uid="{DB36EC23-81AE-4134-AEEE-22787FF071E1}"/>
    <cellStyle name="SAPBEXexcBad8 2 4 13" xfId="7832" xr:uid="{894580FC-7F82-4B2C-AA17-F9D7844E1856}"/>
    <cellStyle name="SAPBEXexcBad8 2 4 13 2" xfId="7833" xr:uid="{8780FE01-E24D-47DA-95B1-4889E90A1A08}"/>
    <cellStyle name="SAPBEXexcBad8 2 4 14" xfId="7834" xr:uid="{CE86306B-7EE8-414B-AA0C-07A9D8C7C15F}"/>
    <cellStyle name="SAPBEXexcBad8 2 4 14 2" xfId="7835" xr:uid="{3F895D21-6AD2-4B17-BCA2-2552288C3E01}"/>
    <cellStyle name="SAPBEXexcBad8 2 4 15" xfId="7836" xr:uid="{B77F6115-40F8-4FC6-A472-87D0A96DC0AB}"/>
    <cellStyle name="SAPBEXexcBad8 2 4 15 2" xfId="7837" xr:uid="{F5D423C6-B4F7-40D4-AD80-76D8BFD40494}"/>
    <cellStyle name="SAPBEXexcBad8 2 4 16" xfId="7838" xr:uid="{10820DD4-12D9-4DD7-9A2C-6CC1B5B2B95B}"/>
    <cellStyle name="SAPBEXexcBad8 2 4 16 2" xfId="7839" xr:uid="{590B47D9-1C3E-47B0-8AAB-69161EDE246D}"/>
    <cellStyle name="SAPBEXexcBad8 2 4 17" xfId="7840" xr:uid="{1037B4DA-951A-49D1-B400-33BAD4A57CE3}"/>
    <cellStyle name="SAPBEXexcBad8 2 4 17 2" xfId="7841" xr:uid="{FF8C362C-3EBE-4E54-8BAD-CBD56FEB5A2B}"/>
    <cellStyle name="SAPBEXexcBad8 2 4 2" xfId="7842" xr:uid="{0B96C82E-BB28-4150-8292-7E6D3EE7219B}"/>
    <cellStyle name="SAPBEXexcBad8 2 4 2 10" xfId="7843" xr:uid="{C4AD11CC-380A-4E86-9DEE-4FE4383F20E7}"/>
    <cellStyle name="SAPBEXexcBad8 2 4 2 10 2" xfId="7844" xr:uid="{B2D72B2F-43B9-4954-B397-94F813A0F115}"/>
    <cellStyle name="SAPBEXexcBad8 2 4 2 11" xfId="7845" xr:uid="{64A337A8-BBCA-45A9-9FFC-97DC90672051}"/>
    <cellStyle name="SAPBEXexcBad8 2 4 2 11 2" xfId="7846" xr:uid="{5E194982-6819-4087-92A9-CE6E024B47BB}"/>
    <cellStyle name="SAPBEXexcBad8 2 4 2 12" xfId="7847" xr:uid="{BF7B1AEB-7C93-46D4-A4C7-50D04BFC8FEB}"/>
    <cellStyle name="SAPBEXexcBad8 2 4 2 12 2" xfId="7848" xr:uid="{6CCA7895-57B0-4239-9DFD-337E7DE4D20C}"/>
    <cellStyle name="SAPBEXexcBad8 2 4 2 13" xfId="7849" xr:uid="{251CB72B-7B29-4916-A466-320DF1CA131E}"/>
    <cellStyle name="SAPBEXexcBad8 2 4 2 13 2" xfId="7850" xr:uid="{39392541-1087-407F-AE81-9A8DECD1DF28}"/>
    <cellStyle name="SAPBEXexcBad8 2 4 2 14" xfId="7851" xr:uid="{1594385C-BCB6-49DC-B37A-F2AA43492AE7}"/>
    <cellStyle name="SAPBEXexcBad8 2 4 2 14 2" xfId="7852" xr:uid="{F4E9D3B4-6074-4C4B-A542-94027410ECF9}"/>
    <cellStyle name="SAPBEXexcBad8 2 4 2 15" xfId="7853" xr:uid="{848FC9ED-9D05-402F-9001-8FF39A318150}"/>
    <cellStyle name="SAPBEXexcBad8 2 4 2 15 2" xfId="7854" xr:uid="{181AFBE9-7789-41F0-A3EB-3D05234210CA}"/>
    <cellStyle name="SAPBEXexcBad8 2 4 2 2" xfId="7855" xr:uid="{7FFDE2A5-76BE-4B36-AEDB-8B15892D50F7}"/>
    <cellStyle name="SAPBEXexcBad8 2 4 2 2 2" xfId="7856" xr:uid="{AE363088-1CBD-4073-A9E1-918EE0182B47}"/>
    <cellStyle name="SAPBEXexcBad8 2 4 2 3" xfId="7857" xr:uid="{24E7301B-0FC9-43C3-94F1-8879DD675D46}"/>
    <cellStyle name="SAPBEXexcBad8 2 4 2 3 2" xfId="7858" xr:uid="{6286D8AB-7630-4EF4-9AE5-035037E694AB}"/>
    <cellStyle name="SAPBEXexcBad8 2 4 2 4" xfId="7859" xr:uid="{0C4EF374-84A4-4DF1-AF0A-A66E15ACABC2}"/>
    <cellStyle name="SAPBEXexcBad8 2 4 2 4 2" xfId="7860" xr:uid="{1FDE8252-4726-4BC3-844C-21C9D6A02EAE}"/>
    <cellStyle name="SAPBEXexcBad8 2 4 2 5" xfId="7861" xr:uid="{00E69697-79BB-4C89-A998-6A09B9CE107F}"/>
    <cellStyle name="SAPBEXexcBad8 2 4 2 5 2" xfId="7862" xr:uid="{8797EB1A-CFD6-4192-9124-433812B965E8}"/>
    <cellStyle name="SAPBEXexcBad8 2 4 2 6" xfId="7863" xr:uid="{B19F240D-7EE8-4275-8EE9-2F2EE1396D17}"/>
    <cellStyle name="SAPBEXexcBad8 2 4 2 6 2" xfId="7864" xr:uid="{E4CBF97B-D849-42E5-A194-6564DD77F14C}"/>
    <cellStyle name="SAPBEXexcBad8 2 4 2 7" xfId="7865" xr:uid="{4A2DD75D-AA53-4BFE-A185-BD1D0438658C}"/>
    <cellStyle name="SAPBEXexcBad8 2 4 2 7 2" xfId="7866" xr:uid="{F784063A-5DC6-463C-AF2F-AA6A271C28A3}"/>
    <cellStyle name="SAPBEXexcBad8 2 4 2 8" xfId="7867" xr:uid="{1774A14A-0DBF-40F0-AD7B-D9CE31640AC5}"/>
    <cellStyle name="SAPBEXexcBad8 2 4 2 8 2" xfId="7868" xr:uid="{C1726A5F-71DD-4DF1-AC72-FB667B0B4AE3}"/>
    <cellStyle name="SAPBEXexcBad8 2 4 2 9" xfId="7869" xr:uid="{5DB4E6BE-14C8-4D5B-A62C-236F3E218D0D}"/>
    <cellStyle name="SAPBEXexcBad8 2 4 2 9 2" xfId="7870" xr:uid="{E25130C8-1E30-4CD1-854E-78D9C580632A}"/>
    <cellStyle name="SAPBEXexcBad8 2 4 3" xfId="7871" xr:uid="{C7268371-9F85-4AA6-9B71-FF30D0E79DFF}"/>
    <cellStyle name="SAPBEXexcBad8 2 4 3 10" xfId="7872" xr:uid="{537B3C90-0826-4AD4-9A38-BA16CDFC993D}"/>
    <cellStyle name="SAPBEXexcBad8 2 4 3 10 2" xfId="7873" xr:uid="{AFB21054-74D4-46DD-9F67-C6F9438BB70F}"/>
    <cellStyle name="SAPBEXexcBad8 2 4 3 11" xfId="7874" xr:uid="{ECE75281-2297-4B6A-8810-E549D0BBBB0D}"/>
    <cellStyle name="SAPBEXexcBad8 2 4 3 11 2" xfId="7875" xr:uid="{C594A0F5-AD76-4519-AED3-F3449C69DD38}"/>
    <cellStyle name="SAPBEXexcBad8 2 4 3 12" xfId="7876" xr:uid="{82EB7686-F969-45EC-9D94-D3F4681C4FCB}"/>
    <cellStyle name="SAPBEXexcBad8 2 4 3 12 2" xfId="7877" xr:uid="{CA257946-3770-4B3E-AABB-D08511841D80}"/>
    <cellStyle name="SAPBEXexcBad8 2 4 3 13" xfId="7878" xr:uid="{D2608708-1670-4B26-8427-2B169C823FC7}"/>
    <cellStyle name="SAPBEXexcBad8 2 4 3 13 2" xfId="7879" xr:uid="{7892232A-CA05-42BA-8EE8-EA8B426E7C92}"/>
    <cellStyle name="SAPBEXexcBad8 2 4 3 14" xfId="7880" xr:uid="{1F868620-6470-49E6-94D8-E0425E9C76B4}"/>
    <cellStyle name="SAPBEXexcBad8 2 4 3 14 2" xfId="7881" xr:uid="{FF29ABE7-EFC0-4396-803C-A8FD57F0787D}"/>
    <cellStyle name="SAPBEXexcBad8 2 4 3 15" xfId="7882" xr:uid="{16B67597-2F09-4448-9541-F2D5D008F34C}"/>
    <cellStyle name="SAPBEXexcBad8 2 4 3 15 2" xfId="7883" xr:uid="{98ED9767-4DA5-4CB2-9E97-BF100CDD433A}"/>
    <cellStyle name="SAPBEXexcBad8 2 4 3 2" xfId="7884" xr:uid="{6252DDEF-3455-40D3-B8A5-AA61BF413F94}"/>
    <cellStyle name="SAPBEXexcBad8 2 4 3 2 2" xfId="7885" xr:uid="{2A182AB4-2D2F-448F-891D-6C3F848A0F86}"/>
    <cellStyle name="SAPBEXexcBad8 2 4 3 3" xfId="7886" xr:uid="{103C4A0E-E59A-40C1-B547-8DB2FEE75DC8}"/>
    <cellStyle name="SAPBEXexcBad8 2 4 3 3 2" xfId="7887" xr:uid="{463F8CBB-AAAA-44BE-B172-9578B69108EC}"/>
    <cellStyle name="SAPBEXexcBad8 2 4 3 4" xfId="7888" xr:uid="{D9D97D5D-C86C-4E2E-8CAE-DAB2DC3CB9BA}"/>
    <cellStyle name="SAPBEXexcBad8 2 4 3 4 2" xfId="7889" xr:uid="{52D31EE0-2C84-4F92-8B6F-A24966EAC692}"/>
    <cellStyle name="SAPBEXexcBad8 2 4 3 5" xfId="7890" xr:uid="{479ADED8-04D5-4FAC-BAED-85B5D03A6040}"/>
    <cellStyle name="SAPBEXexcBad8 2 4 3 5 2" xfId="7891" xr:uid="{FA41D65D-E8DB-4DCF-BA2D-53CD93AB462A}"/>
    <cellStyle name="SAPBEXexcBad8 2 4 3 6" xfId="7892" xr:uid="{2C4E6505-F3A5-42CB-9DD8-D7080F0A4C80}"/>
    <cellStyle name="SAPBEXexcBad8 2 4 3 6 2" xfId="7893" xr:uid="{47F50D36-C0C8-4C08-BC5B-83885F71B308}"/>
    <cellStyle name="SAPBEXexcBad8 2 4 3 7" xfId="7894" xr:uid="{C1742926-E387-4FCA-9896-1539DB62811C}"/>
    <cellStyle name="SAPBEXexcBad8 2 4 3 7 2" xfId="7895" xr:uid="{300BE7C5-510B-439D-A449-0B26C104F456}"/>
    <cellStyle name="SAPBEXexcBad8 2 4 3 8" xfId="7896" xr:uid="{310C6185-1FD4-48F6-A014-437B6ADC1E99}"/>
    <cellStyle name="SAPBEXexcBad8 2 4 3 8 2" xfId="7897" xr:uid="{A182CAF1-0241-4AEE-BEDC-D64EC1762AD9}"/>
    <cellStyle name="SAPBEXexcBad8 2 4 3 9" xfId="7898" xr:uid="{10FD09A9-4EA1-4E78-9066-63E9A798E3BC}"/>
    <cellStyle name="SAPBEXexcBad8 2 4 3 9 2" xfId="7899" xr:uid="{188D116F-44F6-4380-BF69-5ACAE4A7834F}"/>
    <cellStyle name="SAPBEXexcBad8 2 4 4" xfId="7900" xr:uid="{CD627A25-9294-4095-AEBE-16F3CFAA6CCB}"/>
    <cellStyle name="SAPBEXexcBad8 2 4 4 2" xfId="7901" xr:uid="{4E4827AC-0652-4EA6-BDC8-BD594EE17D4C}"/>
    <cellStyle name="SAPBEXexcBad8 2 4 5" xfId="7902" xr:uid="{0866C126-9842-41D8-B90B-96C038ED5A51}"/>
    <cellStyle name="SAPBEXexcBad8 2 4 5 2" xfId="7903" xr:uid="{DDD3FA6F-BE4B-465A-BB2E-F552D4C4C9DF}"/>
    <cellStyle name="SAPBEXexcBad8 2 4 6" xfId="7904" xr:uid="{AF78C7B3-5E42-46E5-A79B-5C9A1B3DBA89}"/>
    <cellStyle name="SAPBEXexcBad8 2 4 6 2" xfId="7905" xr:uid="{09AC9DEF-C2B5-4328-963D-121FB4EED799}"/>
    <cellStyle name="SAPBEXexcBad8 2 4 7" xfId="7906" xr:uid="{5CE0F003-3BEC-4B55-8DC6-B535A0B26273}"/>
    <cellStyle name="SAPBEXexcBad8 2 4 7 2" xfId="7907" xr:uid="{F11A5E21-992E-40EB-9419-3AF2E9DE3FEA}"/>
    <cellStyle name="SAPBEXexcBad8 2 4 8" xfId="7908" xr:uid="{A2C7ABA8-76A0-454D-9184-F69F381EC106}"/>
    <cellStyle name="SAPBEXexcBad8 2 4 8 2" xfId="7909" xr:uid="{8A79145A-1220-474E-9160-20FFFC66730E}"/>
    <cellStyle name="SAPBEXexcBad8 2 4 9" xfId="7910" xr:uid="{67E5B471-DE72-4728-B4DB-352652CAEDE3}"/>
    <cellStyle name="SAPBEXexcBad8 2 4 9 2" xfId="7911" xr:uid="{B79360FA-DC30-4B35-A167-82B4BC4ADD57}"/>
    <cellStyle name="SAPBEXexcBad8 2 5" xfId="7912" xr:uid="{2229A58B-DBB9-4419-92F3-0B9AC7BDE51F}"/>
    <cellStyle name="SAPBEXexcBad8 2 5 2" xfId="7913" xr:uid="{1246EE12-7028-425F-8C74-C4C03AB4858A}"/>
    <cellStyle name="SAPBEXexcBad8 2 6" xfId="7914" xr:uid="{0E5CC1AD-64CC-4562-949B-CD21B6CA57F0}"/>
    <cellStyle name="SAPBEXexcBad8 2 6 2" xfId="7915" xr:uid="{25428FA0-2B98-460E-B9A2-C03FB4CB6110}"/>
    <cellStyle name="SAPBEXexcBad8 2 7" xfId="7916" xr:uid="{0B380194-1DFA-4C79-A9A4-06E93CBE457A}"/>
    <cellStyle name="SAPBEXexcBad8 2 7 2" xfId="7917" xr:uid="{62A90E28-999E-41D1-8D27-FD1E56203A6C}"/>
    <cellStyle name="SAPBEXexcBad8 2 8" xfId="7918" xr:uid="{2C038DA1-33FD-4B0C-8967-8DDCE0B6CFF1}"/>
    <cellStyle name="SAPBEXexcBad8 2 8 2" xfId="7919" xr:uid="{380ED3A2-EBFD-4FEE-B3AD-101B0BA38D12}"/>
    <cellStyle name="SAPBEXexcBad8 2 9" xfId="7920" xr:uid="{843EE094-0520-462D-9EA1-04776DD3595C}"/>
    <cellStyle name="SAPBEXexcBad8 2 9 2" xfId="7921" xr:uid="{050EEE55-05D8-4D13-9018-9F522D848002}"/>
    <cellStyle name="SAPBEXexcBad8 2_T1 ANSP" xfId="7632" xr:uid="{79D184D5-7159-49BD-A0AE-1FCED30BBDB4}"/>
    <cellStyle name="SAPBEXexcBad8 20" xfId="7922" xr:uid="{4FA16FAC-AFD6-4843-A22C-2693112025C3}"/>
    <cellStyle name="SAPBEXexcBad8 3" xfId="1505" xr:uid="{00000000-0005-0000-0000-000065050000}"/>
    <cellStyle name="SAPBEXexcBad8 3 10" xfId="7924" xr:uid="{F48F8C59-421D-4749-9AAA-2A8EC775DB00}"/>
    <cellStyle name="SAPBEXexcBad8 3 10 2" xfId="7925" xr:uid="{2D2ACDDB-34D6-497F-8E17-E94D99BBE12E}"/>
    <cellStyle name="SAPBEXexcBad8 3 11" xfId="7926" xr:uid="{6C3B04D2-0A9C-4700-A6EB-13E3A2FC4E89}"/>
    <cellStyle name="SAPBEXexcBad8 3 11 2" xfId="7927" xr:uid="{D9D21D43-B625-43A6-8711-038B4A9A1479}"/>
    <cellStyle name="SAPBEXexcBad8 3 12" xfId="7928" xr:uid="{B00CD9DF-56A0-49F1-8EE1-BD1F664CD7A9}"/>
    <cellStyle name="SAPBEXexcBad8 3 12 2" xfId="7929" xr:uid="{3D801ED7-D5DB-40A9-BE10-EEDB53ED20B5}"/>
    <cellStyle name="SAPBEXexcBad8 3 13" xfId="7930" xr:uid="{CC50B818-0DA6-44B1-A418-AE467F2BECE3}"/>
    <cellStyle name="SAPBEXexcBad8 3 13 2" xfId="7931" xr:uid="{31F24CAC-86D2-43C6-904A-55364C8DDD5A}"/>
    <cellStyle name="SAPBEXexcBad8 3 14" xfId="7932" xr:uid="{2DAFFAE6-31D2-41E2-96FB-4BCBB2605D60}"/>
    <cellStyle name="SAPBEXexcBad8 3 14 2" xfId="7933" xr:uid="{44EF0A3A-1224-4579-872A-E31CD1CC6A3E}"/>
    <cellStyle name="SAPBEXexcBad8 3 15" xfId="7934" xr:uid="{D69C852A-1A11-4E47-8E7A-2094B2A0B49A}"/>
    <cellStyle name="SAPBEXexcBad8 3 15 2" xfId="7935" xr:uid="{43B2A890-AECB-4745-BAE5-38AF7D6C888B}"/>
    <cellStyle name="SAPBEXexcBad8 3 16" xfId="7936" xr:uid="{1B48D896-7C50-44CB-9857-583445119AA9}"/>
    <cellStyle name="SAPBEXexcBad8 3 16 2" xfId="7937" xr:uid="{8B79D623-ED76-40D2-B851-6C85AD6FDA77}"/>
    <cellStyle name="SAPBEXexcBad8 3 17" xfId="7938" xr:uid="{7BC99FB0-01CD-4FDE-9242-E51BA3474907}"/>
    <cellStyle name="SAPBEXexcBad8 3 17 2" xfId="7939" xr:uid="{93FEAA6D-1D84-46B7-86C5-CF938364B513}"/>
    <cellStyle name="SAPBEXexcBad8 3 18" xfId="7940" xr:uid="{C3D72B3D-3968-470C-9980-263C7D9289EE}"/>
    <cellStyle name="SAPBEXexcBad8 3 2" xfId="7941" xr:uid="{53F80155-4358-43AC-BCAC-DD6E8E6E1976}"/>
    <cellStyle name="SAPBEXexcBad8 3 2 10" xfId="7942" xr:uid="{86EBB2A8-5965-41A8-9089-3E2DB047C1FD}"/>
    <cellStyle name="SAPBEXexcBad8 3 2 10 2" xfId="7943" xr:uid="{7B73ADD1-BD8E-4035-9660-3F64AEC0CF5E}"/>
    <cellStyle name="SAPBEXexcBad8 3 2 11" xfId="7944" xr:uid="{2D1FF465-8B37-41DF-A9C2-B643B8270A49}"/>
    <cellStyle name="SAPBEXexcBad8 3 2 11 2" xfId="7945" xr:uid="{F3556977-6954-4742-A1AD-D3C60EAD87DB}"/>
    <cellStyle name="SAPBEXexcBad8 3 2 12" xfId="7946" xr:uid="{189285E8-DD14-4BBE-999B-F7EFB87956D2}"/>
    <cellStyle name="SAPBEXexcBad8 3 2 12 2" xfId="7947" xr:uid="{B97683F7-6F0F-46EE-AA7F-63C7D30717BD}"/>
    <cellStyle name="SAPBEXexcBad8 3 2 13" xfId="7948" xr:uid="{6428A133-5C52-43CE-9AA9-B046304B804B}"/>
    <cellStyle name="SAPBEXexcBad8 3 2 13 2" xfId="7949" xr:uid="{5631E501-9ED2-41CB-9271-4BBA6258F62D}"/>
    <cellStyle name="SAPBEXexcBad8 3 2 14" xfId="7950" xr:uid="{C1703E89-9998-41A9-8199-E84FA49922E2}"/>
    <cellStyle name="SAPBEXexcBad8 3 2 14 2" xfId="7951" xr:uid="{4B297BA5-AE01-4020-8E58-1A76EA49D48E}"/>
    <cellStyle name="SAPBEXexcBad8 3 2 15" xfId="7952" xr:uid="{ACA32D26-2C15-4A46-ACCF-258DA3CC2B98}"/>
    <cellStyle name="SAPBEXexcBad8 3 2 15 2" xfId="7953" xr:uid="{2F2429E3-195F-4924-9B0D-FB38439317B0}"/>
    <cellStyle name="SAPBEXexcBad8 3 2 16" xfId="7954" xr:uid="{9AFDADB2-F9DC-42FD-9A51-84A45FA01B3B}"/>
    <cellStyle name="SAPBEXexcBad8 3 2 2" xfId="7955" xr:uid="{3B5D3255-96AC-4142-A4BB-1E031566F5DA}"/>
    <cellStyle name="SAPBEXexcBad8 3 2 2 2" xfId="7956" xr:uid="{7C827449-062A-4FA3-962D-6B6987FC669A}"/>
    <cellStyle name="SAPBEXexcBad8 3 2 3" xfId="7957" xr:uid="{2B8BB411-2F64-4B01-976C-7CE75AA12B8F}"/>
    <cellStyle name="SAPBEXexcBad8 3 2 3 2" xfId="7958" xr:uid="{B52A86A7-A2CC-41F9-BE6C-173AD889420E}"/>
    <cellStyle name="SAPBEXexcBad8 3 2 4" xfId="7959" xr:uid="{FAF16FE9-6076-4C2E-84C2-5C0972535C3F}"/>
    <cellStyle name="SAPBEXexcBad8 3 2 4 2" xfId="7960" xr:uid="{9D8F1E63-0F04-49BE-AC5B-C4FD09D41567}"/>
    <cellStyle name="SAPBEXexcBad8 3 2 5" xfId="7961" xr:uid="{CC6454D4-8BAA-44BE-89AF-4E28060C24F0}"/>
    <cellStyle name="SAPBEXexcBad8 3 2 5 2" xfId="7962" xr:uid="{F230F0C1-B2B0-42CD-946D-6EE59F0915A7}"/>
    <cellStyle name="SAPBEXexcBad8 3 2 6" xfId="7963" xr:uid="{A935893A-D493-483E-8A4A-665E204E80A4}"/>
    <cellStyle name="SAPBEXexcBad8 3 2 6 2" xfId="7964" xr:uid="{0507D5E0-1071-4AC5-A70C-45089CAA0270}"/>
    <cellStyle name="SAPBEXexcBad8 3 2 7" xfId="7965" xr:uid="{C0EB250F-2481-4863-A8FF-7880F1E16DD9}"/>
    <cellStyle name="SAPBEXexcBad8 3 2 7 2" xfId="7966" xr:uid="{9C340A7A-284D-43B1-8085-F4D59B5890B3}"/>
    <cellStyle name="SAPBEXexcBad8 3 2 8" xfId="7967" xr:uid="{F1116250-D377-404A-BEC8-A728E1CEB13F}"/>
    <cellStyle name="SAPBEXexcBad8 3 2 8 2" xfId="7968" xr:uid="{B6D0864B-07C3-4844-91AB-226046DDE725}"/>
    <cellStyle name="SAPBEXexcBad8 3 2 9" xfId="7969" xr:uid="{14CE149E-45F4-4C0B-B168-2E8D2CE1C938}"/>
    <cellStyle name="SAPBEXexcBad8 3 2 9 2" xfId="7970" xr:uid="{8AC2B328-6DD9-4EDD-8F9E-503A17607B74}"/>
    <cellStyle name="SAPBEXexcBad8 3 3" xfId="7971" xr:uid="{4157D807-E004-45A9-B95F-FF6FED1DE2EA}"/>
    <cellStyle name="SAPBEXexcBad8 3 3 10" xfId="7972" xr:uid="{C3C417C3-7B2D-4DDA-94AC-564FE8D7C0CD}"/>
    <cellStyle name="SAPBEXexcBad8 3 3 10 2" xfId="7973" xr:uid="{F0B8AAEB-E001-47A8-8F4C-916845E377B3}"/>
    <cellStyle name="SAPBEXexcBad8 3 3 11" xfId="7974" xr:uid="{4649DA0B-5C43-4FC2-B552-6959891DC5ED}"/>
    <cellStyle name="SAPBEXexcBad8 3 3 11 2" xfId="7975" xr:uid="{CE399ABF-26EA-4BC2-8DDA-AC49BEA73828}"/>
    <cellStyle name="SAPBEXexcBad8 3 3 12" xfId="7976" xr:uid="{C859591F-577C-494F-800C-5DB885873673}"/>
    <cellStyle name="SAPBEXexcBad8 3 3 12 2" xfId="7977" xr:uid="{301F0763-AA92-4356-8903-41D442EA54C8}"/>
    <cellStyle name="SAPBEXexcBad8 3 3 13" xfId="7978" xr:uid="{CAB0354D-3FD2-48FC-B44E-6255955CCC18}"/>
    <cellStyle name="SAPBEXexcBad8 3 3 13 2" xfId="7979" xr:uid="{2EB40F4D-58F6-470B-B52A-A827BC27D765}"/>
    <cellStyle name="SAPBEXexcBad8 3 3 14" xfId="7980" xr:uid="{664A4254-8361-4EB3-BDD1-3885CF14C8A3}"/>
    <cellStyle name="SAPBEXexcBad8 3 3 14 2" xfId="7981" xr:uid="{086AE9E4-CFA0-4EF5-ADA2-620E1E8EC387}"/>
    <cellStyle name="SAPBEXexcBad8 3 3 15" xfId="7982" xr:uid="{47AA3BC0-37DD-4E0C-864C-21B5F9F69AD2}"/>
    <cellStyle name="SAPBEXexcBad8 3 3 15 2" xfId="7983" xr:uid="{13F32B07-4FE5-45F0-966C-34F5B5790091}"/>
    <cellStyle name="SAPBEXexcBad8 3 3 16" xfId="7984" xr:uid="{7B9BB79C-D9DC-4DCE-987F-CB79D9F7926F}"/>
    <cellStyle name="SAPBEXexcBad8 3 3 2" xfId="7985" xr:uid="{EE8BB1FC-46D9-47E1-A8C1-8352F2CC563D}"/>
    <cellStyle name="SAPBEXexcBad8 3 3 2 2" xfId="7986" xr:uid="{6F4D9CCE-8795-4B2D-A182-07C41F1BCF51}"/>
    <cellStyle name="SAPBEXexcBad8 3 3 3" xfId="7987" xr:uid="{CFDED8F9-F7E9-48C1-8C6C-71AF90FE839D}"/>
    <cellStyle name="SAPBEXexcBad8 3 3 3 2" xfId="7988" xr:uid="{4FA059A8-F21D-4540-A610-71329EC399DD}"/>
    <cellStyle name="SAPBEXexcBad8 3 3 4" xfId="7989" xr:uid="{63C9EFDD-259E-4814-B385-FBA69D5BF803}"/>
    <cellStyle name="SAPBEXexcBad8 3 3 4 2" xfId="7990" xr:uid="{9D85DEDA-6436-4C3B-B00B-CB06071138F5}"/>
    <cellStyle name="SAPBEXexcBad8 3 3 5" xfId="7991" xr:uid="{0AD13167-E2E1-436B-A061-924DCC024B79}"/>
    <cellStyle name="SAPBEXexcBad8 3 3 5 2" xfId="7992" xr:uid="{1F66F37E-ACD7-4D3E-B6E5-2382088D5FF8}"/>
    <cellStyle name="SAPBEXexcBad8 3 3 6" xfId="7993" xr:uid="{4D4B5E37-0A13-4DF0-AE7C-9F28294FCBD6}"/>
    <cellStyle name="SAPBEXexcBad8 3 3 6 2" xfId="7994" xr:uid="{12981119-7422-47EB-A573-F6FB58B6980E}"/>
    <cellStyle name="SAPBEXexcBad8 3 3 7" xfId="7995" xr:uid="{3FF7D119-FE38-4A6C-A99D-AC0E9AB4CE03}"/>
    <cellStyle name="SAPBEXexcBad8 3 3 7 2" xfId="7996" xr:uid="{1E15C89F-AB95-4CE7-B3A7-BC93248E2BF9}"/>
    <cellStyle name="SAPBEXexcBad8 3 3 8" xfId="7997" xr:uid="{9461D30A-982F-408D-BCB2-BD16B4035FBE}"/>
    <cellStyle name="SAPBEXexcBad8 3 3 8 2" xfId="7998" xr:uid="{C08AB05D-415B-4C27-A67D-868698BCD440}"/>
    <cellStyle name="SAPBEXexcBad8 3 3 9" xfId="7999" xr:uid="{B8906D63-77E6-4CF3-BB14-D3A50E5FC57D}"/>
    <cellStyle name="SAPBEXexcBad8 3 3 9 2" xfId="8000" xr:uid="{903714FA-8CE2-4D76-BDC7-382B5BD9E499}"/>
    <cellStyle name="SAPBEXexcBad8 3 4" xfId="8001" xr:uid="{5D210293-23BC-4EE1-864D-C587861BA9B2}"/>
    <cellStyle name="SAPBEXexcBad8 3 4 2" xfId="8002" xr:uid="{4F10C6AC-9F53-46AE-A044-856BCA4EB7A4}"/>
    <cellStyle name="SAPBEXexcBad8 3 5" xfId="8003" xr:uid="{CF03EB89-BE9B-46C1-8B48-BF5F1C112357}"/>
    <cellStyle name="SAPBEXexcBad8 3 5 2" xfId="8004" xr:uid="{D58B17B8-0419-4FDB-A715-F094F5EB4A05}"/>
    <cellStyle name="SAPBEXexcBad8 3 6" xfId="8005" xr:uid="{29C6A80A-0623-455C-ADE6-112D7DA1097F}"/>
    <cellStyle name="SAPBEXexcBad8 3 6 2" xfId="8006" xr:uid="{4AD8E939-6DBE-406D-AB62-7B510508D23D}"/>
    <cellStyle name="SAPBEXexcBad8 3 7" xfId="8007" xr:uid="{2EBAAA97-978A-43A9-B36D-88009B62BA48}"/>
    <cellStyle name="SAPBEXexcBad8 3 7 2" xfId="8008" xr:uid="{9CC23403-D9FD-4650-A930-73AB0DBF8125}"/>
    <cellStyle name="SAPBEXexcBad8 3 8" xfId="8009" xr:uid="{BEED1A9C-C5E9-4DD1-8F2E-7E5DCFD707C0}"/>
    <cellStyle name="SAPBEXexcBad8 3 8 2" xfId="8010" xr:uid="{23333B81-238B-4C05-983D-D982F648C356}"/>
    <cellStyle name="SAPBEXexcBad8 3 9" xfId="8011" xr:uid="{DAA6D536-2EBF-4294-89CE-40E7E8A81353}"/>
    <cellStyle name="SAPBEXexcBad8 3 9 2" xfId="8012" xr:uid="{2D6A1306-465A-43C4-9F51-D9A499A042B7}"/>
    <cellStyle name="SAPBEXexcBad8 3_T1 ANSP" xfId="7923" xr:uid="{E61E3455-E25B-4889-A478-5FC56D743C93}"/>
    <cellStyle name="SAPBEXexcBad8 4" xfId="8013" xr:uid="{84DD8276-9666-4B7D-8CF1-03F65C089779}"/>
    <cellStyle name="SAPBEXexcBad8 4 10" xfId="8014" xr:uid="{471F9B33-A561-476A-96C2-9EF315AD0F8E}"/>
    <cellStyle name="SAPBEXexcBad8 4 10 2" xfId="8015" xr:uid="{E322E3FF-D7B6-4D86-B188-82D2DFE58D74}"/>
    <cellStyle name="SAPBEXexcBad8 4 11" xfId="8016" xr:uid="{A9CB723A-E5E2-49B1-A77E-382A68B5764C}"/>
    <cellStyle name="SAPBEXexcBad8 4 11 2" xfId="8017" xr:uid="{2F86561C-C275-448A-808A-2EEC356C0463}"/>
    <cellStyle name="SAPBEXexcBad8 4 12" xfId="8018" xr:uid="{03D04D53-31D8-4528-9903-83D1AD94CE99}"/>
    <cellStyle name="SAPBEXexcBad8 4 12 2" xfId="8019" xr:uid="{AC12012E-36C5-4EEE-8793-01BCCD7BD8DA}"/>
    <cellStyle name="SAPBEXexcBad8 4 13" xfId="8020" xr:uid="{6F1FFE97-153D-4032-8F96-7F778BC5537A}"/>
    <cellStyle name="SAPBEXexcBad8 4 13 2" xfId="8021" xr:uid="{40CE5C4A-8D5F-457C-898B-4BA73ADC20A0}"/>
    <cellStyle name="SAPBEXexcBad8 4 14" xfId="8022" xr:uid="{358086EC-9115-488B-B383-2CEF4219EC08}"/>
    <cellStyle name="SAPBEXexcBad8 4 14 2" xfId="8023" xr:uid="{F3D2C2BE-C9B9-4A02-B978-74897F49EECF}"/>
    <cellStyle name="SAPBEXexcBad8 4 15" xfId="8024" xr:uid="{C97835FE-238E-4F23-9BE9-04CACD446578}"/>
    <cellStyle name="SAPBEXexcBad8 4 15 2" xfId="8025" xr:uid="{6C2B883E-D37A-4832-B580-0A768E3F1C2B}"/>
    <cellStyle name="SAPBEXexcBad8 4 16" xfId="8026" xr:uid="{F3CB865A-5C34-4AD0-B4A2-8372C8C05E8B}"/>
    <cellStyle name="SAPBEXexcBad8 4 16 2" xfId="8027" xr:uid="{8112FB80-6E7C-401D-8153-279A15D3E18E}"/>
    <cellStyle name="SAPBEXexcBad8 4 17" xfId="8028" xr:uid="{F5B1E6FC-ED5B-4BB7-A3F1-E115513C341D}"/>
    <cellStyle name="SAPBEXexcBad8 4 17 2" xfId="8029" xr:uid="{82704062-161B-4B0D-9DFA-74A13EE853C0}"/>
    <cellStyle name="SAPBEXexcBad8 4 18" xfId="8030" xr:uid="{C842B066-BB21-4D84-8543-40238AB808FD}"/>
    <cellStyle name="SAPBEXexcBad8 4 2" xfId="8031" xr:uid="{F6368C8A-360B-44AD-95E9-C426449D246F}"/>
    <cellStyle name="SAPBEXexcBad8 4 2 10" xfId="8032" xr:uid="{AE804BEB-EA7F-4CF5-B49C-A5AB89211A56}"/>
    <cellStyle name="SAPBEXexcBad8 4 2 10 2" xfId="8033" xr:uid="{59243B4C-88C1-416B-84D4-61BA11604D79}"/>
    <cellStyle name="SAPBEXexcBad8 4 2 11" xfId="8034" xr:uid="{B14F76CD-FD38-4D93-8C99-A802DC5A6FFD}"/>
    <cellStyle name="SAPBEXexcBad8 4 2 11 2" xfId="8035" xr:uid="{59CD7AF5-B95A-4F60-89F5-68633BED1292}"/>
    <cellStyle name="SAPBEXexcBad8 4 2 12" xfId="8036" xr:uid="{0D427E7A-91D0-4C8E-B485-71C2CF58D0EA}"/>
    <cellStyle name="SAPBEXexcBad8 4 2 12 2" xfId="8037" xr:uid="{C2CE498B-93DA-4BFB-B99A-2172A68955D2}"/>
    <cellStyle name="SAPBEXexcBad8 4 2 13" xfId="8038" xr:uid="{613E73F3-89DC-47E3-89E7-50FAB8D3B857}"/>
    <cellStyle name="SAPBEXexcBad8 4 2 13 2" xfId="8039" xr:uid="{873F33B6-C085-438D-AF9C-540025CB2793}"/>
    <cellStyle name="SAPBEXexcBad8 4 2 14" xfId="8040" xr:uid="{BB7D8D60-CB7B-42BB-BC67-23F38B300059}"/>
    <cellStyle name="SAPBEXexcBad8 4 2 14 2" xfId="8041" xr:uid="{720E8D16-8202-4B28-9701-A351345B4596}"/>
    <cellStyle name="SAPBEXexcBad8 4 2 15" xfId="8042" xr:uid="{1D660FC0-1E0A-44B7-9662-957C93375C0E}"/>
    <cellStyle name="SAPBEXexcBad8 4 2 15 2" xfId="8043" xr:uid="{714E14D8-A4DA-4306-BAB8-69C2C3F792E6}"/>
    <cellStyle name="SAPBEXexcBad8 4 2 16" xfId="8044" xr:uid="{8630CEF8-C29F-4731-9048-CA4386D92EFA}"/>
    <cellStyle name="SAPBEXexcBad8 4 2 2" xfId="8045" xr:uid="{81816210-94D3-4CB4-8ED8-8CA65FB25727}"/>
    <cellStyle name="SAPBEXexcBad8 4 2 2 2" xfId="8046" xr:uid="{61498662-73A8-4B43-A696-52D62DD0FD00}"/>
    <cellStyle name="SAPBEXexcBad8 4 2 3" xfId="8047" xr:uid="{F8BE37BD-ACFA-4144-B8EF-DEF06C6A8B63}"/>
    <cellStyle name="SAPBEXexcBad8 4 2 3 2" xfId="8048" xr:uid="{B15F64F0-6A03-419D-A034-AB753DAB2D6A}"/>
    <cellStyle name="SAPBEXexcBad8 4 2 4" xfId="8049" xr:uid="{FDA52F70-35A7-4A28-9723-1B61B7A593DC}"/>
    <cellStyle name="SAPBEXexcBad8 4 2 4 2" xfId="8050" xr:uid="{5FBAC9EB-2983-468D-ABDE-CBDCFF1EB11E}"/>
    <cellStyle name="SAPBEXexcBad8 4 2 5" xfId="8051" xr:uid="{7731E1EB-A632-4CD2-9D64-5C1599369D79}"/>
    <cellStyle name="SAPBEXexcBad8 4 2 5 2" xfId="8052" xr:uid="{88DEDF15-8A5E-47A0-AFF7-4C073F53B240}"/>
    <cellStyle name="SAPBEXexcBad8 4 2 6" xfId="8053" xr:uid="{642555D0-D42D-4D32-A240-AB053009BDF2}"/>
    <cellStyle name="SAPBEXexcBad8 4 2 6 2" xfId="8054" xr:uid="{F8D69A8E-01C8-4745-A099-F509373AE6D0}"/>
    <cellStyle name="SAPBEXexcBad8 4 2 7" xfId="8055" xr:uid="{602080D4-A9A4-4BA5-8753-7DFDFAE5CAC3}"/>
    <cellStyle name="SAPBEXexcBad8 4 2 7 2" xfId="8056" xr:uid="{B3EDC3FE-5161-4E24-BE63-32162FB878C4}"/>
    <cellStyle name="SAPBEXexcBad8 4 2 8" xfId="8057" xr:uid="{3AB0D86F-7C9A-4C1C-8E6A-6452AA51F435}"/>
    <cellStyle name="SAPBEXexcBad8 4 2 8 2" xfId="8058" xr:uid="{0BEA0935-78FE-469B-9F9B-D3B2772259BE}"/>
    <cellStyle name="SAPBEXexcBad8 4 2 9" xfId="8059" xr:uid="{C1A74409-2E79-4BA4-8497-14726499D23B}"/>
    <cellStyle name="SAPBEXexcBad8 4 2 9 2" xfId="8060" xr:uid="{75570F0D-EEDD-45D0-AA34-71468CF88030}"/>
    <cellStyle name="SAPBEXexcBad8 4 3" xfId="8061" xr:uid="{08FAD89F-F617-4291-88CB-DA5C31CE9341}"/>
    <cellStyle name="SAPBEXexcBad8 4 3 10" xfId="8062" xr:uid="{E6970193-1B65-4AE2-A8AC-B1F330A3A77F}"/>
    <cellStyle name="SAPBEXexcBad8 4 3 10 2" xfId="8063" xr:uid="{17804EC1-3D33-48C0-AEAE-2E0E14BE40CF}"/>
    <cellStyle name="SAPBEXexcBad8 4 3 11" xfId="8064" xr:uid="{96312991-144B-4EAD-A0A0-62C7F0B88E4C}"/>
    <cellStyle name="SAPBEXexcBad8 4 3 11 2" xfId="8065" xr:uid="{B9914163-8174-489E-9682-3553D80EF1C9}"/>
    <cellStyle name="SAPBEXexcBad8 4 3 12" xfId="8066" xr:uid="{ADB81FB0-5FBB-42F5-8662-2FB8CFCEFD36}"/>
    <cellStyle name="SAPBEXexcBad8 4 3 12 2" xfId="8067" xr:uid="{70B800D4-9E5F-42E5-912D-A8130895AA33}"/>
    <cellStyle name="SAPBEXexcBad8 4 3 13" xfId="8068" xr:uid="{0CBC3BDA-4839-4B54-96E9-CC9A53AEF55D}"/>
    <cellStyle name="SAPBEXexcBad8 4 3 13 2" xfId="8069" xr:uid="{6425DA80-42E9-4D46-87D2-CE0999AE3C23}"/>
    <cellStyle name="SAPBEXexcBad8 4 3 14" xfId="8070" xr:uid="{6EDF980B-D1C5-47F4-91BF-AB8BF8D841D2}"/>
    <cellStyle name="SAPBEXexcBad8 4 3 14 2" xfId="8071" xr:uid="{CFA5FA55-6EAA-4879-AD6A-32AA74EE1A1D}"/>
    <cellStyle name="SAPBEXexcBad8 4 3 15" xfId="8072" xr:uid="{19F6F251-01AD-4720-B104-CE996B675E73}"/>
    <cellStyle name="SAPBEXexcBad8 4 3 15 2" xfId="8073" xr:uid="{466228A2-CB29-47AF-8801-61BDF686CFA6}"/>
    <cellStyle name="SAPBEXexcBad8 4 3 16" xfId="8074" xr:uid="{ACE3EF5D-60BC-42F1-84A0-6564BA77C9C0}"/>
    <cellStyle name="SAPBEXexcBad8 4 3 2" xfId="8075" xr:uid="{7F2561F0-AEEF-44A4-98AE-2BB711D5C4CD}"/>
    <cellStyle name="SAPBEXexcBad8 4 3 2 2" xfId="8076" xr:uid="{10AA3CD8-4F76-4082-A3B7-2C072B42C04B}"/>
    <cellStyle name="SAPBEXexcBad8 4 3 3" xfId="8077" xr:uid="{1D3F6636-FF30-4C30-89EE-230BBEC001F8}"/>
    <cellStyle name="SAPBEXexcBad8 4 3 3 2" xfId="8078" xr:uid="{9BCF273C-355D-4D64-BA23-489B79B24403}"/>
    <cellStyle name="SAPBEXexcBad8 4 3 4" xfId="8079" xr:uid="{72337E86-7E42-4B43-B54D-C3FC77A4271D}"/>
    <cellStyle name="SAPBEXexcBad8 4 3 4 2" xfId="8080" xr:uid="{D3287D09-DB43-4E4D-9E14-FD413E1B971C}"/>
    <cellStyle name="SAPBEXexcBad8 4 3 5" xfId="8081" xr:uid="{30D1F251-8B90-4A97-9FF8-DF26BF56DFE4}"/>
    <cellStyle name="SAPBEXexcBad8 4 3 5 2" xfId="8082" xr:uid="{3AEFDD44-6705-4F9A-8D4D-213FCDD21050}"/>
    <cellStyle name="SAPBEXexcBad8 4 3 6" xfId="8083" xr:uid="{1A82ECFF-17D3-4559-8180-E30665C7F64C}"/>
    <cellStyle name="SAPBEXexcBad8 4 3 6 2" xfId="8084" xr:uid="{9A339CFB-1F7E-47EA-AFE7-7F2F7770C583}"/>
    <cellStyle name="SAPBEXexcBad8 4 3 7" xfId="8085" xr:uid="{D1DDD5E6-07CB-4244-8E33-E54D856C9BDD}"/>
    <cellStyle name="SAPBEXexcBad8 4 3 7 2" xfId="8086" xr:uid="{1E7E3B69-E277-4B36-9E91-C4A6BB8B7733}"/>
    <cellStyle name="SAPBEXexcBad8 4 3 8" xfId="8087" xr:uid="{A2D9FB7A-5577-43CA-A355-1AEA3A0FF70C}"/>
    <cellStyle name="SAPBEXexcBad8 4 3 8 2" xfId="8088" xr:uid="{A78CFFD6-606A-471B-8212-86621A48CDFF}"/>
    <cellStyle name="SAPBEXexcBad8 4 3 9" xfId="8089" xr:uid="{75016D46-6D73-4743-851B-FF1DF3172798}"/>
    <cellStyle name="SAPBEXexcBad8 4 3 9 2" xfId="8090" xr:uid="{2BBEC1E5-FB0D-4740-8303-FC5161882C8F}"/>
    <cellStyle name="SAPBEXexcBad8 4 4" xfId="8091" xr:uid="{8F56B963-F13D-45FE-8C9D-0DF6C4E09088}"/>
    <cellStyle name="SAPBEXexcBad8 4 4 2" xfId="8092" xr:uid="{45DF737E-8FA9-4057-91DB-4E232A473166}"/>
    <cellStyle name="SAPBEXexcBad8 4 5" xfId="8093" xr:uid="{89CB185C-2706-4F54-B450-8FB86E595982}"/>
    <cellStyle name="SAPBEXexcBad8 4 5 2" xfId="8094" xr:uid="{7B935CC4-7A78-468E-9BAA-83AFD8B73AD3}"/>
    <cellStyle name="SAPBEXexcBad8 4 6" xfId="8095" xr:uid="{336FDA9A-783F-4323-8F1D-A065A01AA587}"/>
    <cellStyle name="SAPBEXexcBad8 4 6 2" xfId="8096" xr:uid="{33B8C4FB-9816-4576-BFB0-F8C54C6B7288}"/>
    <cellStyle name="SAPBEXexcBad8 4 7" xfId="8097" xr:uid="{14E6D2C5-937F-46F1-8E4F-88F65D669A1C}"/>
    <cellStyle name="SAPBEXexcBad8 4 7 2" xfId="8098" xr:uid="{DB43C378-211B-4370-B89C-59E298C866BA}"/>
    <cellStyle name="SAPBEXexcBad8 4 8" xfId="8099" xr:uid="{CD2B0C15-4C75-4573-9F0D-8D45F956AB55}"/>
    <cellStyle name="SAPBEXexcBad8 4 8 2" xfId="8100" xr:uid="{39561481-48BE-474F-B3B6-3F148529FC05}"/>
    <cellStyle name="SAPBEXexcBad8 4 9" xfId="8101" xr:uid="{A31CD8A5-D304-4878-B546-EE3A1F84B228}"/>
    <cellStyle name="SAPBEXexcBad8 4 9 2" xfId="8102" xr:uid="{0A86E597-56B5-4904-97C6-9F7EFDFC5D56}"/>
    <cellStyle name="SAPBEXexcBad8 5" xfId="8103" xr:uid="{E08D4A93-78BC-47DF-BEFE-90A05A9A3C86}"/>
    <cellStyle name="SAPBEXexcBad8 5 10" xfId="8104" xr:uid="{A3D4FEC0-ADF3-4605-B06E-B64100181475}"/>
    <cellStyle name="SAPBEXexcBad8 5 10 2" xfId="8105" xr:uid="{C4F677C8-A356-469F-B9B7-F5EF8BB81B20}"/>
    <cellStyle name="SAPBEXexcBad8 5 11" xfId="8106" xr:uid="{A3259D59-ED95-4621-A407-58368601423C}"/>
    <cellStyle name="SAPBEXexcBad8 5 11 2" xfId="8107" xr:uid="{04BD5FC9-78D8-4102-A61A-382766A2D076}"/>
    <cellStyle name="SAPBEXexcBad8 5 12" xfId="8108" xr:uid="{0A2E926E-5B39-4B56-B925-53280F7517B2}"/>
    <cellStyle name="SAPBEXexcBad8 5 12 2" xfId="8109" xr:uid="{33E87EA3-BF28-4FCF-96A9-A594AEA3ABB7}"/>
    <cellStyle name="SAPBEXexcBad8 5 13" xfId="8110" xr:uid="{F60843A8-222D-489D-9F92-0A07766DD6FE}"/>
    <cellStyle name="SAPBEXexcBad8 5 13 2" xfId="8111" xr:uid="{900C54A8-D671-43C8-802D-C96B86AC6848}"/>
    <cellStyle name="SAPBEXexcBad8 5 14" xfId="8112" xr:uid="{CBEE8F28-A2BF-41C3-BB17-01AED9A66601}"/>
    <cellStyle name="SAPBEXexcBad8 5 14 2" xfId="8113" xr:uid="{1F0752EB-7723-4DC6-AC2A-B675AB499354}"/>
    <cellStyle name="SAPBEXexcBad8 5 15" xfId="8114" xr:uid="{7A6F5A9F-F940-4C8C-8946-2EA938429ADB}"/>
    <cellStyle name="SAPBEXexcBad8 5 15 2" xfId="8115" xr:uid="{CD826A91-343C-4248-826E-B81A9B464E10}"/>
    <cellStyle name="SAPBEXexcBad8 5 16" xfId="8116" xr:uid="{BFD58AB9-1F5D-4413-9144-679450490DC4}"/>
    <cellStyle name="SAPBEXexcBad8 5 2" xfId="8117" xr:uid="{EBA0D438-CB6B-4EF2-A21F-7DF20D7217E7}"/>
    <cellStyle name="SAPBEXexcBad8 5 2 2" xfId="8118" xr:uid="{B25D13A0-7D9C-4C7E-BEE2-FC0C162899A3}"/>
    <cellStyle name="SAPBEXexcBad8 5 3" xfId="8119" xr:uid="{14A79779-A878-46D4-B50D-A3BBDE11614C}"/>
    <cellStyle name="SAPBEXexcBad8 5 3 2" xfId="8120" xr:uid="{AC19D80E-F524-4B3D-8684-E945C53B6383}"/>
    <cellStyle name="SAPBEXexcBad8 5 4" xfId="8121" xr:uid="{094B6DFC-1832-4D0B-A130-EA4684C9F6CC}"/>
    <cellStyle name="SAPBEXexcBad8 5 4 2" xfId="8122" xr:uid="{D44BACB4-378A-4B59-B9BF-49C86379FE37}"/>
    <cellStyle name="SAPBEXexcBad8 5 5" xfId="8123" xr:uid="{F699F32F-99D2-4AAA-BCA8-1689ED90D098}"/>
    <cellStyle name="SAPBEXexcBad8 5 5 2" xfId="8124" xr:uid="{4F32D0FD-2864-42A8-8C1C-B745088253A9}"/>
    <cellStyle name="SAPBEXexcBad8 5 6" xfId="8125" xr:uid="{5280B18A-6DBC-4EF1-8426-212C0322999B}"/>
    <cellStyle name="SAPBEXexcBad8 5 6 2" xfId="8126" xr:uid="{A1E7A952-854F-47C4-883E-8DE61B78DB58}"/>
    <cellStyle name="SAPBEXexcBad8 5 7" xfId="8127" xr:uid="{7EC9AD57-1441-4104-9E1A-1AB82F50AED7}"/>
    <cellStyle name="SAPBEXexcBad8 5 7 2" xfId="8128" xr:uid="{67F5FB5C-BA99-4BC3-80DF-CC5D9F97BF51}"/>
    <cellStyle name="SAPBEXexcBad8 5 8" xfId="8129" xr:uid="{0FCD6199-6137-4054-BEAD-E0C3F8F32526}"/>
    <cellStyle name="SAPBEXexcBad8 5 8 2" xfId="8130" xr:uid="{A16EC1FD-E32E-4EA3-8DC0-2DB6A77961C6}"/>
    <cellStyle name="SAPBEXexcBad8 5 9" xfId="8131" xr:uid="{CC713751-FD54-4DA6-9AAB-8BB5DFEBED77}"/>
    <cellStyle name="SAPBEXexcBad8 5 9 2" xfId="8132" xr:uid="{AAA65365-6688-451B-92CB-C56BA7C2A4C6}"/>
    <cellStyle name="SAPBEXexcBad8 6" xfId="8133" xr:uid="{6F0FB9E1-3CC2-4685-A281-D20ABF6B964E}"/>
    <cellStyle name="SAPBEXexcBad8 6 2" xfId="8134" xr:uid="{07A9BF3A-21B3-4BA4-A6D2-B9CC1A3E5BD5}"/>
    <cellStyle name="SAPBEXexcBad8 7" xfId="8135" xr:uid="{8470E8BE-A188-496F-A31E-9C473B58824D}"/>
    <cellStyle name="SAPBEXexcBad8 7 2" xfId="8136" xr:uid="{863D7D1F-0351-4F4E-AA9B-9E7DECA921BF}"/>
    <cellStyle name="SAPBEXexcBad8 8" xfId="8137" xr:uid="{B4F09A69-44A8-493F-A026-A6BC039C8878}"/>
    <cellStyle name="SAPBEXexcBad8 8 2" xfId="8138" xr:uid="{5FB7D49D-5F56-4CE2-A5D1-B3D8E78E2BBF}"/>
    <cellStyle name="SAPBEXexcBad8 9" xfId="8139" xr:uid="{335316AF-6379-415F-BC2D-0F667A1E012B}"/>
    <cellStyle name="SAPBEXexcBad8 9 2" xfId="8140" xr:uid="{2AF1FE37-1F2F-4362-9F87-7BCF946E55F0}"/>
    <cellStyle name="SAPBEXexcBad8_T1 ANSP" xfId="7611" xr:uid="{B712E662-109C-48FC-B9CD-C6EC47C94586}"/>
    <cellStyle name="SAPBEXexcBad9" xfId="733" xr:uid="{00000000-0005-0000-0000-000066050000}"/>
    <cellStyle name="SAPBEXexcBad9 10" xfId="8142" xr:uid="{4967F8C8-6849-45FF-858F-CCA85D2AFEF4}"/>
    <cellStyle name="SAPBEXexcBad9 10 2" xfId="8143" xr:uid="{DAC9186F-F192-4E96-9B91-9A52059CBA5C}"/>
    <cellStyle name="SAPBEXexcBad9 11" xfId="8144" xr:uid="{2B4F290D-F8AA-4DA9-87C8-B891C5F5BCE4}"/>
    <cellStyle name="SAPBEXexcBad9 11 2" xfId="8145" xr:uid="{F2D48F1B-98D9-434A-BD19-1BBEA127B1BD}"/>
    <cellStyle name="SAPBEXexcBad9 12" xfId="8146" xr:uid="{AB3F4517-E0AC-41B4-B47F-680938C8E432}"/>
    <cellStyle name="SAPBEXexcBad9 12 2" xfId="8147" xr:uid="{D48FED5D-C35F-4388-8863-160375F01E1D}"/>
    <cellStyle name="SAPBEXexcBad9 13" xfId="8148" xr:uid="{378E71D5-07DB-49C5-9E2B-5445F77C9E6E}"/>
    <cellStyle name="SAPBEXexcBad9 13 2" xfId="8149" xr:uid="{589E0F20-6C41-4A23-9FE2-30A6964A45C8}"/>
    <cellStyle name="SAPBEXexcBad9 14" xfId="8150" xr:uid="{F8DBB990-3CE7-493A-B9C2-C993656B7E1C}"/>
    <cellStyle name="SAPBEXexcBad9 14 2" xfId="8151" xr:uid="{636CFF4F-08C3-4B3A-93C6-CA8E5D5322A6}"/>
    <cellStyle name="SAPBEXexcBad9 15" xfId="8152" xr:uid="{8C5ECF31-245B-44C1-A825-E0D1D5718217}"/>
    <cellStyle name="SAPBEXexcBad9 15 2" xfId="8153" xr:uid="{D5325BF0-0F0C-4427-947C-24B50B298C95}"/>
    <cellStyle name="SAPBEXexcBad9 16" xfId="8154" xr:uid="{D8A1C0CE-4AE4-4C61-91F4-8A3C88F50ABE}"/>
    <cellStyle name="SAPBEXexcBad9 16 2" xfId="8155" xr:uid="{502A028F-984F-4C68-B5EF-61EDB1BAF5FC}"/>
    <cellStyle name="SAPBEXexcBad9 17" xfId="8156" xr:uid="{EB08C0FB-E3ED-4038-A1E4-4096A20E02BB}"/>
    <cellStyle name="SAPBEXexcBad9 17 2" xfId="8157" xr:uid="{E809084F-58C4-4369-A44A-737AE30F88FE}"/>
    <cellStyle name="SAPBEXexcBad9 18" xfId="8158" xr:uid="{1CD0886F-5B8F-48E9-B966-89533D11678B}"/>
    <cellStyle name="SAPBEXexcBad9 18 2" xfId="8159" xr:uid="{6C6FF2E3-506D-480F-8FCD-61B10BF5558D}"/>
    <cellStyle name="SAPBEXexcBad9 19" xfId="8160" xr:uid="{7168A185-926D-4744-B6E1-C482C8E3F5D4}"/>
    <cellStyle name="SAPBEXexcBad9 19 2" xfId="8161" xr:uid="{FCFD1DEE-99C9-4B52-A7E7-0302A83C413D}"/>
    <cellStyle name="SAPBEXexcBad9 2" xfId="1548" xr:uid="{00000000-0005-0000-0000-000067050000}"/>
    <cellStyle name="SAPBEXexcBad9 2 10" xfId="8163" xr:uid="{6B90066C-5816-472F-91FA-9E49809A154F}"/>
    <cellStyle name="SAPBEXexcBad9 2 10 2" xfId="8164" xr:uid="{173EFB0E-F424-40C7-B64D-6B3CAF6BC91C}"/>
    <cellStyle name="SAPBEXexcBad9 2 11" xfId="8165" xr:uid="{9D2A6B25-D771-40A9-8D07-1CAA0188F62C}"/>
    <cellStyle name="SAPBEXexcBad9 2 11 2" xfId="8166" xr:uid="{5EA90A10-04F7-4008-8F71-13520E9D85DF}"/>
    <cellStyle name="SAPBEXexcBad9 2 12" xfId="8167" xr:uid="{7C5FC5D4-97A5-4ADB-8D3C-B31C9769CA3B}"/>
    <cellStyle name="SAPBEXexcBad9 2 12 2" xfId="8168" xr:uid="{459275E3-4572-41B9-BB91-F4146933235D}"/>
    <cellStyle name="SAPBEXexcBad9 2 13" xfId="8169" xr:uid="{A55189B3-A702-4A17-838B-6385C48CAAC2}"/>
    <cellStyle name="SAPBEXexcBad9 2 13 2" xfId="8170" xr:uid="{6C716734-A52E-4A4F-81D3-47BA00B2853B}"/>
    <cellStyle name="SAPBEXexcBad9 2 14" xfId="8171" xr:uid="{DCE8E835-59AC-4DC7-99D0-0DE33273083D}"/>
    <cellStyle name="SAPBEXexcBad9 2 14 2" xfId="8172" xr:uid="{F7E576D4-883F-47FA-B873-330BD0D228FA}"/>
    <cellStyle name="SAPBEXexcBad9 2 15" xfId="8173" xr:uid="{748DE735-DEF4-4C2C-9671-D37ECFA50EA3}"/>
    <cellStyle name="SAPBEXexcBad9 2 15 2" xfId="8174" xr:uid="{0A8E6E26-6C91-4F62-83B5-B175EF0B6173}"/>
    <cellStyle name="SAPBEXexcBad9 2 16" xfId="8175" xr:uid="{49F485B6-C809-4C4B-AE09-BDDDFC4CBDBF}"/>
    <cellStyle name="SAPBEXexcBad9 2 16 2" xfId="8176" xr:uid="{B3A85736-42D8-426D-9D32-15B8B2B2BBFC}"/>
    <cellStyle name="SAPBEXexcBad9 2 17" xfId="8177" xr:uid="{D11967A2-C75A-4294-B5F9-D8869BCF5B03}"/>
    <cellStyle name="SAPBEXexcBad9 2 17 2" xfId="8178" xr:uid="{C8907DCE-5B2F-4281-A05F-2BF511334BD9}"/>
    <cellStyle name="SAPBEXexcBad9 2 18" xfId="8179" xr:uid="{74C99F8E-0B68-4235-8A33-E96B6EDD5A67}"/>
    <cellStyle name="SAPBEXexcBad9 2 18 2" xfId="8180" xr:uid="{C54CEEB1-0AF6-4B99-835D-117350D7461C}"/>
    <cellStyle name="SAPBEXexcBad9 2 19" xfId="8181" xr:uid="{6AA38BB5-94C8-4B20-B7F4-4480B0475543}"/>
    <cellStyle name="SAPBEXexcBad9 2 2" xfId="8182" xr:uid="{93EDFA35-0890-42BE-A014-FEE2767D0438}"/>
    <cellStyle name="SAPBEXexcBad9 2 2 10" xfId="8183" xr:uid="{CF6618DA-3E98-474F-9E09-7426A31175FC}"/>
    <cellStyle name="SAPBEXexcBad9 2 2 10 2" xfId="8184" xr:uid="{53D1C484-81A3-4087-BF28-7777D8419CA4}"/>
    <cellStyle name="SAPBEXexcBad9 2 2 11" xfId="8185" xr:uid="{16723466-1662-43FE-902D-C6E004F28547}"/>
    <cellStyle name="SAPBEXexcBad9 2 2 11 2" xfId="8186" xr:uid="{F62648D7-9519-417A-9295-B3597BB4A2B2}"/>
    <cellStyle name="SAPBEXexcBad9 2 2 12" xfId="8187" xr:uid="{64D33052-ED37-44EB-BC38-EEC1714F8DA1}"/>
    <cellStyle name="SAPBEXexcBad9 2 2 12 2" xfId="8188" xr:uid="{9C222EA7-A537-4E79-B445-1005F87042ED}"/>
    <cellStyle name="SAPBEXexcBad9 2 2 13" xfId="8189" xr:uid="{FC229359-24B6-45FA-B5CA-03906F37EDD5}"/>
    <cellStyle name="SAPBEXexcBad9 2 2 13 2" xfId="8190" xr:uid="{53D8EA49-12E4-4C82-AF48-88E8E6F36491}"/>
    <cellStyle name="SAPBEXexcBad9 2 2 14" xfId="8191" xr:uid="{656E3CBC-60E4-4AB1-A1C1-AECA116B46D2}"/>
    <cellStyle name="SAPBEXexcBad9 2 2 14 2" xfId="8192" xr:uid="{C57FF416-21DB-43F0-BCEF-ED5A9B12696C}"/>
    <cellStyle name="SAPBEXexcBad9 2 2 15" xfId="8193" xr:uid="{0D87668C-5CCD-46EE-81E7-D4CC32C93406}"/>
    <cellStyle name="SAPBEXexcBad9 2 2 15 2" xfId="8194" xr:uid="{8610F151-437C-4AF4-A543-E92C55F092D9}"/>
    <cellStyle name="SAPBEXexcBad9 2 2 16" xfId="8195" xr:uid="{220B2885-CECB-4B0F-9427-EBC6D63A0CAB}"/>
    <cellStyle name="SAPBEXexcBad9 2 2 16 2" xfId="8196" xr:uid="{DE08ABB3-E8E9-4FAC-B6FC-414A275A859F}"/>
    <cellStyle name="SAPBEXexcBad9 2 2 17" xfId="8197" xr:uid="{4EB87394-7871-4682-833E-238563F3A7FF}"/>
    <cellStyle name="SAPBEXexcBad9 2 2 17 2" xfId="8198" xr:uid="{8E19C53B-7CF7-42EF-ABB3-F3BCC17B1C32}"/>
    <cellStyle name="SAPBEXexcBad9 2 2 18" xfId="8199" xr:uid="{F43CFBA8-2E6F-4544-BE8E-AE487E165A86}"/>
    <cellStyle name="SAPBEXexcBad9 2 2 2" xfId="8200" xr:uid="{A42ABC4A-68EC-4D14-891A-9A0931B26D42}"/>
    <cellStyle name="SAPBEXexcBad9 2 2 2 10" xfId="8201" xr:uid="{D3CE1B5A-786B-4DE4-90DF-9072C9CE93EB}"/>
    <cellStyle name="SAPBEXexcBad9 2 2 2 10 2" xfId="8202" xr:uid="{D448B3F5-0A3D-4F7A-B20E-9C3C3DA7A900}"/>
    <cellStyle name="SAPBEXexcBad9 2 2 2 11" xfId="8203" xr:uid="{0042E761-8396-46D8-98DA-C7D79A0AD44E}"/>
    <cellStyle name="SAPBEXexcBad9 2 2 2 11 2" xfId="8204" xr:uid="{19C50713-69F6-4511-88A4-2E8C6B443055}"/>
    <cellStyle name="SAPBEXexcBad9 2 2 2 12" xfId="8205" xr:uid="{927DF044-AC3F-4EC5-AD84-B741A45311A3}"/>
    <cellStyle name="SAPBEXexcBad9 2 2 2 12 2" xfId="8206" xr:uid="{BA18D60C-654D-4B03-AED3-A72F327B4FB1}"/>
    <cellStyle name="SAPBEXexcBad9 2 2 2 13" xfId="8207" xr:uid="{55D577D5-83C5-409A-A06E-C43FC47D33C8}"/>
    <cellStyle name="SAPBEXexcBad9 2 2 2 13 2" xfId="8208" xr:uid="{73809829-553D-4B67-809B-065E0DEB7E95}"/>
    <cellStyle name="SAPBEXexcBad9 2 2 2 14" xfId="8209" xr:uid="{F64E8EF1-BB60-473C-AC58-885EA60288A1}"/>
    <cellStyle name="SAPBEXexcBad9 2 2 2 14 2" xfId="8210" xr:uid="{418D963E-58A0-4305-B99F-A629CC7C4F91}"/>
    <cellStyle name="SAPBEXexcBad9 2 2 2 15" xfId="8211" xr:uid="{35D8E176-10F2-41B3-B2E4-3157BC19E088}"/>
    <cellStyle name="SAPBEXexcBad9 2 2 2 15 2" xfId="8212" xr:uid="{C3699547-E822-45A6-98B0-F7EFA5132FA1}"/>
    <cellStyle name="SAPBEXexcBad9 2 2 2 16" xfId="8213" xr:uid="{94408429-A73B-40F5-848C-60C1FC7B5CA2}"/>
    <cellStyle name="SAPBEXexcBad9 2 2 2 2" xfId="8214" xr:uid="{33E9C6E2-DEBD-4AE1-8859-15D841949B3E}"/>
    <cellStyle name="SAPBEXexcBad9 2 2 2 2 2" xfId="8215" xr:uid="{C2765B7E-2834-47E3-9619-17C0FC66A4A8}"/>
    <cellStyle name="SAPBEXexcBad9 2 2 2 3" xfId="8216" xr:uid="{41526E32-243F-473F-B479-A726B9E94D13}"/>
    <cellStyle name="SAPBEXexcBad9 2 2 2 3 2" xfId="8217" xr:uid="{0736B4C4-0303-4798-8F24-361305F976C5}"/>
    <cellStyle name="SAPBEXexcBad9 2 2 2 4" xfId="8218" xr:uid="{B4C3558F-AB14-437B-9AFD-ECE35470449F}"/>
    <cellStyle name="SAPBEXexcBad9 2 2 2 4 2" xfId="8219" xr:uid="{3A818079-061F-4596-B6FB-602D8025A153}"/>
    <cellStyle name="SAPBEXexcBad9 2 2 2 5" xfId="8220" xr:uid="{BC378B41-FF58-44A1-89E7-445F155832C5}"/>
    <cellStyle name="SAPBEXexcBad9 2 2 2 5 2" xfId="8221" xr:uid="{A204EAFF-2768-4640-86BB-F7DB49E02DFA}"/>
    <cellStyle name="SAPBEXexcBad9 2 2 2 6" xfId="8222" xr:uid="{436B5427-4694-49A9-AB5F-851AFD7B80B7}"/>
    <cellStyle name="SAPBEXexcBad9 2 2 2 6 2" xfId="8223" xr:uid="{90365496-6AC4-4727-822C-DD4E7B25F0F7}"/>
    <cellStyle name="SAPBEXexcBad9 2 2 2 7" xfId="8224" xr:uid="{B0E10D3B-0413-4A14-AA09-378EEE987256}"/>
    <cellStyle name="SAPBEXexcBad9 2 2 2 7 2" xfId="8225" xr:uid="{ACD7B113-2D67-444C-A4D8-1B05CED2433F}"/>
    <cellStyle name="SAPBEXexcBad9 2 2 2 8" xfId="8226" xr:uid="{111E1BD8-0471-4866-BA11-1D6642DD60A7}"/>
    <cellStyle name="SAPBEXexcBad9 2 2 2 8 2" xfId="8227" xr:uid="{34D04CD6-F63D-47FB-82D7-043E77AD907A}"/>
    <cellStyle name="SAPBEXexcBad9 2 2 2 9" xfId="8228" xr:uid="{8F7A96C0-BD04-48DF-A1D6-B0A62BADFB53}"/>
    <cellStyle name="SAPBEXexcBad9 2 2 2 9 2" xfId="8229" xr:uid="{BC82D3FC-2F3E-4958-95B3-499734CF9EE9}"/>
    <cellStyle name="SAPBEXexcBad9 2 2 3" xfId="8230" xr:uid="{540B9A3F-5D0D-45B9-B1C4-1406F127AD9F}"/>
    <cellStyle name="SAPBEXexcBad9 2 2 3 10" xfId="8231" xr:uid="{1062A436-B9A7-4DFC-A5BD-7597BD7B4217}"/>
    <cellStyle name="SAPBEXexcBad9 2 2 3 10 2" xfId="8232" xr:uid="{EB87CD65-0907-4164-B453-8DE0B597328A}"/>
    <cellStyle name="SAPBEXexcBad9 2 2 3 11" xfId="8233" xr:uid="{9DC88018-27AE-4724-8807-2CBB1C7271A0}"/>
    <cellStyle name="SAPBEXexcBad9 2 2 3 11 2" xfId="8234" xr:uid="{8F8DD842-0DE3-4C0C-B043-BE47F548F819}"/>
    <cellStyle name="SAPBEXexcBad9 2 2 3 12" xfId="8235" xr:uid="{D1D7DBF6-40FB-4BDA-9091-6EE17620DACA}"/>
    <cellStyle name="SAPBEXexcBad9 2 2 3 12 2" xfId="8236" xr:uid="{EF53CD54-8A5F-4720-BB41-52A969CD4BD5}"/>
    <cellStyle name="SAPBEXexcBad9 2 2 3 13" xfId="8237" xr:uid="{56EC5ADF-30CF-4331-B9DD-D553151B957A}"/>
    <cellStyle name="SAPBEXexcBad9 2 2 3 13 2" xfId="8238" xr:uid="{CFEF50A0-F11F-4302-B722-56D50AD65CC7}"/>
    <cellStyle name="SAPBEXexcBad9 2 2 3 14" xfId="8239" xr:uid="{AC1F0282-AD75-4A85-B9FB-A1E083C1E87C}"/>
    <cellStyle name="SAPBEXexcBad9 2 2 3 14 2" xfId="8240" xr:uid="{B5420926-022E-4A3B-81F3-435CEB9A4DA0}"/>
    <cellStyle name="SAPBEXexcBad9 2 2 3 15" xfId="8241" xr:uid="{FBAFC288-8184-450D-A43E-510AF4E156FF}"/>
    <cellStyle name="SAPBEXexcBad9 2 2 3 15 2" xfId="8242" xr:uid="{06EF7B24-73F7-45EB-8AA5-5A9928425839}"/>
    <cellStyle name="SAPBEXexcBad9 2 2 3 16" xfId="8243" xr:uid="{55378E11-B58E-4314-9CA4-7C9EB763ED03}"/>
    <cellStyle name="SAPBEXexcBad9 2 2 3 2" xfId="8244" xr:uid="{94F47D4A-CA11-4A79-8FFF-474BC418AEF0}"/>
    <cellStyle name="SAPBEXexcBad9 2 2 3 2 2" xfId="8245" xr:uid="{959262D3-C112-4C51-AEF6-8A32A63B8D2D}"/>
    <cellStyle name="SAPBEXexcBad9 2 2 3 3" xfId="8246" xr:uid="{68BC5172-FD12-4FEC-926D-616176945322}"/>
    <cellStyle name="SAPBEXexcBad9 2 2 3 3 2" xfId="8247" xr:uid="{471A5043-83AE-4272-AE30-B018E63047DD}"/>
    <cellStyle name="SAPBEXexcBad9 2 2 3 4" xfId="8248" xr:uid="{DF9F6D6B-3B9A-4403-AA67-0C215CB41AA3}"/>
    <cellStyle name="SAPBEXexcBad9 2 2 3 4 2" xfId="8249" xr:uid="{FD6E6BEE-5FF7-443D-8C73-7F07EF241E5D}"/>
    <cellStyle name="SAPBEXexcBad9 2 2 3 5" xfId="8250" xr:uid="{EE2B27C1-6837-4C13-82FA-6EBB3D864CE5}"/>
    <cellStyle name="SAPBEXexcBad9 2 2 3 5 2" xfId="8251" xr:uid="{DD771ACB-316B-42A8-BABF-1258043980F8}"/>
    <cellStyle name="SAPBEXexcBad9 2 2 3 6" xfId="8252" xr:uid="{8A4B2DC1-A0A9-4DB9-A520-DFB4029E5EC6}"/>
    <cellStyle name="SAPBEXexcBad9 2 2 3 6 2" xfId="8253" xr:uid="{BBDC5A86-1334-475E-B10B-8FDF3887019A}"/>
    <cellStyle name="SAPBEXexcBad9 2 2 3 7" xfId="8254" xr:uid="{B65BB97F-E5D5-4717-9071-08CF254EAA1F}"/>
    <cellStyle name="SAPBEXexcBad9 2 2 3 7 2" xfId="8255" xr:uid="{9E6CE06D-E1BC-4A9E-BB56-2F586D5F8784}"/>
    <cellStyle name="SAPBEXexcBad9 2 2 3 8" xfId="8256" xr:uid="{77A6CE56-5400-480F-9BF9-9D212AE7B46B}"/>
    <cellStyle name="SAPBEXexcBad9 2 2 3 8 2" xfId="8257" xr:uid="{26EE4F93-5D76-4BD4-96A9-1917CBC27A10}"/>
    <cellStyle name="SAPBEXexcBad9 2 2 3 9" xfId="8258" xr:uid="{551F2771-F490-4225-9DF7-E8CC3DFBEA9F}"/>
    <cellStyle name="SAPBEXexcBad9 2 2 3 9 2" xfId="8259" xr:uid="{2EF844F6-9C86-4801-B4C1-06524CAE5541}"/>
    <cellStyle name="SAPBEXexcBad9 2 2 4" xfId="8260" xr:uid="{9EBC78FF-03F5-495B-A103-0070957C3E92}"/>
    <cellStyle name="SAPBEXexcBad9 2 2 4 2" xfId="8261" xr:uid="{04E077DB-622E-46B3-97FA-49DF9A5486A8}"/>
    <cellStyle name="SAPBEXexcBad9 2 2 5" xfId="8262" xr:uid="{14854246-68C6-42DE-9415-73AD90FAB9D7}"/>
    <cellStyle name="SAPBEXexcBad9 2 2 5 2" xfId="8263" xr:uid="{559E9218-CAA7-40DA-A9F2-969154A64ED7}"/>
    <cellStyle name="SAPBEXexcBad9 2 2 6" xfId="8264" xr:uid="{50C02EB2-D064-4572-A2F0-606C0F4CF604}"/>
    <cellStyle name="SAPBEXexcBad9 2 2 6 2" xfId="8265" xr:uid="{BB025DBB-86A5-4F3A-AE86-630B9053B120}"/>
    <cellStyle name="SAPBEXexcBad9 2 2 7" xfId="8266" xr:uid="{D07C2BC8-7107-4F2F-BB10-E31E67467815}"/>
    <cellStyle name="SAPBEXexcBad9 2 2 7 2" xfId="8267" xr:uid="{AF9C02E8-D5A9-4B77-9E7D-5B4F4546A2BB}"/>
    <cellStyle name="SAPBEXexcBad9 2 2 8" xfId="8268" xr:uid="{84781106-B27D-44CF-8E7F-7FFE380F6F98}"/>
    <cellStyle name="SAPBEXexcBad9 2 2 8 2" xfId="8269" xr:uid="{7FA1D5F6-B075-4695-88B4-BED9B29A3390}"/>
    <cellStyle name="SAPBEXexcBad9 2 2 9" xfId="8270" xr:uid="{A809D863-1864-42C6-9E45-DDDE1F655E81}"/>
    <cellStyle name="SAPBEXexcBad9 2 2 9 2" xfId="8271" xr:uid="{1E5B8F6C-4E3B-4C44-8176-C362F3887B60}"/>
    <cellStyle name="SAPBEXexcBad9 2 3" xfId="8272" xr:uid="{A5095BC0-C2BB-4091-8485-EEA5AB6A229D}"/>
    <cellStyle name="SAPBEXexcBad9 2 3 10" xfId="8273" xr:uid="{C302D28D-FD9E-483C-83CE-EB9858BCF996}"/>
    <cellStyle name="SAPBEXexcBad9 2 3 10 2" xfId="8274" xr:uid="{FAE07BD6-6358-4AF4-8F40-AB990E4D2AFB}"/>
    <cellStyle name="SAPBEXexcBad9 2 3 11" xfId="8275" xr:uid="{D8554732-869C-4373-8A48-D1250BA69B46}"/>
    <cellStyle name="SAPBEXexcBad9 2 3 11 2" xfId="8276" xr:uid="{92B5F407-477C-4C2C-B36D-7877F97CEA3C}"/>
    <cellStyle name="SAPBEXexcBad9 2 3 12" xfId="8277" xr:uid="{0AE7F520-35BF-4F19-BFC2-8D4C1A4FD113}"/>
    <cellStyle name="SAPBEXexcBad9 2 3 12 2" xfId="8278" xr:uid="{740BAC17-BB2A-4721-BE4B-37B489CEB08C}"/>
    <cellStyle name="SAPBEXexcBad9 2 3 13" xfId="8279" xr:uid="{4B31824D-0EA8-4F0D-A806-0639AF636A00}"/>
    <cellStyle name="SAPBEXexcBad9 2 3 13 2" xfId="8280" xr:uid="{E9D02025-9B1A-4F5A-9E47-A4053118CF40}"/>
    <cellStyle name="SAPBEXexcBad9 2 3 14" xfId="8281" xr:uid="{E5B67593-64FC-4AB4-924D-AC0617D0E41A}"/>
    <cellStyle name="SAPBEXexcBad9 2 3 14 2" xfId="8282" xr:uid="{62CB5129-08E8-403A-8666-9BCF1620CB16}"/>
    <cellStyle name="SAPBEXexcBad9 2 3 15" xfId="8283" xr:uid="{D688C16A-3074-46AE-AA75-05E7BB30E8DC}"/>
    <cellStyle name="SAPBEXexcBad9 2 3 15 2" xfId="8284" xr:uid="{92CC3946-5F77-49F0-A702-C6450ABB1B73}"/>
    <cellStyle name="SAPBEXexcBad9 2 3 16" xfId="8285" xr:uid="{10AA2198-8E2D-4268-B178-E308C2BF24A1}"/>
    <cellStyle name="SAPBEXexcBad9 2 3 16 2" xfId="8286" xr:uid="{757147BF-96F1-4CF8-AF16-4114B7B1AEE5}"/>
    <cellStyle name="SAPBEXexcBad9 2 3 17" xfId="8287" xr:uid="{52DA327A-F315-4BE4-885A-224506EF8503}"/>
    <cellStyle name="SAPBEXexcBad9 2 3 17 2" xfId="8288" xr:uid="{EDD71805-4717-4DC7-8F2A-0F1ECF488F50}"/>
    <cellStyle name="SAPBEXexcBad9 2 3 18" xfId="8289" xr:uid="{B21A05C1-F09D-4595-834A-C4A960524429}"/>
    <cellStyle name="SAPBEXexcBad9 2 3 2" xfId="8290" xr:uid="{535734CC-A041-42E6-8E39-75074ADEE0CD}"/>
    <cellStyle name="SAPBEXexcBad9 2 3 2 10" xfId="8291" xr:uid="{1EC89D1D-7305-4B57-9987-696CAEE8C9D2}"/>
    <cellStyle name="SAPBEXexcBad9 2 3 2 10 2" xfId="8292" xr:uid="{9B1E1193-B5D9-4EFF-9E4D-791EE88CD13A}"/>
    <cellStyle name="SAPBEXexcBad9 2 3 2 11" xfId="8293" xr:uid="{FEA45D37-118C-4501-A5A5-97D8AF9F036F}"/>
    <cellStyle name="SAPBEXexcBad9 2 3 2 11 2" xfId="8294" xr:uid="{DEE9590F-C26A-44C3-B024-F56E596FD8ED}"/>
    <cellStyle name="SAPBEXexcBad9 2 3 2 12" xfId="8295" xr:uid="{3B5763E5-7F54-4838-89F9-21176898CBD9}"/>
    <cellStyle name="SAPBEXexcBad9 2 3 2 12 2" xfId="8296" xr:uid="{7DEC20AE-046D-4243-95DC-B248688B02FA}"/>
    <cellStyle name="SAPBEXexcBad9 2 3 2 13" xfId="8297" xr:uid="{6D691F7A-BA07-4640-BE2E-F50FF5B7DF43}"/>
    <cellStyle name="SAPBEXexcBad9 2 3 2 13 2" xfId="8298" xr:uid="{40F9BC49-819D-455C-9D84-2BBA622EF801}"/>
    <cellStyle name="SAPBEXexcBad9 2 3 2 14" xfId="8299" xr:uid="{6E38FB4A-F18D-4554-86A6-B43BABC298B5}"/>
    <cellStyle name="SAPBEXexcBad9 2 3 2 14 2" xfId="8300" xr:uid="{1FFBC954-B54F-417C-AF9F-E32BF84485C9}"/>
    <cellStyle name="SAPBEXexcBad9 2 3 2 15" xfId="8301" xr:uid="{D3432FE2-E90C-4830-8691-F4B26132A465}"/>
    <cellStyle name="SAPBEXexcBad9 2 3 2 15 2" xfId="8302" xr:uid="{B59B42F9-9A1B-4901-84C7-7A3C82575972}"/>
    <cellStyle name="SAPBEXexcBad9 2 3 2 16" xfId="8303" xr:uid="{7F219E10-D107-4E3A-ADD5-2BC24CCD1D2A}"/>
    <cellStyle name="SAPBEXexcBad9 2 3 2 2" xfId="8304" xr:uid="{5BEB5ABA-77E6-49B2-9EE8-C6CB6219B1B0}"/>
    <cellStyle name="SAPBEXexcBad9 2 3 2 2 2" xfId="8305" xr:uid="{F312FDFB-1DBC-4CD6-A1A9-4D297F9EB9F3}"/>
    <cellStyle name="SAPBEXexcBad9 2 3 2 3" xfId="8306" xr:uid="{4512AE48-6540-4516-A988-25553B78C293}"/>
    <cellStyle name="SAPBEXexcBad9 2 3 2 3 2" xfId="8307" xr:uid="{A778B91D-6CA5-45F9-BF2C-D28042DBF573}"/>
    <cellStyle name="SAPBEXexcBad9 2 3 2 4" xfId="8308" xr:uid="{F0FAA972-DE82-472C-A6EB-53B71022E547}"/>
    <cellStyle name="SAPBEXexcBad9 2 3 2 4 2" xfId="8309" xr:uid="{61C95CCB-13A0-4BF3-ABD3-C8E72B57C968}"/>
    <cellStyle name="SAPBEXexcBad9 2 3 2 5" xfId="8310" xr:uid="{6782D206-8879-4C00-BCCA-25E119EB8199}"/>
    <cellStyle name="SAPBEXexcBad9 2 3 2 5 2" xfId="8311" xr:uid="{F405BC0B-ADA8-4768-85FF-5305A6107519}"/>
    <cellStyle name="SAPBEXexcBad9 2 3 2 6" xfId="8312" xr:uid="{4B3AF44F-59E9-4F39-B513-A85728AE5D72}"/>
    <cellStyle name="SAPBEXexcBad9 2 3 2 6 2" xfId="8313" xr:uid="{936E0B5F-3657-4329-9595-678690D77976}"/>
    <cellStyle name="SAPBEXexcBad9 2 3 2 7" xfId="8314" xr:uid="{0E6BC201-91BB-4ACD-B2B9-E7B933E5A0F7}"/>
    <cellStyle name="SAPBEXexcBad9 2 3 2 7 2" xfId="8315" xr:uid="{1774F29F-CF15-48B8-86E2-55FB891A011C}"/>
    <cellStyle name="SAPBEXexcBad9 2 3 2 8" xfId="8316" xr:uid="{02AEE709-DBD3-4DB5-B771-EB5E69C88AE2}"/>
    <cellStyle name="SAPBEXexcBad9 2 3 2 8 2" xfId="8317" xr:uid="{4A6CE6D9-4C9E-4CE9-9366-8264CA8723D2}"/>
    <cellStyle name="SAPBEXexcBad9 2 3 2 9" xfId="8318" xr:uid="{5C46FD80-3A6E-40F3-8278-7A5A3E94DCE0}"/>
    <cellStyle name="SAPBEXexcBad9 2 3 2 9 2" xfId="8319" xr:uid="{D7F63664-E869-4DC4-802B-B5B4DC007E81}"/>
    <cellStyle name="SAPBEXexcBad9 2 3 3" xfId="8320" xr:uid="{52E7C718-CF25-402A-8277-37B3C992935E}"/>
    <cellStyle name="SAPBEXexcBad9 2 3 3 10" xfId="8321" xr:uid="{4546BE4D-AE2C-4734-8639-6B38BAF9EE68}"/>
    <cellStyle name="SAPBEXexcBad9 2 3 3 10 2" xfId="8322" xr:uid="{4A12348C-9079-4789-BD42-AA67626065E8}"/>
    <cellStyle name="SAPBEXexcBad9 2 3 3 11" xfId="8323" xr:uid="{D1D91498-84D0-4C56-B63E-6B4E9FDB2E76}"/>
    <cellStyle name="SAPBEXexcBad9 2 3 3 11 2" xfId="8324" xr:uid="{6A4F847C-CDE9-463D-BCA1-C8F4EA4BA3BA}"/>
    <cellStyle name="SAPBEXexcBad9 2 3 3 12" xfId="8325" xr:uid="{8AEDE483-A496-4EC1-B464-8A96B58551D1}"/>
    <cellStyle name="SAPBEXexcBad9 2 3 3 12 2" xfId="8326" xr:uid="{9FAC0191-C430-46B0-8022-73FE2DC4459F}"/>
    <cellStyle name="SAPBEXexcBad9 2 3 3 13" xfId="8327" xr:uid="{16507BDC-3701-4AE9-849C-159DA4E405CC}"/>
    <cellStyle name="SAPBEXexcBad9 2 3 3 13 2" xfId="8328" xr:uid="{974378EF-F3FD-4CB2-9D87-AA8FD1274275}"/>
    <cellStyle name="SAPBEXexcBad9 2 3 3 14" xfId="8329" xr:uid="{DB1C34E9-7E2C-40F6-8FE4-3FD45659A692}"/>
    <cellStyle name="SAPBEXexcBad9 2 3 3 14 2" xfId="8330" xr:uid="{7B94E5B7-B0A7-4775-90AB-9772423A3FDC}"/>
    <cellStyle name="SAPBEXexcBad9 2 3 3 15" xfId="8331" xr:uid="{6E9A2B1A-C193-4C24-9206-69665C82B693}"/>
    <cellStyle name="SAPBEXexcBad9 2 3 3 15 2" xfId="8332" xr:uid="{2EEEF2E2-A101-4C09-81F4-707803B739DB}"/>
    <cellStyle name="SAPBEXexcBad9 2 3 3 16" xfId="8333" xr:uid="{E70A2B6A-C6E7-4615-A3B9-09E648695613}"/>
    <cellStyle name="SAPBEXexcBad9 2 3 3 2" xfId="8334" xr:uid="{BEEEB9D4-DBCA-4D8F-A60A-8BE23CA203EF}"/>
    <cellStyle name="SAPBEXexcBad9 2 3 3 2 2" xfId="8335" xr:uid="{FCB88B26-902C-42EE-A6F5-B924330C6B7E}"/>
    <cellStyle name="SAPBEXexcBad9 2 3 3 3" xfId="8336" xr:uid="{E1570D2E-A08A-4DD1-85B1-3769C0567D5B}"/>
    <cellStyle name="SAPBEXexcBad9 2 3 3 3 2" xfId="8337" xr:uid="{E6F16FF3-CB4A-4DEA-BD28-8DF440ED69A1}"/>
    <cellStyle name="SAPBEXexcBad9 2 3 3 4" xfId="8338" xr:uid="{2353AC46-1653-48B7-B3A3-F90E64845E43}"/>
    <cellStyle name="SAPBEXexcBad9 2 3 3 4 2" xfId="8339" xr:uid="{400C047E-C573-4E04-8B99-CDAC5C4AD060}"/>
    <cellStyle name="SAPBEXexcBad9 2 3 3 5" xfId="8340" xr:uid="{80284812-BEDE-4C7A-9471-4270A7BA7D97}"/>
    <cellStyle name="SAPBEXexcBad9 2 3 3 5 2" xfId="8341" xr:uid="{B1DC305C-74AF-4451-A288-BC021D62CA56}"/>
    <cellStyle name="SAPBEXexcBad9 2 3 3 6" xfId="8342" xr:uid="{2309922A-672E-4136-A5E2-AD804E583EF6}"/>
    <cellStyle name="SAPBEXexcBad9 2 3 3 6 2" xfId="8343" xr:uid="{9A370562-A63A-4054-802E-B96A2BEDA4E8}"/>
    <cellStyle name="SAPBEXexcBad9 2 3 3 7" xfId="8344" xr:uid="{998F15FB-7F24-4187-844C-623A8FA68658}"/>
    <cellStyle name="SAPBEXexcBad9 2 3 3 7 2" xfId="8345" xr:uid="{FD62D35A-B2C7-421E-A573-6E9F9A93B9E5}"/>
    <cellStyle name="SAPBEXexcBad9 2 3 3 8" xfId="8346" xr:uid="{CF367565-A24D-4BD6-A485-A27CCD619C16}"/>
    <cellStyle name="SAPBEXexcBad9 2 3 3 8 2" xfId="8347" xr:uid="{FF7B0936-7758-479D-8611-9C38D8CB49B8}"/>
    <cellStyle name="SAPBEXexcBad9 2 3 3 9" xfId="8348" xr:uid="{D87F7CDF-9839-48F7-A194-0FC1936AF352}"/>
    <cellStyle name="SAPBEXexcBad9 2 3 3 9 2" xfId="8349" xr:uid="{4D5529A4-9829-4230-855D-E708BA283B63}"/>
    <cellStyle name="SAPBEXexcBad9 2 3 4" xfId="8350" xr:uid="{C8D64D79-FD50-49C0-A57F-1D00223A2A99}"/>
    <cellStyle name="SAPBEXexcBad9 2 3 4 2" xfId="8351" xr:uid="{E6270B52-AAAF-42AD-B46D-7DD7C01792C1}"/>
    <cellStyle name="SAPBEXexcBad9 2 3 5" xfId="8352" xr:uid="{DB168968-B23A-4CD6-A1F6-90696B385156}"/>
    <cellStyle name="SAPBEXexcBad9 2 3 5 2" xfId="8353" xr:uid="{AC0EE0B5-76B9-4038-B8E5-46590D922F28}"/>
    <cellStyle name="SAPBEXexcBad9 2 3 6" xfId="8354" xr:uid="{8693E502-543A-46FF-B3E2-A1ADA6565F7C}"/>
    <cellStyle name="SAPBEXexcBad9 2 3 6 2" xfId="8355" xr:uid="{83C19F41-2F57-4AE8-B644-9BE4104CD862}"/>
    <cellStyle name="SAPBEXexcBad9 2 3 7" xfId="8356" xr:uid="{30137F46-3859-4219-BADA-E0475906C5CA}"/>
    <cellStyle name="SAPBEXexcBad9 2 3 7 2" xfId="8357" xr:uid="{5B1AABCC-EEB6-43B6-BB90-F717340E6984}"/>
    <cellStyle name="SAPBEXexcBad9 2 3 8" xfId="8358" xr:uid="{4650C91A-834C-4003-AE33-3C70C4E29926}"/>
    <cellStyle name="SAPBEXexcBad9 2 3 8 2" xfId="8359" xr:uid="{D2E3EB67-8759-4666-9938-148B6EEF6C61}"/>
    <cellStyle name="SAPBEXexcBad9 2 3 9" xfId="8360" xr:uid="{A63D41F2-998B-4210-A049-070DE05B678B}"/>
    <cellStyle name="SAPBEXexcBad9 2 3 9 2" xfId="8361" xr:uid="{CE1ED719-22E6-41C6-A5A2-EA99FF0C9FAE}"/>
    <cellStyle name="SAPBEXexcBad9 2 4" xfId="8362" xr:uid="{C25DDC84-4773-4C3A-B94F-6BFD1DB5FF6B}"/>
    <cellStyle name="SAPBEXexcBad9 2 4 10" xfId="8363" xr:uid="{08A9B58A-2DF3-4A78-AA56-203266A3DC14}"/>
    <cellStyle name="SAPBEXexcBad9 2 4 10 2" xfId="8364" xr:uid="{DB02F9A9-4AAB-44EF-80A5-0ACF116DAFA9}"/>
    <cellStyle name="SAPBEXexcBad9 2 4 11" xfId="8365" xr:uid="{AF820A33-6EC1-409C-A1F3-BB458B01AABF}"/>
    <cellStyle name="SAPBEXexcBad9 2 4 11 2" xfId="8366" xr:uid="{E48C966C-3C33-4B98-97F4-A1450C868439}"/>
    <cellStyle name="SAPBEXexcBad9 2 4 12" xfId="8367" xr:uid="{71BCD77C-051F-43A7-9473-97C79C4A9252}"/>
    <cellStyle name="SAPBEXexcBad9 2 4 12 2" xfId="8368" xr:uid="{0C85CB53-80C9-42EF-AD1F-02682D2F237D}"/>
    <cellStyle name="SAPBEXexcBad9 2 4 13" xfId="8369" xr:uid="{4AC4E04D-110C-4BD1-8FC2-5391222DCC52}"/>
    <cellStyle name="SAPBEXexcBad9 2 4 13 2" xfId="8370" xr:uid="{89F67F5D-E054-4070-A0F0-46289B750361}"/>
    <cellStyle name="SAPBEXexcBad9 2 4 14" xfId="8371" xr:uid="{040825B1-3F12-4240-A4E0-715EA0AEBB35}"/>
    <cellStyle name="SAPBEXexcBad9 2 4 14 2" xfId="8372" xr:uid="{8A6556EF-BDDB-4257-B127-1DA90A62458D}"/>
    <cellStyle name="SAPBEXexcBad9 2 4 15" xfId="8373" xr:uid="{7A97B58C-3146-40F0-B6C5-AAC61584ECE7}"/>
    <cellStyle name="SAPBEXexcBad9 2 4 15 2" xfId="8374" xr:uid="{62F4CF01-8AE1-4DD7-84A1-9B98649FBFD0}"/>
    <cellStyle name="SAPBEXexcBad9 2 4 16" xfId="8375" xr:uid="{2830C4F7-6CBB-4441-8430-1CEDC417C558}"/>
    <cellStyle name="SAPBEXexcBad9 2 4 16 2" xfId="8376" xr:uid="{ED959517-FAF8-4B4E-B1AE-ABB61CB22C7D}"/>
    <cellStyle name="SAPBEXexcBad9 2 4 17" xfId="8377" xr:uid="{F70D6FA2-C289-4902-8EFD-240E8E04D460}"/>
    <cellStyle name="SAPBEXexcBad9 2 4 17 2" xfId="8378" xr:uid="{0F5954FE-2E03-401A-9085-2D6661941839}"/>
    <cellStyle name="SAPBEXexcBad9 2 4 18" xfId="8379" xr:uid="{C089ADBF-270F-4380-A517-BB5E1BD1C24F}"/>
    <cellStyle name="SAPBEXexcBad9 2 4 2" xfId="8380" xr:uid="{0718C030-CE20-42A3-A677-5402ADEA7975}"/>
    <cellStyle name="SAPBEXexcBad9 2 4 2 10" xfId="8381" xr:uid="{0ABC32DB-E6A1-4B4C-BB36-47D43A0F377F}"/>
    <cellStyle name="SAPBEXexcBad9 2 4 2 10 2" xfId="8382" xr:uid="{14CE4FFC-EA19-4491-8263-7EA3343A8F94}"/>
    <cellStyle name="SAPBEXexcBad9 2 4 2 11" xfId="8383" xr:uid="{6E6A9A09-D4AC-4755-8241-641C56073C57}"/>
    <cellStyle name="SAPBEXexcBad9 2 4 2 11 2" xfId="8384" xr:uid="{53D48D16-2F76-4C77-A921-D52CF3D202F3}"/>
    <cellStyle name="SAPBEXexcBad9 2 4 2 12" xfId="8385" xr:uid="{0826EEFD-0199-42BA-8F7B-03C13A71E11E}"/>
    <cellStyle name="SAPBEXexcBad9 2 4 2 12 2" xfId="8386" xr:uid="{0B880087-4B65-4B87-8E79-C3DB76FAD116}"/>
    <cellStyle name="SAPBEXexcBad9 2 4 2 13" xfId="8387" xr:uid="{A8652A66-0AF9-4817-9544-30BD570936E1}"/>
    <cellStyle name="SAPBEXexcBad9 2 4 2 13 2" xfId="8388" xr:uid="{364344C3-2810-4FE7-BB27-88AEE72B45EA}"/>
    <cellStyle name="SAPBEXexcBad9 2 4 2 14" xfId="8389" xr:uid="{1CAD841F-0830-4DDD-BE97-537ABBA99FB6}"/>
    <cellStyle name="SAPBEXexcBad9 2 4 2 14 2" xfId="8390" xr:uid="{A71EEAA5-FFD4-4630-8F4B-922260B6683D}"/>
    <cellStyle name="SAPBEXexcBad9 2 4 2 15" xfId="8391" xr:uid="{BBA0C69A-3196-462B-958E-8204E07C9950}"/>
    <cellStyle name="SAPBEXexcBad9 2 4 2 15 2" xfId="8392" xr:uid="{425846BF-3D57-43E0-9B03-72D25441DAEF}"/>
    <cellStyle name="SAPBEXexcBad9 2 4 2 16" xfId="8393" xr:uid="{5C9F2C17-B1DD-4114-A988-463DBAE8DA49}"/>
    <cellStyle name="SAPBEXexcBad9 2 4 2 2" xfId="8394" xr:uid="{4A04EC6E-FA28-44D5-B483-AF63DE402D88}"/>
    <cellStyle name="SAPBEXexcBad9 2 4 2 2 2" xfId="8395" xr:uid="{1ADC8611-D153-4A47-8427-45D9F726DB9E}"/>
    <cellStyle name="SAPBEXexcBad9 2 4 2 3" xfId="8396" xr:uid="{C07DA921-459A-4EFC-A36E-1C0CD6450139}"/>
    <cellStyle name="SAPBEXexcBad9 2 4 2 3 2" xfId="8397" xr:uid="{3365FAB8-1285-47BC-9221-0659A4DF0C31}"/>
    <cellStyle name="SAPBEXexcBad9 2 4 2 4" xfId="8398" xr:uid="{10E44D85-690B-4B95-A51E-63EF30FFD0CB}"/>
    <cellStyle name="SAPBEXexcBad9 2 4 2 4 2" xfId="8399" xr:uid="{DDF1B1C2-CE7E-48CC-BB71-CAC20953A42A}"/>
    <cellStyle name="SAPBEXexcBad9 2 4 2 5" xfId="8400" xr:uid="{04DBAF50-527D-4E0E-BB63-4F9A59A42142}"/>
    <cellStyle name="SAPBEXexcBad9 2 4 2 5 2" xfId="8401" xr:uid="{AB4EC57B-9D56-4BB2-AB75-6F963FBAFE19}"/>
    <cellStyle name="SAPBEXexcBad9 2 4 2 6" xfId="8402" xr:uid="{5A6E73EA-7426-4532-AE1E-10D446A1F219}"/>
    <cellStyle name="SAPBEXexcBad9 2 4 2 6 2" xfId="8403" xr:uid="{76593C1F-3E63-4924-83E5-632652F84306}"/>
    <cellStyle name="SAPBEXexcBad9 2 4 2 7" xfId="8404" xr:uid="{FC583737-4106-4C75-B550-2DD97D9DF142}"/>
    <cellStyle name="SAPBEXexcBad9 2 4 2 7 2" xfId="8405" xr:uid="{EFB12D7A-6230-4DBD-8DD0-3950849C431A}"/>
    <cellStyle name="SAPBEXexcBad9 2 4 2 8" xfId="8406" xr:uid="{20AF0627-850D-4F5F-9FA0-F7B94A4DFB13}"/>
    <cellStyle name="SAPBEXexcBad9 2 4 2 8 2" xfId="8407" xr:uid="{4B26BEA9-0045-40FB-8160-ED4D6153E291}"/>
    <cellStyle name="SAPBEXexcBad9 2 4 2 9" xfId="8408" xr:uid="{8609A866-1260-48C2-B241-70F4FCCDAC89}"/>
    <cellStyle name="SAPBEXexcBad9 2 4 2 9 2" xfId="8409" xr:uid="{478A95F0-3F27-4737-A9FF-87284FD5031E}"/>
    <cellStyle name="SAPBEXexcBad9 2 4 3" xfId="8410" xr:uid="{3BF3150A-A816-4271-B20F-D48866B7B7FB}"/>
    <cellStyle name="SAPBEXexcBad9 2 4 3 10" xfId="8411" xr:uid="{077C9559-A0DE-43A4-A36D-86AFA46F6C89}"/>
    <cellStyle name="SAPBEXexcBad9 2 4 3 10 2" xfId="8412" xr:uid="{BA3162C8-8563-4B77-AECC-129E823B3E97}"/>
    <cellStyle name="SAPBEXexcBad9 2 4 3 11" xfId="8413" xr:uid="{F5B84C09-A72F-4098-963D-8CD6C8976589}"/>
    <cellStyle name="SAPBEXexcBad9 2 4 3 11 2" xfId="8414" xr:uid="{9268EBB9-D554-48AF-8270-1FDDF65FA6AE}"/>
    <cellStyle name="SAPBEXexcBad9 2 4 3 12" xfId="8415" xr:uid="{EAEFF2CD-6532-4875-B5E1-8FC181D2F0EF}"/>
    <cellStyle name="SAPBEXexcBad9 2 4 3 12 2" xfId="8416" xr:uid="{246A7091-9BAF-41A9-8E57-AC53FA26B879}"/>
    <cellStyle name="SAPBEXexcBad9 2 4 3 13" xfId="8417" xr:uid="{6980A54A-49AB-4E8B-9946-CA1F7D0301C0}"/>
    <cellStyle name="SAPBEXexcBad9 2 4 3 13 2" xfId="8418" xr:uid="{9D7E65F8-BE92-4A8F-9A6F-BA4FB398C849}"/>
    <cellStyle name="SAPBEXexcBad9 2 4 3 14" xfId="8419" xr:uid="{7F05393B-0283-4372-B567-9A46105A1A74}"/>
    <cellStyle name="SAPBEXexcBad9 2 4 3 14 2" xfId="8420" xr:uid="{6AEE26EE-92E6-4F3B-A3CC-8AF55D215C77}"/>
    <cellStyle name="SAPBEXexcBad9 2 4 3 15" xfId="8421" xr:uid="{766015E7-63E6-4CEC-B440-A37E15E3A3DD}"/>
    <cellStyle name="SAPBEXexcBad9 2 4 3 15 2" xfId="8422" xr:uid="{08E901EB-DF30-4577-B50F-2ADAF5BC18C6}"/>
    <cellStyle name="SAPBEXexcBad9 2 4 3 16" xfId="8423" xr:uid="{76B2EBC9-0BB9-48A8-B0A9-7B1428541CE0}"/>
    <cellStyle name="SAPBEXexcBad9 2 4 3 2" xfId="8424" xr:uid="{6EB87D40-E600-4D98-A050-5E0A722B0827}"/>
    <cellStyle name="SAPBEXexcBad9 2 4 3 2 2" xfId="8425" xr:uid="{D26B2C02-2A3B-4D70-8DAC-A7AAA120AB1B}"/>
    <cellStyle name="SAPBEXexcBad9 2 4 3 3" xfId="8426" xr:uid="{A64C0B52-898D-41AD-A901-7A039BD69510}"/>
    <cellStyle name="SAPBEXexcBad9 2 4 3 3 2" xfId="8427" xr:uid="{AE0FE50F-0566-4B45-A273-10269781F647}"/>
    <cellStyle name="SAPBEXexcBad9 2 4 3 4" xfId="8428" xr:uid="{B3C0C603-03C6-4F3E-B67B-EBFC32CD2202}"/>
    <cellStyle name="SAPBEXexcBad9 2 4 3 4 2" xfId="8429" xr:uid="{FED43F27-C393-4ACA-817A-498E18F0F454}"/>
    <cellStyle name="SAPBEXexcBad9 2 4 3 5" xfId="8430" xr:uid="{7A854836-7DF8-40FC-8A24-4C6806F7DAFB}"/>
    <cellStyle name="SAPBEXexcBad9 2 4 3 5 2" xfId="8431" xr:uid="{93CCE49D-012F-4F66-B73D-B6B72D99C223}"/>
    <cellStyle name="SAPBEXexcBad9 2 4 3 6" xfId="8432" xr:uid="{41CE93F1-2191-4022-B720-64AE7904D220}"/>
    <cellStyle name="SAPBEXexcBad9 2 4 3 6 2" xfId="8433" xr:uid="{6159EC4C-972F-4C01-BE1F-DDDA577360CE}"/>
    <cellStyle name="SAPBEXexcBad9 2 4 3 7" xfId="8434" xr:uid="{625C26DF-493D-48FC-A7C9-9938EEE08F98}"/>
    <cellStyle name="SAPBEXexcBad9 2 4 3 7 2" xfId="8435" xr:uid="{7D0C46EB-DA45-4979-88C7-B546FB289C94}"/>
    <cellStyle name="SAPBEXexcBad9 2 4 3 8" xfId="8436" xr:uid="{D126FBB3-533D-4093-8CD9-9C5DA3163663}"/>
    <cellStyle name="SAPBEXexcBad9 2 4 3 8 2" xfId="8437" xr:uid="{3BFAB61C-7572-42AC-B08F-69527075CA07}"/>
    <cellStyle name="SAPBEXexcBad9 2 4 3 9" xfId="8438" xr:uid="{CDD023A5-A3B0-41EF-9F84-401916FD8B8D}"/>
    <cellStyle name="SAPBEXexcBad9 2 4 3 9 2" xfId="8439" xr:uid="{54357C24-289E-4568-A534-BE284BCF0A79}"/>
    <cellStyle name="SAPBEXexcBad9 2 4 4" xfId="8440" xr:uid="{E4B1881C-DCF9-40F9-AA97-A37B96448160}"/>
    <cellStyle name="SAPBEXexcBad9 2 4 4 2" xfId="8441" xr:uid="{F6CD1ED8-B7BB-4ACE-9F72-FE5885D1F52A}"/>
    <cellStyle name="SAPBEXexcBad9 2 4 5" xfId="8442" xr:uid="{42D093E1-EE89-4DE1-9FE8-2DC38C73FC91}"/>
    <cellStyle name="SAPBEXexcBad9 2 4 5 2" xfId="8443" xr:uid="{F16FC74E-359B-4858-9E17-267A8A75FDE2}"/>
    <cellStyle name="SAPBEXexcBad9 2 4 6" xfId="8444" xr:uid="{619C5567-4F3A-4450-93DB-825976778AE3}"/>
    <cellStyle name="SAPBEXexcBad9 2 4 6 2" xfId="8445" xr:uid="{0C112F8A-767B-463E-840F-83CE8A2C523F}"/>
    <cellStyle name="SAPBEXexcBad9 2 4 7" xfId="8446" xr:uid="{2C34BCA5-825D-4F74-BA2F-FDAA4E58FA27}"/>
    <cellStyle name="SAPBEXexcBad9 2 4 7 2" xfId="8447" xr:uid="{086637E4-7076-46D6-90AE-B1900365A6E3}"/>
    <cellStyle name="SAPBEXexcBad9 2 4 8" xfId="8448" xr:uid="{13D8A95E-B866-4282-BB49-FB8DCEBA9744}"/>
    <cellStyle name="SAPBEXexcBad9 2 4 8 2" xfId="8449" xr:uid="{EDC58B1F-523B-4721-ACE3-C3A6031A24B1}"/>
    <cellStyle name="SAPBEXexcBad9 2 4 9" xfId="8450" xr:uid="{804150DE-84DA-4DD4-B73C-49EC2EEF4D94}"/>
    <cellStyle name="SAPBEXexcBad9 2 4 9 2" xfId="8451" xr:uid="{9B768EF4-6F6A-46D0-8FDB-F96C36FED3A8}"/>
    <cellStyle name="SAPBEXexcBad9 2 5" xfId="8452" xr:uid="{71346879-069F-4449-A9BF-2D2DE139DEF6}"/>
    <cellStyle name="SAPBEXexcBad9 2 5 2" xfId="8453" xr:uid="{30E550E8-D25A-446C-A476-D4A2BEBC1E1E}"/>
    <cellStyle name="SAPBEXexcBad9 2 6" xfId="8454" xr:uid="{2F41F702-C162-4120-8FDA-59E7CDCCA19C}"/>
    <cellStyle name="SAPBEXexcBad9 2 6 2" xfId="8455" xr:uid="{7E371223-1D4D-4D67-8B5D-02D5BCB5D969}"/>
    <cellStyle name="SAPBEXexcBad9 2 7" xfId="8456" xr:uid="{3D3D2956-B60B-4595-ADF8-E0B3FAC4E383}"/>
    <cellStyle name="SAPBEXexcBad9 2 7 2" xfId="8457" xr:uid="{2D1C1189-9939-4E16-880B-F73BB98B977C}"/>
    <cellStyle name="SAPBEXexcBad9 2 8" xfId="8458" xr:uid="{DEF56572-4AF4-4ACD-AC8B-A83CB2B8C909}"/>
    <cellStyle name="SAPBEXexcBad9 2 8 2" xfId="8459" xr:uid="{A6D8C534-26E8-46C9-A1E3-F358E67E9A1C}"/>
    <cellStyle name="SAPBEXexcBad9 2 9" xfId="8460" xr:uid="{0A7127A4-9BD9-4E99-9EAC-7FF39ECC35DC}"/>
    <cellStyle name="SAPBEXexcBad9 2 9 2" xfId="8461" xr:uid="{B5FA8791-DBBC-4BDF-9A86-1D0F944088BF}"/>
    <cellStyle name="SAPBEXexcBad9 2_T1 ANSP" xfId="8162" xr:uid="{0E7196D9-D13A-4008-AFE9-6035A5FAE53E}"/>
    <cellStyle name="SAPBEXexcBad9 20" xfId="8462" xr:uid="{37D9CB0F-CFFF-46F1-9F7C-1F4D6B35FE5F}"/>
    <cellStyle name="SAPBEXexcBad9 3" xfId="1506" xr:uid="{00000000-0005-0000-0000-000068050000}"/>
    <cellStyle name="SAPBEXexcBad9 3 10" xfId="8464" xr:uid="{8A833E1A-E05B-46ED-8AF3-DEB29C85F34B}"/>
    <cellStyle name="SAPBEXexcBad9 3 10 2" xfId="8465" xr:uid="{0DC15B32-88FA-4F4C-BF25-A1798762E0E6}"/>
    <cellStyle name="SAPBEXexcBad9 3 11" xfId="8466" xr:uid="{7B801863-5BDA-4053-8C1C-74C7FDAE0537}"/>
    <cellStyle name="SAPBEXexcBad9 3 11 2" xfId="8467" xr:uid="{74619990-985B-4FC2-90F3-C8796EFCAD59}"/>
    <cellStyle name="SAPBEXexcBad9 3 12" xfId="8468" xr:uid="{8F986017-516D-419F-B8FD-06CFE9C20871}"/>
    <cellStyle name="SAPBEXexcBad9 3 12 2" xfId="8469" xr:uid="{9910C361-0D5C-471A-A5D0-C2A41E5DA0B2}"/>
    <cellStyle name="SAPBEXexcBad9 3 13" xfId="8470" xr:uid="{20801732-33D0-458E-BA22-CFEE3A2B1BC7}"/>
    <cellStyle name="SAPBEXexcBad9 3 13 2" xfId="8471" xr:uid="{32742B22-D565-4527-9EAE-3D4CD9238257}"/>
    <cellStyle name="SAPBEXexcBad9 3 14" xfId="8472" xr:uid="{FA5DCB98-903F-4175-8ED6-6167F14BD9BE}"/>
    <cellStyle name="SAPBEXexcBad9 3 14 2" xfId="8473" xr:uid="{253D4E31-97DD-4636-969A-D55738943867}"/>
    <cellStyle name="SAPBEXexcBad9 3 15" xfId="8474" xr:uid="{E491D37C-DDCA-44AF-8EF0-56CF03806958}"/>
    <cellStyle name="SAPBEXexcBad9 3 15 2" xfId="8475" xr:uid="{DC8A86BE-446D-43EC-9FC1-0297260DC01E}"/>
    <cellStyle name="SAPBEXexcBad9 3 16" xfId="8476" xr:uid="{F9D1513D-734A-4A44-AA8B-A8FC065DC4FB}"/>
    <cellStyle name="SAPBEXexcBad9 3 16 2" xfId="8477" xr:uid="{BEEB0F6D-654A-4B9D-8919-4C0ED2447FC0}"/>
    <cellStyle name="SAPBEXexcBad9 3 17" xfId="8478" xr:uid="{9BBBAA25-7F2D-4CA9-910C-B50B588B0A20}"/>
    <cellStyle name="SAPBEXexcBad9 3 17 2" xfId="8479" xr:uid="{F9578A86-92C6-4443-B571-24A313FD0820}"/>
    <cellStyle name="SAPBEXexcBad9 3 18" xfId="8480" xr:uid="{5462A403-CECA-4B19-97A6-E99A471F38B3}"/>
    <cellStyle name="SAPBEXexcBad9 3 2" xfId="8481" xr:uid="{93C66676-3B24-479A-90CC-2518B819F491}"/>
    <cellStyle name="SAPBEXexcBad9 3 2 10" xfId="8482" xr:uid="{61BFC3D0-2C02-4EF5-8898-956DF47432DB}"/>
    <cellStyle name="SAPBEXexcBad9 3 2 10 2" xfId="8483" xr:uid="{8D360BB0-8F6B-4A3A-A9F7-17BD0BE7B8CC}"/>
    <cellStyle name="SAPBEXexcBad9 3 2 11" xfId="8484" xr:uid="{E2D0612E-F558-4C35-AE3A-D9C398A21EB3}"/>
    <cellStyle name="SAPBEXexcBad9 3 2 11 2" xfId="8485" xr:uid="{FC2AE445-9D1F-46FD-84E2-AF61C4C0835A}"/>
    <cellStyle name="SAPBEXexcBad9 3 2 12" xfId="8486" xr:uid="{C96AF967-D735-4BDC-A6F8-BBCAE07C72A6}"/>
    <cellStyle name="SAPBEXexcBad9 3 2 12 2" xfId="8487" xr:uid="{ED914CCB-4D41-4144-8A03-6449ACDC7C6C}"/>
    <cellStyle name="SAPBEXexcBad9 3 2 13" xfId="8488" xr:uid="{ADAC01EC-CBAC-4018-AF1B-79B670F02D38}"/>
    <cellStyle name="SAPBEXexcBad9 3 2 13 2" xfId="8489" xr:uid="{D5C58A39-4FEF-4817-B6A1-78651990AFC5}"/>
    <cellStyle name="SAPBEXexcBad9 3 2 14" xfId="8490" xr:uid="{D110ED7C-954B-47FF-9CA4-47EC9313A553}"/>
    <cellStyle name="SAPBEXexcBad9 3 2 14 2" xfId="8491" xr:uid="{D8843E00-1D59-472A-AE1A-C7E36EBBAADB}"/>
    <cellStyle name="SAPBEXexcBad9 3 2 15" xfId="8492" xr:uid="{298CD82E-E94F-470E-BC11-060BEB87DECB}"/>
    <cellStyle name="SAPBEXexcBad9 3 2 15 2" xfId="8493" xr:uid="{FA9BEF5F-15E2-45EE-8902-02D21482F70B}"/>
    <cellStyle name="SAPBEXexcBad9 3 2 16" xfId="8494" xr:uid="{76717308-D5D4-4ED1-B921-DFFF9578FA1C}"/>
    <cellStyle name="SAPBEXexcBad9 3 2 2" xfId="8495" xr:uid="{6FAA0FB6-9D20-4D3B-8848-C81C627ADC90}"/>
    <cellStyle name="SAPBEXexcBad9 3 2 2 2" xfId="8496" xr:uid="{24DC6715-A815-43BF-BF7F-D7297B649918}"/>
    <cellStyle name="SAPBEXexcBad9 3 2 3" xfId="8497" xr:uid="{D6B2F978-3B29-44D0-B0D2-37898C240ED7}"/>
    <cellStyle name="SAPBEXexcBad9 3 2 3 2" xfId="8498" xr:uid="{6AA5A4C9-8240-4EF6-B4B0-C37AD6B44AA4}"/>
    <cellStyle name="SAPBEXexcBad9 3 2 4" xfId="8499" xr:uid="{B0B3E0B4-1105-40E4-841A-A29A9D191F21}"/>
    <cellStyle name="SAPBEXexcBad9 3 2 4 2" xfId="8500" xr:uid="{4BB7E1D0-DDF2-4C86-9E58-AB1B3EAE680A}"/>
    <cellStyle name="SAPBEXexcBad9 3 2 5" xfId="8501" xr:uid="{DA4D8294-F840-45EA-8ED2-816EC68B4C29}"/>
    <cellStyle name="SAPBEXexcBad9 3 2 5 2" xfId="8502" xr:uid="{15206194-F7F9-447A-98E1-B80CC0BF8D85}"/>
    <cellStyle name="SAPBEXexcBad9 3 2 6" xfId="8503" xr:uid="{C1885A83-79DC-454D-9A47-6A4226915AEF}"/>
    <cellStyle name="SAPBEXexcBad9 3 2 6 2" xfId="8504" xr:uid="{FDE85F46-8E5C-4EB3-8FD0-23DF058DA785}"/>
    <cellStyle name="SAPBEXexcBad9 3 2 7" xfId="8505" xr:uid="{142B62EF-06BD-4E11-B7AC-2DFF4549B84D}"/>
    <cellStyle name="SAPBEXexcBad9 3 2 7 2" xfId="8506" xr:uid="{AC163F3F-4273-45BB-A398-E39AF9AA9DD6}"/>
    <cellStyle name="SAPBEXexcBad9 3 2 8" xfId="8507" xr:uid="{05E8C7EB-507E-4F9A-9875-74DA04E4E4D2}"/>
    <cellStyle name="SAPBEXexcBad9 3 2 8 2" xfId="8508" xr:uid="{22E64891-49B7-469B-9373-3DF2B7B2E919}"/>
    <cellStyle name="SAPBEXexcBad9 3 2 9" xfId="8509" xr:uid="{02BF3DE5-4D8B-450B-BEDD-B4BD0A954690}"/>
    <cellStyle name="SAPBEXexcBad9 3 2 9 2" xfId="8510" xr:uid="{13BFE8BD-E2FE-481A-8DF5-2DB42E11B1F8}"/>
    <cellStyle name="SAPBEXexcBad9 3 3" xfId="8511" xr:uid="{4652E68F-7936-457D-81C7-21E637FB6A31}"/>
    <cellStyle name="SAPBEXexcBad9 3 3 10" xfId="8512" xr:uid="{3DCC2072-56F1-4F28-983A-B400C9F08DD9}"/>
    <cellStyle name="SAPBEXexcBad9 3 3 10 2" xfId="8513" xr:uid="{E24EBB02-C6A5-46AF-B97F-4FAFEF67864F}"/>
    <cellStyle name="SAPBEXexcBad9 3 3 11" xfId="8514" xr:uid="{950A754A-5FCC-4E52-B2B4-56E5D5D3FA24}"/>
    <cellStyle name="SAPBEXexcBad9 3 3 11 2" xfId="8515" xr:uid="{A736D03C-9F64-4145-BD5C-C42AD2B38849}"/>
    <cellStyle name="SAPBEXexcBad9 3 3 12" xfId="8516" xr:uid="{53F7BEAA-FAE1-4518-97A1-A04D0B450EF4}"/>
    <cellStyle name="SAPBEXexcBad9 3 3 12 2" xfId="8517" xr:uid="{7D926ED9-3342-4D8A-8943-4FD62E31E9B8}"/>
    <cellStyle name="SAPBEXexcBad9 3 3 13" xfId="8518" xr:uid="{34BFDEF6-4860-4BFC-8059-C6C7B74165DE}"/>
    <cellStyle name="SAPBEXexcBad9 3 3 13 2" xfId="8519" xr:uid="{ACE01E9A-CABB-49FA-8625-C3A33AD42E7E}"/>
    <cellStyle name="SAPBEXexcBad9 3 3 14" xfId="8520" xr:uid="{8B703956-1D61-4237-9A94-F9C7BAA9257B}"/>
    <cellStyle name="SAPBEXexcBad9 3 3 14 2" xfId="8521" xr:uid="{84255DF4-3616-4060-BEEF-34D1C2801BE4}"/>
    <cellStyle name="SAPBEXexcBad9 3 3 15" xfId="8522" xr:uid="{EE09AE8B-9137-4897-8DEC-F1A9DC02A85F}"/>
    <cellStyle name="SAPBEXexcBad9 3 3 15 2" xfId="8523" xr:uid="{657BE5D7-04BA-4A76-AC0A-92626F855527}"/>
    <cellStyle name="SAPBEXexcBad9 3 3 16" xfId="8524" xr:uid="{52F7FA71-1358-4DC5-AF8B-14F8B5B3FBFB}"/>
    <cellStyle name="SAPBEXexcBad9 3 3 2" xfId="8525" xr:uid="{124B399B-94BD-4041-90EE-29CDC0E8436B}"/>
    <cellStyle name="SAPBEXexcBad9 3 3 2 2" xfId="8526" xr:uid="{3630C827-13F6-437D-93E1-5C45D37A1557}"/>
    <cellStyle name="SAPBEXexcBad9 3 3 3" xfId="8527" xr:uid="{E236115C-2A6F-49F7-84A0-811D2D40F478}"/>
    <cellStyle name="SAPBEXexcBad9 3 3 3 2" xfId="8528" xr:uid="{AEF9F77E-31A1-4A42-88C6-11CFD2CA0B7B}"/>
    <cellStyle name="SAPBEXexcBad9 3 3 4" xfId="8529" xr:uid="{5F23A4E5-7668-4D6E-B83C-576D7C9736E5}"/>
    <cellStyle name="SAPBEXexcBad9 3 3 4 2" xfId="8530" xr:uid="{90346ACA-0D59-4CCC-AB9B-24C92558A043}"/>
    <cellStyle name="SAPBEXexcBad9 3 3 5" xfId="8531" xr:uid="{4F9FA1DF-1C47-48B2-9C11-665C3DF9D0F8}"/>
    <cellStyle name="SAPBEXexcBad9 3 3 5 2" xfId="8532" xr:uid="{5D342C74-83B6-46F6-A0B6-C443751382FF}"/>
    <cellStyle name="SAPBEXexcBad9 3 3 6" xfId="8533" xr:uid="{D7C8B72D-B238-4CFE-B7AE-EB7092DE8F30}"/>
    <cellStyle name="SAPBEXexcBad9 3 3 6 2" xfId="8534" xr:uid="{4B8AD3A3-21CC-4134-9460-B0CF9BD81F51}"/>
    <cellStyle name="SAPBEXexcBad9 3 3 7" xfId="8535" xr:uid="{9ECB9868-FE31-4D06-98C7-4BC26C5B639F}"/>
    <cellStyle name="SAPBEXexcBad9 3 3 7 2" xfId="8536" xr:uid="{CAA46767-890A-46DE-A5C6-6ED49E65DEB2}"/>
    <cellStyle name="SAPBEXexcBad9 3 3 8" xfId="8537" xr:uid="{2725881A-7514-4A06-816A-AC633BDF05D6}"/>
    <cellStyle name="SAPBEXexcBad9 3 3 8 2" xfId="8538" xr:uid="{6D4C7CBC-30A9-4DE3-B2DE-745D87FE8A4F}"/>
    <cellStyle name="SAPBEXexcBad9 3 3 9" xfId="8539" xr:uid="{688955AF-D0E6-490F-A8E9-380B85B165DE}"/>
    <cellStyle name="SAPBEXexcBad9 3 3 9 2" xfId="8540" xr:uid="{B1D1EF3B-7D3E-4F57-9AA5-20260EEB53EF}"/>
    <cellStyle name="SAPBEXexcBad9 3 4" xfId="8541" xr:uid="{2C75047D-A162-4D43-B77E-C5E397953D6B}"/>
    <cellStyle name="SAPBEXexcBad9 3 4 2" xfId="8542" xr:uid="{EF67802B-C63D-4105-835E-10B3AC2804ED}"/>
    <cellStyle name="SAPBEXexcBad9 3 5" xfId="8543" xr:uid="{0668AA79-193A-4602-9546-E69CA927C75D}"/>
    <cellStyle name="SAPBEXexcBad9 3 5 2" xfId="8544" xr:uid="{3C114410-F49A-43D6-AD7E-5482DB2F08B8}"/>
    <cellStyle name="SAPBEXexcBad9 3 6" xfId="8545" xr:uid="{BCDA42F0-AAD2-4F51-A9F7-3813F1D36F4C}"/>
    <cellStyle name="SAPBEXexcBad9 3 6 2" xfId="8546" xr:uid="{15328D30-7F0C-4364-8224-1F0C188332F9}"/>
    <cellStyle name="SAPBEXexcBad9 3 7" xfId="8547" xr:uid="{B9EDE601-0A2A-4DFC-B087-9F5648C72100}"/>
    <cellStyle name="SAPBEXexcBad9 3 7 2" xfId="8548" xr:uid="{7F92368D-3B2C-4342-8914-079F4A4A2CF3}"/>
    <cellStyle name="SAPBEXexcBad9 3 8" xfId="8549" xr:uid="{71DDD30B-666A-433F-A5ED-E78A4C87E77B}"/>
    <cellStyle name="SAPBEXexcBad9 3 8 2" xfId="8550" xr:uid="{C3DF0B00-4963-4804-86BA-50FE03BC4D2D}"/>
    <cellStyle name="SAPBEXexcBad9 3 9" xfId="8551" xr:uid="{E2EFE180-B85D-4819-BE26-A811A2026516}"/>
    <cellStyle name="SAPBEXexcBad9 3 9 2" xfId="8552" xr:uid="{9CDF1180-ED81-46F9-89D7-BDAD8CDAAF75}"/>
    <cellStyle name="SAPBEXexcBad9 3_T1 ANSP" xfId="8463" xr:uid="{235583F9-F530-4A00-B50F-AD0DAF919F58}"/>
    <cellStyle name="SAPBEXexcBad9 4" xfId="8553" xr:uid="{57DBCB6C-A758-49BE-907E-0E3C2ED0D4B9}"/>
    <cellStyle name="SAPBEXexcBad9 4 10" xfId="8554" xr:uid="{C98BBB69-C2D2-4700-806D-72C2362867F4}"/>
    <cellStyle name="SAPBEXexcBad9 4 10 2" xfId="8555" xr:uid="{C22A3208-CFE6-4DFA-95CE-43285B2F7643}"/>
    <cellStyle name="SAPBEXexcBad9 4 11" xfId="8556" xr:uid="{9E667AB2-046A-49D6-9BE7-71A0C5D14E45}"/>
    <cellStyle name="SAPBEXexcBad9 4 11 2" xfId="8557" xr:uid="{EDA03CA1-BB2E-4EA3-933B-DE1BEA2CC312}"/>
    <cellStyle name="SAPBEXexcBad9 4 12" xfId="8558" xr:uid="{A3889D8C-BE7B-400C-8E03-ED1641B97FC3}"/>
    <cellStyle name="SAPBEXexcBad9 4 12 2" xfId="8559" xr:uid="{35FA384F-CD9C-4D0F-B32D-C0AF10229308}"/>
    <cellStyle name="SAPBEXexcBad9 4 13" xfId="8560" xr:uid="{AC23CBD2-4447-4E3B-9BF8-DF91FA91E30F}"/>
    <cellStyle name="SAPBEXexcBad9 4 13 2" xfId="8561" xr:uid="{91996098-FB85-48E2-9AFA-5E4339B3B672}"/>
    <cellStyle name="SAPBEXexcBad9 4 14" xfId="8562" xr:uid="{B5ED6F0E-C726-44EE-9EBE-9C66770C362D}"/>
    <cellStyle name="SAPBEXexcBad9 4 14 2" xfId="8563" xr:uid="{94E02DFD-E381-4F92-A054-A2BE4588608B}"/>
    <cellStyle name="SAPBEXexcBad9 4 15" xfId="8564" xr:uid="{FDD556D3-55F9-42FF-B530-FF397F7FDD08}"/>
    <cellStyle name="SAPBEXexcBad9 4 15 2" xfId="8565" xr:uid="{AFDB4D09-BB79-4062-A3FA-6D921C30FD01}"/>
    <cellStyle name="SAPBEXexcBad9 4 16" xfId="8566" xr:uid="{1563EFF9-EBB1-49AD-9666-E07920CC961E}"/>
    <cellStyle name="SAPBEXexcBad9 4 16 2" xfId="8567" xr:uid="{5ACDA8FB-4056-45B7-A0A4-48BE96EF95CB}"/>
    <cellStyle name="SAPBEXexcBad9 4 17" xfId="8568" xr:uid="{4C3A7AED-327A-4B4D-83D1-3BA5C0F160C9}"/>
    <cellStyle name="SAPBEXexcBad9 4 17 2" xfId="8569" xr:uid="{CF06947E-817D-4A54-9E3D-42CE349694E1}"/>
    <cellStyle name="SAPBEXexcBad9 4 18" xfId="8570" xr:uid="{AB170190-9F15-43EA-9A0D-CA5382396A6D}"/>
    <cellStyle name="SAPBEXexcBad9 4 2" xfId="8571" xr:uid="{73E9ED54-15F4-4B6B-A3DF-69E2E9F279FE}"/>
    <cellStyle name="SAPBEXexcBad9 4 2 10" xfId="8572" xr:uid="{DA482F64-BE57-4BE6-9039-6A84342D65F5}"/>
    <cellStyle name="SAPBEXexcBad9 4 2 10 2" xfId="8573" xr:uid="{DA216335-613E-4F5A-834C-6FBF77D68209}"/>
    <cellStyle name="SAPBEXexcBad9 4 2 11" xfId="8574" xr:uid="{A64C6BAA-D9A6-40CB-9206-F7E46B295968}"/>
    <cellStyle name="SAPBEXexcBad9 4 2 11 2" xfId="8575" xr:uid="{AB3D15CD-E0E2-438E-AC74-D5A0B4446B92}"/>
    <cellStyle name="SAPBEXexcBad9 4 2 12" xfId="8576" xr:uid="{3168B4BB-7576-403B-88CB-9EBED70561F3}"/>
    <cellStyle name="SAPBEXexcBad9 4 2 12 2" xfId="8577" xr:uid="{2965E5BE-7111-41F1-B97E-0271829AEF4B}"/>
    <cellStyle name="SAPBEXexcBad9 4 2 13" xfId="8578" xr:uid="{B876E0EE-71C2-4128-B552-3845FE13F014}"/>
    <cellStyle name="SAPBEXexcBad9 4 2 13 2" xfId="8579" xr:uid="{4A4F6B3E-8B9F-4CF2-A3C2-2E6998FE5017}"/>
    <cellStyle name="SAPBEXexcBad9 4 2 14" xfId="8580" xr:uid="{2F029AA9-1361-472F-90CB-82925E4BFE84}"/>
    <cellStyle name="SAPBEXexcBad9 4 2 14 2" xfId="8581" xr:uid="{E32A6392-432F-4BBD-9AC7-906A26C33F38}"/>
    <cellStyle name="SAPBEXexcBad9 4 2 15" xfId="8582" xr:uid="{F2D37415-9ACE-4509-95F3-2C3DD43A4F07}"/>
    <cellStyle name="SAPBEXexcBad9 4 2 15 2" xfId="8583" xr:uid="{B3585668-93D9-4C18-95D5-EE51E938F7D7}"/>
    <cellStyle name="SAPBEXexcBad9 4 2 16" xfId="8584" xr:uid="{4A4C9E5A-446B-4433-BF91-E24FF725940B}"/>
    <cellStyle name="SAPBEXexcBad9 4 2 2" xfId="8585" xr:uid="{8E48DA2C-3A95-45FA-A21B-B33ABDEE982D}"/>
    <cellStyle name="SAPBEXexcBad9 4 2 2 2" xfId="8586" xr:uid="{BB21622D-169E-468D-8008-2390ECDE2C38}"/>
    <cellStyle name="SAPBEXexcBad9 4 2 3" xfId="8587" xr:uid="{DA7D96C7-3481-402B-8B04-EB5F64E57551}"/>
    <cellStyle name="SAPBEXexcBad9 4 2 3 2" xfId="8588" xr:uid="{D0D8DFF2-CB13-41DF-A3D2-8C682DB35AB2}"/>
    <cellStyle name="SAPBEXexcBad9 4 2 4" xfId="8589" xr:uid="{6BCCB56E-0115-49E4-8A04-ADAEAD4DA203}"/>
    <cellStyle name="SAPBEXexcBad9 4 2 4 2" xfId="8590" xr:uid="{A388875C-A38C-4114-ACFC-3A7E35A4402E}"/>
    <cellStyle name="SAPBEXexcBad9 4 2 5" xfId="8591" xr:uid="{813373CB-3DFD-44B7-954C-499DC3037023}"/>
    <cellStyle name="SAPBEXexcBad9 4 2 5 2" xfId="8592" xr:uid="{E0721003-AF46-45BE-A942-A2BBC95C2EAF}"/>
    <cellStyle name="SAPBEXexcBad9 4 2 6" xfId="8593" xr:uid="{058A0C45-F01C-4682-A963-F0C2B1F3D6FA}"/>
    <cellStyle name="SAPBEXexcBad9 4 2 6 2" xfId="8594" xr:uid="{BB768E50-DD5C-49F5-9CEB-D152154F2E83}"/>
    <cellStyle name="SAPBEXexcBad9 4 2 7" xfId="8595" xr:uid="{F929A989-5B5E-4A3D-96A8-7514592B3A04}"/>
    <cellStyle name="SAPBEXexcBad9 4 2 7 2" xfId="8596" xr:uid="{C53804B8-A121-425B-A5A2-978B8D788908}"/>
    <cellStyle name="SAPBEXexcBad9 4 2 8" xfId="8597" xr:uid="{7B154931-358E-4DF4-92B7-CF0ED709E087}"/>
    <cellStyle name="SAPBEXexcBad9 4 2 8 2" xfId="8598" xr:uid="{4CF35CF4-F402-4214-8DB4-DA69DC729E4E}"/>
    <cellStyle name="SAPBEXexcBad9 4 2 9" xfId="8599" xr:uid="{87F9AB2A-1A3C-4B0F-A91F-2F40A422DFD7}"/>
    <cellStyle name="SAPBEXexcBad9 4 2 9 2" xfId="8600" xr:uid="{E8A334BB-4141-4C82-AEB7-7C12A383F63B}"/>
    <cellStyle name="SAPBEXexcBad9 4 3" xfId="8601" xr:uid="{22C6D3CF-2861-43AC-BC1F-969CF9C750E7}"/>
    <cellStyle name="SAPBEXexcBad9 4 3 10" xfId="8602" xr:uid="{B6E30492-9FFA-4095-8912-9C49F027DBA9}"/>
    <cellStyle name="SAPBEXexcBad9 4 3 10 2" xfId="8603" xr:uid="{F76EDD87-2DB7-4441-9777-B4B3CF5DC63D}"/>
    <cellStyle name="SAPBEXexcBad9 4 3 11" xfId="8604" xr:uid="{2E3B2F98-E4F2-4CAB-B1D1-548F50991401}"/>
    <cellStyle name="SAPBEXexcBad9 4 3 11 2" xfId="8605" xr:uid="{5C681F0A-A3DC-4C1B-8C69-B6031B2C9545}"/>
    <cellStyle name="SAPBEXexcBad9 4 3 12" xfId="8606" xr:uid="{60F1E29F-0DCA-4E3C-8362-32619DF34612}"/>
    <cellStyle name="SAPBEXexcBad9 4 3 12 2" xfId="8607" xr:uid="{D7978B2B-E3C7-4C52-A473-8CB7C97B38E6}"/>
    <cellStyle name="SAPBEXexcBad9 4 3 13" xfId="8608" xr:uid="{CD2BF9DF-F1BF-4D10-9E09-1222E7F927AD}"/>
    <cellStyle name="SAPBEXexcBad9 4 3 13 2" xfId="8609" xr:uid="{C273866A-17ED-48DB-AACA-312B0C25E475}"/>
    <cellStyle name="SAPBEXexcBad9 4 3 14" xfId="8610" xr:uid="{B262CF3F-3D13-4AEC-8C47-E91EF8EBEDF9}"/>
    <cellStyle name="SAPBEXexcBad9 4 3 14 2" xfId="8611" xr:uid="{9DEE61F5-2FEB-4976-83EF-1EDB87C8E47A}"/>
    <cellStyle name="SAPBEXexcBad9 4 3 15" xfId="8612" xr:uid="{EE696A5B-C1C1-46CD-B194-844DD31CC1B6}"/>
    <cellStyle name="SAPBEXexcBad9 4 3 15 2" xfId="8613" xr:uid="{77D3D61B-18D4-4B50-B300-024DAD3E426D}"/>
    <cellStyle name="SAPBEXexcBad9 4 3 16" xfId="8614" xr:uid="{C9BCAD1C-D839-42BF-82DA-AEE6AF07A3FE}"/>
    <cellStyle name="SAPBEXexcBad9 4 3 2" xfId="8615" xr:uid="{2593AE9C-0F8F-4336-B4AC-C19BE8D851DD}"/>
    <cellStyle name="SAPBEXexcBad9 4 3 2 2" xfId="8616" xr:uid="{ABE5B953-318C-4873-BFFF-23034599CB02}"/>
    <cellStyle name="SAPBEXexcBad9 4 3 3" xfId="8617" xr:uid="{FD7A5ABA-06FD-4CD7-8C3E-73ECEC0257FD}"/>
    <cellStyle name="SAPBEXexcBad9 4 3 3 2" xfId="8618" xr:uid="{39C0F524-96CE-40C4-B586-2868D222C1BB}"/>
    <cellStyle name="SAPBEXexcBad9 4 3 4" xfId="8619" xr:uid="{2B1B28CF-F46E-45E8-9178-2DA40DF19ADE}"/>
    <cellStyle name="SAPBEXexcBad9 4 3 4 2" xfId="8620" xr:uid="{F20B50F2-8748-4157-AF99-324FB7882165}"/>
    <cellStyle name="SAPBEXexcBad9 4 3 5" xfId="8621" xr:uid="{BCDFB1EF-3DC5-4516-8098-15534B1D9EE2}"/>
    <cellStyle name="SAPBEXexcBad9 4 3 5 2" xfId="8622" xr:uid="{3BFCC322-03D3-43A6-A813-6D38E245969E}"/>
    <cellStyle name="SAPBEXexcBad9 4 3 6" xfId="8623" xr:uid="{98EEE278-8979-40B5-AF2B-C9730CEE4148}"/>
    <cellStyle name="SAPBEXexcBad9 4 3 6 2" xfId="8624" xr:uid="{717EE256-9632-44F7-9402-1755EA778F82}"/>
    <cellStyle name="SAPBEXexcBad9 4 3 7" xfId="8625" xr:uid="{E5E97919-D335-4DE6-84F7-A86E19440103}"/>
    <cellStyle name="SAPBEXexcBad9 4 3 7 2" xfId="8626" xr:uid="{03EAEB11-42C4-4C9E-8956-BFC938575964}"/>
    <cellStyle name="SAPBEXexcBad9 4 3 8" xfId="8627" xr:uid="{3EAC3905-BE91-4DFA-ABA0-D9C205078E22}"/>
    <cellStyle name="SAPBEXexcBad9 4 3 8 2" xfId="8628" xr:uid="{08B5FC91-F346-46E0-85E5-3CCD5128A234}"/>
    <cellStyle name="SAPBEXexcBad9 4 3 9" xfId="8629" xr:uid="{A7D7F6ED-15E3-443C-B77D-6DD91028DD74}"/>
    <cellStyle name="SAPBEXexcBad9 4 3 9 2" xfId="8630" xr:uid="{B1453212-78FD-41B0-A51D-6CEB18FD6484}"/>
    <cellStyle name="SAPBEXexcBad9 4 4" xfId="8631" xr:uid="{A272E886-0F50-45A5-800D-C09A7EB13A2C}"/>
    <cellStyle name="SAPBEXexcBad9 4 4 2" xfId="8632" xr:uid="{F60FCBD7-0F2C-46CB-915E-1A8613CF0CD1}"/>
    <cellStyle name="SAPBEXexcBad9 4 5" xfId="8633" xr:uid="{C029AB62-6635-44CB-B852-8944D1C05249}"/>
    <cellStyle name="SAPBEXexcBad9 4 5 2" xfId="8634" xr:uid="{4D945950-0CED-4EF6-A8F0-A39603681DC4}"/>
    <cellStyle name="SAPBEXexcBad9 4 6" xfId="8635" xr:uid="{FDA0A93A-EE46-4D3C-A713-F2427318B1AD}"/>
    <cellStyle name="SAPBEXexcBad9 4 6 2" xfId="8636" xr:uid="{8CAF37A9-311A-4849-B855-B34F91644B18}"/>
    <cellStyle name="SAPBEXexcBad9 4 7" xfId="8637" xr:uid="{E604CC16-A62C-4B26-A55A-646FEC2C7506}"/>
    <cellStyle name="SAPBEXexcBad9 4 7 2" xfId="8638" xr:uid="{0C2F29F2-23A4-4E68-95A4-E0AC5AC87E4E}"/>
    <cellStyle name="SAPBEXexcBad9 4 8" xfId="8639" xr:uid="{2C52D73E-E022-4E56-AA79-88EE8DFB1BA9}"/>
    <cellStyle name="SAPBEXexcBad9 4 8 2" xfId="8640" xr:uid="{8A12B70D-2159-4EA5-9454-2BED9AB25001}"/>
    <cellStyle name="SAPBEXexcBad9 4 9" xfId="8641" xr:uid="{6C337E7A-BC13-4FD3-ADED-DE3CCCB2ECCA}"/>
    <cellStyle name="SAPBEXexcBad9 4 9 2" xfId="8642" xr:uid="{66913588-0FD8-4398-9D65-35F6BD0B0F15}"/>
    <cellStyle name="SAPBEXexcBad9 5" xfId="8643" xr:uid="{65FBBEFD-28F0-4129-B285-057768FC2D6C}"/>
    <cellStyle name="SAPBEXexcBad9 5 10" xfId="8644" xr:uid="{AA79E80D-1077-4E65-A87B-C7C14E63CD8E}"/>
    <cellStyle name="SAPBEXexcBad9 5 10 2" xfId="8645" xr:uid="{B6F8FFC0-2F50-4A95-BE3A-926D4473451F}"/>
    <cellStyle name="SAPBEXexcBad9 5 11" xfId="8646" xr:uid="{7C804F3F-C595-48F3-B251-EA49D5218978}"/>
    <cellStyle name="SAPBEXexcBad9 5 11 2" xfId="8647" xr:uid="{18167B03-D9A7-489E-A41F-EFC30FFBFD85}"/>
    <cellStyle name="SAPBEXexcBad9 5 12" xfId="8648" xr:uid="{B6B1276E-13C1-4E86-8AD9-9BC90C15195F}"/>
    <cellStyle name="SAPBEXexcBad9 5 12 2" xfId="8649" xr:uid="{BDD4160D-7E06-436A-99C2-2B14B7DDC598}"/>
    <cellStyle name="SAPBEXexcBad9 5 13" xfId="8650" xr:uid="{BB0C5698-95F2-42FE-85FA-5D48D3598783}"/>
    <cellStyle name="SAPBEXexcBad9 5 13 2" xfId="8651" xr:uid="{0F0E62FF-1F3D-4E40-B87A-AE2D7E1FB718}"/>
    <cellStyle name="SAPBEXexcBad9 5 14" xfId="8652" xr:uid="{59C44DE2-1C0B-40CA-A937-46D47F73B87F}"/>
    <cellStyle name="SAPBEXexcBad9 5 14 2" xfId="8653" xr:uid="{296360CD-D42E-4EE4-BBDF-BFE3858530CB}"/>
    <cellStyle name="SAPBEXexcBad9 5 15" xfId="8654" xr:uid="{F05673AC-879A-45A7-9B8E-EC32D979BF89}"/>
    <cellStyle name="SAPBEXexcBad9 5 15 2" xfId="8655" xr:uid="{63E7E7EE-89CC-46AE-B39B-BD54B8021993}"/>
    <cellStyle name="SAPBEXexcBad9 5 16" xfId="8656" xr:uid="{6079AEEF-1C83-4F74-9F1E-5109DA7646C3}"/>
    <cellStyle name="SAPBEXexcBad9 5 2" xfId="8657" xr:uid="{F8C1A764-CE5A-40B5-AE0F-B85FC08511D8}"/>
    <cellStyle name="SAPBEXexcBad9 5 2 2" xfId="8658" xr:uid="{CB23F579-F364-4F45-BA92-A1122037BE8B}"/>
    <cellStyle name="SAPBEXexcBad9 5 3" xfId="8659" xr:uid="{8F052F8B-451E-4374-BB1A-3F7553568B2A}"/>
    <cellStyle name="SAPBEXexcBad9 5 3 2" xfId="8660" xr:uid="{55FF753D-D9CD-4310-8275-7510EBBAD050}"/>
    <cellStyle name="SAPBEXexcBad9 5 4" xfId="8661" xr:uid="{82EAFB77-FDF2-43E9-8819-446B65AD0349}"/>
    <cellStyle name="SAPBEXexcBad9 5 4 2" xfId="8662" xr:uid="{0C676081-811D-46BA-B410-1B31ACC7A4E1}"/>
    <cellStyle name="SAPBEXexcBad9 5 5" xfId="8663" xr:uid="{C0C8F602-9CC8-47CB-8989-43407A30B0D2}"/>
    <cellStyle name="SAPBEXexcBad9 5 5 2" xfId="8664" xr:uid="{8ABDD3B2-BE6D-4706-A4C6-3AA4A899A19E}"/>
    <cellStyle name="SAPBEXexcBad9 5 6" xfId="8665" xr:uid="{A7C3BCDC-0760-446F-AFB2-B56E3667BC2F}"/>
    <cellStyle name="SAPBEXexcBad9 5 6 2" xfId="8666" xr:uid="{6CC3679F-B69D-4222-BC65-B0C853E773C7}"/>
    <cellStyle name="SAPBEXexcBad9 5 7" xfId="8667" xr:uid="{B59E64D6-E6A7-4211-9F22-9C4CB5296756}"/>
    <cellStyle name="SAPBEXexcBad9 5 7 2" xfId="8668" xr:uid="{D42D51AB-8044-4DC6-AE8A-81468BAED6CB}"/>
    <cellStyle name="SAPBEXexcBad9 5 8" xfId="8669" xr:uid="{A6654D12-464E-4AF4-8E3B-290CFA3AF0AE}"/>
    <cellStyle name="SAPBEXexcBad9 5 8 2" xfId="8670" xr:uid="{B531BE21-53A1-4307-B922-13B93202B800}"/>
    <cellStyle name="SAPBEXexcBad9 5 9" xfId="8671" xr:uid="{AD0E8354-7D7F-4D81-9191-114DA5D9402D}"/>
    <cellStyle name="SAPBEXexcBad9 5 9 2" xfId="8672" xr:uid="{71B121F2-8BA2-416F-99BD-EF973962F37D}"/>
    <cellStyle name="SAPBEXexcBad9 6" xfId="8673" xr:uid="{E620C24A-23A0-42A1-99F5-4CE1A539A437}"/>
    <cellStyle name="SAPBEXexcBad9 6 2" xfId="8674" xr:uid="{408A14CC-9E74-41FE-81A3-609C5C4C28E7}"/>
    <cellStyle name="SAPBEXexcBad9 7" xfId="8675" xr:uid="{E2F21863-D7FD-4402-AE0B-084920B6BE04}"/>
    <cellStyle name="SAPBEXexcBad9 7 2" xfId="8676" xr:uid="{2A56AC24-36AD-430A-B721-1178942823C4}"/>
    <cellStyle name="SAPBEXexcBad9 8" xfId="8677" xr:uid="{7AA0E731-8758-4777-B7A3-3E77CAC37F61}"/>
    <cellStyle name="SAPBEXexcBad9 8 2" xfId="8678" xr:uid="{A9FD81FB-9F6A-4E41-8EDF-F8D2745F5F38}"/>
    <cellStyle name="SAPBEXexcBad9 9" xfId="8679" xr:uid="{914A5D76-3973-43F3-92E4-F5DFC2881B3C}"/>
    <cellStyle name="SAPBEXexcBad9 9 2" xfId="8680" xr:uid="{5245C099-1943-40CF-B16B-98B091E9432B}"/>
    <cellStyle name="SAPBEXexcBad9_T1 ANSP" xfId="8141" xr:uid="{D460D95E-5F73-45C8-A585-B0C3CFAAFF76}"/>
    <cellStyle name="SAPBEXexcCritical4" xfId="734" xr:uid="{00000000-0005-0000-0000-000069050000}"/>
    <cellStyle name="SAPBEXexcCritical4 10" xfId="8682" xr:uid="{E49DE403-3779-4244-8405-6AA56D279B25}"/>
    <cellStyle name="SAPBEXexcCritical4 10 2" xfId="8683" xr:uid="{D923B19D-4CAC-4382-86C7-7DA8D95DEA3D}"/>
    <cellStyle name="SAPBEXexcCritical4 11" xfId="8684" xr:uid="{8B481BC6-3EED-469E-A906-04D5CCCDBD91}"/>
    <cellStyle name="SAPBEXexcCritical4 11 2" xfId="8685" xr:uid="{4F3427C3-42F3-415E-BE82-A8749E76067A}"/>
    <cellStyle name="SAPBEXexcCritical4 12" xfId="8686" xr:uid="{7E220AEF-A3D9-4823-BF65-816DC38C79AE}"/>
    <cellStyle name="SAPBEXexcCritical4 12 2" xfId="8687" xr:uid="{7A9CF07D-AF77-4EE1-9A51-27007693C78B}"/>
    <cellStyle name="SAPBEXexcCritical4 13" xfId="8688" xr:uid="{62396239-D820-4532-BBB3-80906379E484}"/>
    <cellStyle name="SAPBEXexcCritical4 13 2" xfId="8689" xr:uid="{502239EF-A36C-44AD-9568-6FD5C0EC6706}"/>
    <cellStyle name="SAPBEXexcCritical4 14" xfId="8690" xr:uid="{7DCCE1E6-AD4A-4745-A9AE-A59F8023B5F6}"/>
    <cellStyle name="SAPBEXexcCritical4 14 2" xfId="8691" xr:uid="{4320ED9C-A522-41BF-B83F-81E94926A19D}"/>
    <cellStyle name="SAPBEXexcCritical4 15" xfId="8692" xr:uid="{E3DECCB4-2D56-4B7D-BDD7-570CE16DE535}"/>
    <cellStyle name="SAPBEXexcCritical4 15 2" xfId="8693" xr:uid="{8D4ACBAE-E996-46FD-9347-FD85465EF6DF}"/>
    <cellStyle name="SAPBEXexcCritical4 16" xfId="8694" xr:uid="{83B7F309-3154-48D9-A35E-A1A016E6912B}"/>
    <cellStyle name="SAPBEXexcCritical4 16 2" xfId="8695" xr:uid="{47ABBC18-0614-4B4E-A5C3-5595E3BA806F}"/>
    <cellStyle name="SAPBEXexcCritical4 17" xfId="8696" xr:uid="{2B6E2112-B4CB-4937-A149-EB265F029632}"/>
    <cellStyle name="SAPBEXexcCritical4 17 2" xfId="8697" xr:uid="{993F3385-EAAB-44CC-8454-DC769FE0E2F3}"/>
    <cellStyle name="SAPBEXexcCritical4 18" xfId="8698" xr:uid="{D4E71170-8797-4608-B7A1-D77BD0903C1C}"/>
    <cellStyle name="SAPBEXexcCritical4 18 2" xfId="8699" xr:uid="{3F835821-3FA9-427D-99D8-C7D624EF7A9A}"/>
    <cellStyle name="SAPBEXexcCritical4 19" xfId="8700" xr:uid="{D8FF3313-AE2C-4979-A688-BA5ADD1C96AC}"/>
    <cellStyle name="SAPBEXexcCritical4 19 2" xfId="8701" xr:uid="{6D86DC22-3DAC-43AA-BBF9-272EE1246B0A}"/>
    <cellStyle name="SAPBEXexcCritical4 2" xfId="1549" xr:uid="{00000000-0005-0000-0000-00006A050000}"/>
    <cellStyle name="SAPBEXexcCritical4 2 10" xfId="8703" xr:uid="{76C6B56A-5BA6-42AB-82CC-590E66D0E632}"/>
    <cellStyle name="SAPBEXexcCritical4 2 10 2" xfId="8704" xr:uid="{68EF8B5D-052A-497B-9166-F9E780CFBD3E}"/>
    <cellStyle name="SAPBEXexcCritical4 2 11" xfId="8705" xr:uid="{27A0B07E-ED0B-47DF-AFFD-BD86D58EEB9C}"/>
    <cellStyle name="SAPBEXexcCritical4 2 11 2" xfId="8706" xr:uid="{D7FD5D51-A725-4BEE-860B-8E432B3BEF6A}"/>
    <cellStyle name="SAPBEXexcCritical4 2 12" xfId="8707" xr:uid="{B9AB4E0F-6E7C-4E7D-B785-A82200B1EEA2}"/>
    <cellStyle name="SAPBEXexcCritical4 2 12 2" xfId="8708" xr:uid="{0416EBB9-9A8B-4678-88C6-C6BABBC765DC}"/>
    <cellStyle name="SAPBEXexcCritical4 2 13" xfId="8709" xr:uid="{729C3C0B-273A-4D26-9C15-645162E0C69D}"/>
    <cellStyle name="SAPBEXexcCritical4 2 13 2" xfId="8710" xr:uid="{45D6008B-3078-45A9-AC98-97E6658A47E3}"/>
    <cellStyle name="SAPBEXexcCritical4 2 14" xfId="8711" xr:uid="{6EDF4616-033E-43FE-8B10-072CA11AD250}"/>
    <cellStyle name="SAPBEXexcCritical4 2 14 2" xfId="8712" xr:uid="{0CA9634E-B26E-4737-BA43-5EF30D77AC46}"/>
    <cellStyle name="SAPBEXexcCritical4 2 15" xfId="8713" xr:uid="{CE80CF1D-ECA0-4563-82D7-F2A6019E22B1}"/>
    <cellStyle name="SAPBEXexcCritical4 2 15 2" xfId="8714" xr:uid="{21C6AAFE-B25E-4567-9E12-E546929F3A49}"/>
    <cellStyle name="SAPBEXexcCritical4 2 16" xfId="8715" xr:uid="{F647982E-72B5-4A1A-9F4B-8ABDCB0BC061}"/>
    <cellStyle name="SAPBEXexcCritical4 2 16 2" xfId="8716" xr:uid="{922A0E04-D3B3-42FC-9353-4531BC6D92D0}"/>
    <cellStyle name="SAPBEXexcCritical4 2 17" xfId="8717" xr:uid="{2E7F9200-A68A-40C3-AAF5-D844C259543B}"/>
    <cellStyle name="SAPBEXexcCritical4 2 17 2" xfId="8718" xr:uid="{E6D7803F-80A4-40D8-9C38-221773EF9607}"/>
    <cellStyle name="SAPBEXexcCritical4 2 18" xfId="8719" xr:uid="{2B0CEAC8-D508-41DA-8806-2DAE4192B525}"/>
    <cellStyle name="SAPBEXexcCritical4 2 18 2" xfId="8720" xr:uid="{BF3EE436-DFBB-4E5D-A7BC-DC44072B40CF}"/>
    <cellStyle name="SAPBEXexcCritical4 2 2" xfId="8721" xr:uid="{A671E356-1FC7-4BDE-A00B-41F08DEAE8E0}"/>
    <cellStyle name="SAPBEXexcCritical4 2 2 10" xfId="8722" xr:uid="{78E39AE7-0041-4880-9109-CD05A87956D9}"/>
    <cellStyle name="SAPBEXexcCritical4 2 2 10 2" xfId="8723" xr:uid="{1A16A8A6-9A37-47E6-85A4-721EA5D78C4E}"/>
    <cellStyle name="SAPBEXexcCritical4 2 2 11" xfId="8724" xr:uid="{9A351028-EB64-4282-B6CC-F96B685A6C02}"/>
    <cellStyle name="SAPBEXexcCritical4 2 2 11 2" xfId="8725" xr:uid="{5F5B5606-581B-4FF6-B34C-D7A6008E7267}"/>
    <cellStyle name="SAPBEXexcCritical4 2 2 12" xfId="8726" xr:uid="{36C79F1C-E7B0-4C52-AA5F-1C0FD18FB0E8}"/>
    <cellStyle name="SAPBEXexcCritical4 2 2 12 2" xfId="8727" xr:uid="{89E46FC3-0092-4692-B7C7-F9BE2E7DEBB5}"/>
    <cellStyle name="SAPBEXexcCritical4 2 2 13" xfId="8728" xr:uid="{EF2ECEF4-8550-4A1C-846E-47EB19B03625}"/>
    <cellStyle name="SAPBEXexcCritical4 2 2 13 2" xfId="8729" xr:uid="{6C8A6C93-EB4C-4645-91C4-5FF2A8187364}"/>
    <cellStyle name="SAPBEXexcCritical4 2 2 14" xfId="8730" xr:uid="{73CED034-5E6C-4EE3-9013-DCAB941EAD05}"/>
    <cellStyle name="SAPBEXexcCritical4 2 2 14 2" xfId="8731" xr:uid="{DCF7A0EE-EB7B-4616-82C5-A82CF7CD601A}"/>
    <cellStyle name="SAPBEXexcCritical4 2 2 15" xfId="8732" xr:uid="{4322A48F-1FDA-433A-A27F-60EB6DB0CB50}"/>
    <cellStyle name="SAPBEXexcCritical4 2 2 15 2" xfId="8733" xr:uid="{825B19A8-22EA-4609-B535-D6E5EC8C64CB}"/>
    <cellStyle name="SAPBEXexcCritical4 2 2 16" xfId="8734" xr:uid="{9C97360F-4881-456C-BDDB-80D54A437473}"/>
    <cellStyle name="SAPBEXexcCritical4 2 2 16 2" xfId="8735" xr:uid="{85BE2537-78EF-4235-B994-9E5F835151C0}"/>
    <cellStyle name="SAPBEXexcCritical4 2 2 17" xfId="8736" xr:uid="{F9039748-7DC0-4DFA-9EF5-B970F62D1691}"/>
    <cellStyle name="SAPBEXexcCritical4 2 2 17 2" xfId="8737" xr:uid="{AEC455B0-503B-40CF-B1FE-C8CA60A39AF1}"/>
    <cellStyle name="SAPBEXexcCritical4 2 2 2" xfId="8738" xr:uid="{2C5B9134-877C-4907-A5F4-22CE0E76811A}"/>
    <cellStyle name="SAPBEXexcCritical4 2 2 2 10" xfId="8739" xr:uid="{523F6E49-C873-4010-B976-E0C6E515C43F}"/>
    <cellStyle name="SAPBEXexcCritical4 2 2 2 10 2" xfId="8740" xr:uid="{DB7E206E-2CF8-4C18-98AD-1EE8C01AE6DE}"/>
    <cellStyle name="SAPBEXexcCritical4 2 2 2 11" xfId="8741" xr:uid="{0FB8D0C6-54A5-42D9-9048-041C541994E8}"/>
    <cellStyle name="SAPBEXexcCritical4 2 2 2 11 2" xfId="8742" xr:uid="{C780F523-44EE-40F3-BDCB-DA0994B20C70}"/>
    <cellStyle name="SAPBEXexcCritical4 2 2 2 12" xfId="8743" xr:uid="{2E4AE14A-E187-4D3A-8059-C841A8609443}"/>
    <cellStyle name="SAPBEXexcCritical4 2 2 2 12 2" xfId="8744" xr:uid="{E4FC49FD-2B76-4603-ABA1-7032A30B453D}"/>
    <cellStyle name="SAPBEXexcCritical4 2 2 2 13" xfId="8745" xr:uid="{61DC3678-3AAA-4FB8-9E64-10D889269591}"/>
    <cellStyle name="SAPBEXexcCritical4 2 2 2 13 2" xfId="8746" xr:uid="{09B06A95-2701-4677-AC53-76ABBFE56263}"/>
    <cellStyle name="SAPBEXexcCritical4 2 2 2 14" xfId="8747" xr:uid="{526ECA3F-83CF-4FAB-A809-93D1BE91DA15}"/>
    <cellStyle name="SAPBEXexcCritical4 2 2 2 14 2" xfId="8748" xr:uid="{4F8DA45E-2430-449D-868F-211DC738B45F}"/>
    <cellStyle name="SAPBEXexcCritical4 2 2 2 15" xfId="8749" xr:uid="{7D01BD86-CEF1-41F9-9D84-164C9BC360B9}"/>
    <cellStyle name="SAPBEXexcCritical4 2 2 2 15 2" xfId="8750" xr:uid="{E9569445-3437-43FC-9126-1FE81685F6D7}"/>
    <cellStyle name="SAPBEXexcCritical4 2 2 2 2" xfId="8751" xr:uid="{20CDCFE1-E5FD-4791-A921-81E5BFF4AA65}"/>
    <cellStyle name="SAPBEXexcCritical4 2 2 2 2 2" xfId="8752" xr:uid="{0BB614F2-5FC3-4A3C-A18F-30F920482B1B}"/>
    <cellStyle name="SAPBEXexcCritical4 2 2 2 3" xfId="8753" xr:uid="{ACCB4C61-F5A3-4C10-B1BD-9B6F7DA6B25D}"/>
    <cellStyle name="SAPBEXexcCritical4 2 2 2 3 2" xfId="8754" xr:uid="{F282230B-EA4B-4751-92C2-046C2FD58B15}"/>
    <cellStyle name="SAPBEXexcCritical4 2 2 2 4" xfId="8755" xr:uid="{FB5F991F-C5DA-4E84-8B0D-A3D45058D3AF}"/>
    <cellStyle name="SAPBEXexcCritical4 2 2 2 4 2" xfId="8756" xr:uid="{D73B7A7D-85A0-4E31-BE3A-7D049C94C655}"/>
    <cellStyle name="SAPBEXexcCritical4 2 2 2 5" xfId="8757" xr:uid="{9D9F1618-3BF8-4DF1-B530-D9531FF9D070}"/>
    <cellStyle name="SAPBEXexcCritical4 2 2 2 5 2" xfId="8758" xr:uid="{AEDA1D3E-2B6A-483A-95AB-11DD0900A9DC}"/>
    <cellStyle name="SAPBEXexcCritical4 2 2 2 6" xfId="8759" xr:uid="{A3729FDC-D789-4BE8-8C64-09DAE96A5166}"/>
    <cellStyle name="SAPBEXexcCritical4 2 2 2 6 2" xfId="8760" xr:uid="{C6BEB655-8AA2-493F-9C71-8ABF7D6A3F46}"/>
    <cellStyle name="SAPBEXexcCritical4 2 2 2 7" xfId="8761" xr:uid="{6F64693B-8C94-45D0-99D2-A8F8F8072E73}"/>
    <cellStyle name="SAPBEXexcCritical4 2 2 2 7 2" xfId="8762" xr:uid="{44383DC9-D07D-496B-A6E8-72DC1C47CFEE}"/>
    <cellStyle name="SAPBEXexcCritical4 2 2 2 8" xfId="8763" xr:uid="{BF2FD426-4927-49B5-B2F1-0D9FD71FE9CE}"/>
    <cellStyle name="SAPBEXexcCritical4 2 2 2 8 2" xfId="8764" xr:uid="{9CB61F9F-4B63-4835-BC8D-08E86C4BBA42}"/>
    <cellStyle name="SAPBEXexcCritical4 2 2 2 9" xfId="8765" xr:uid="{0CAAA49C-2FDB-480E-ACEA-EAA6FDA588DC}"/>
    <cellStyle name="SAPBEXexcCritical4 2 2 2 9 2" xfId="8766" xr:uid="{5F65554A-934E-4CA2-A0BA-A4614DF3F75A}"/>
    <cellStyle name="SAPBEXexcCritical4 2 2 3" xfId="8767" xr:uid="{FCA13D1F-3C4D-4DD5-890E-7AC30E597078}"/>
    <cellStyle name="SAPBEXexcCritical4 2 2 3 10" xfId="8768" xr:uid="{8F6CE013-17D1-4DA7-BF6E-7AD0AC83165F}"/>
    <cellStyle name="SAPBEXexcCritical4 2 2 3 10 2" xfId="8769" xr:uid="{0ADCFEE0-6E12-45B6-B518-1937AC62E74F}"/>
    <cellStyle name="SAPBEXexcCritical4 2 2 3 11" xfId="8770" xr:uid="{6B6F5EEB-0F78-4CB3-B367-A725088E10F0}"/>
    <cellStyle name="SAPBEXexcCritical4 2 2 3 11 2" xfId="8771" xr:uid="{40395FB4-A2D6-4ADB-9392-F4418680EA97}"/>
    <cellStyle name="SAPBEXexcCritical4 2 2 3 12" xfId="8772" xr:uid="{C0BA65A2-A8DF-4423-9CE1-1CBC206E81C9}"/>
    <cellStyle name="SAPBEXexcCritical4 2 2 3 12 2" xfId="8773" xr:uid="{32D6207D-2BF0-43E0-ABEE-2793EAA5C0DF}"/>
    <cellStyle name="SAPBEXexcCritical4 2 2 3 13" xfId="8774" xr:uid="{FBF9B521-07A5-4363-9253-FD8A32D584D8}"/>
    <cellStyle name="SAPBEXexcCritical4 2 2 3 13 2" xfId="8775" xr:uid="{53A18F71-0C6F-498F-B379-D4699AFB76F4}"/>
    <cellStyle name="SAPBEXexcCritical4 2 2 3 14" xfId="8776" xr:uid="{3DEA8347-F146-4549-9C7A-8068BA69C2D6}"/>
    <cellStyle name="SAPBEXexcCritical4 2 2 3 14 2" xfId="8777" xr:uid="{6A05BE82-273F-4057-B6F9-06187F6582C5}"/>
    <cellStyle name="SAPBEXexcCritical4 2 2 3 15" xfId="8778" xr:uid="{13D74E95-C431-456B-B5B2-86DBCDF24E6C}"/>
    <cellStyle name="SAPBEXexcCritical4 2 2 3 15 2" xfId="8779" xr:uid="{BCA5ECD5-8324-4D6D-AECF-0B192AFB56B1}"/>
    <cellStyle name="SAPBEXexcCritical4 2 2 3 2" xfId="8780" xr:uid="{02FBFB5E-EF4D-4F03-AEFE-F6DBC04A5234}"/>
    <cellStyle name="SAPBEXexcCritical4 2 2 3 2 2" xfId="8781" xr:uid="{23396F25-9A7D-4123-9C37-0F68D6555CF8}"/>
    <cellStyle name="SAPBEXexcCritical4 2 2 3 3" xfId="8782" xr:uid="{C41341C8-15C9-442D-AC77-6D01571ABBCE}"/>
    <cellStyle name="SAPBEXexcCritical4 2 2 3 3 2" xfId="8783" xr:uid="{09553846-34E5-4F51-812B-0952AE149F77}"/>
    <cellStyle name="SAPBEXexcCritical4 2 2 3 4" xfId="8784" xr:uid="{EF839BCE-48F5-4373-9FB7-E5C7E982790F}"/>
    <cellStyle name="SAPBEXexcCritical4 2 2 3 4 2" xfId="8785" xr:uid="{DF433BE5-A169-49F4-B885-733E6AA7C06B}"/>
    <cellStyle name="SAPBEXexcCritical4 2 2 3 5" xfId="8786" xr:uid="{B23697DC-8519-4ACA-85F0-DB21653B3615}"/>
    <cellStyle name="SAPBEXexcCritical4 2 2 3 5 2" xfId="8787" xr:uid="{E3FCA47E-16AD-47A9-B612-156CB1D49E90}"/>
    <cellStyle name="SAPBEXexcCritical4 2 2 3 6" xfId="8788" xr:uid="{167E6D98-C7BD-4E39-9E2D-CC0C41DEF910}"/>
    <cellStyle name="SAPBEXexcCritical4 2 2 3 6 2" xfId="8789" xr:uid="{192BB467-AFC0-4E58-8E2D-2437FC3823F5}"/>
    <cellStyle name="SAPBEXexcCritical4 2 2 3 7" xfId="8790" xr:uid="{FDB00E63-7416-4662-9FF4-DBD61EC9AA90}"/>
    <cellStyle name="SAPBEXexcCritical4 2 2 3 7 2" xfId="8791" xr:uid="{C4C350D4-730D-4435-B463-5B01F7DD0F99}"/>
    <cellStyle name="SAPBEXexcCritical4 2 2 3 8" xfId="8792" xr:uid="{95FC8A26-606D-4452-A078-FB14862E139B}"/>
    <cellStyle name="SAPBEXexcCritical4 2 2 3 8 2" xfId="8793" xr:uid="{6085BC40-3CFA-4868-BFE8-52BF81A85D21}"/>
    <cellStyle name="SAPBEXexcCritical4 2 2 3 9" xfId="8794" xr:uid="{BB191D0A-C2C9-441B-B8D0-CE748B26C50B}"/>
    <cellStyle name="SAPBEXexcCritical4 2 2 3 9 2" xfId="8795" xr:uid="{4EC4B73A-CFDA-4A50-AFA9-68FD6F39764C}"/>
    <cellStyle name="SAPBEXexcCritical4 2 2 4" xfId="8796" xr:uid="{8478193F-9D19-4529-8ADC-88766454034E}"/>
    <cellStyle name="SAPBEXexcCritical4 2 2 4 2" xfId="8797" xr:uid="{9B1C69FB-BFDB-47E0-9E4E-DB5AFDC9545E}"/>
    <cellStyle name="SAPBEXexcCritical4 2 2 5" xfId="8798" xr:uid="{9789FC27-6EFD-441C-AAD9-03019651C0B9}"/>
    <cellStyle name="SAPBEXexcCritical4 2 2 5 2" xfId="8799" xr:uid="{08BBAD9A-0840-4545-8AD0-8275432678BA}"/>
    <cellStyle name="SAPBEXexcCritical4 2 2 6" xfId="8800" xr:uid="{1D34D2E6-8051-4E65-A75B-CDCE437CE2A6}"/>
    <cellStyle name="SAPBEXexcCritical4 2 2 6 2" xfId="8801" xr:uid="{186F6C27-1A59-4BF5-97DE-EF9395F5BD44}"/>
    <cellStyle name="SAPBEXexcCritical4 2 2 7" xfId="8802" xr:uid="{E1532A99-7959-4505-9C0B-9A30D57041D6}"/>
    <cellStyle name="SAPBEXexcCritical4 2 2 7 2" xfId="8803" xr:uid="{156ECC9F-ED0B-410E-A75C-565052241CC8}"/>
    <cellStyle name="SAPBEXexcCritical4 2 2 8" xfId="8804" xr:uid="{65F1D4DB-BA72-4F73-8C92-207127F90F36}"/>
    <cellStyle name="SAPBEXexcCritical4 2 2 8 2" xfId="8805" xr:uid="{F5ACCE6C-37D6-4A13-89FE-75DDDCB4F82F}"/>
    <cellStyle name="SAPBEXexcCritical4 2 2 9" xfId="8806" xr:uid="{D2D1158B-F516-4B38-9767-993ABC32D923}"/>
    <cellStyle name="SAPBEXexcCritical4 2 2 9 2" xfId="8807" xr:uid="{47ED8C6E-9A3B-430E-A908-E313013F11EA}"/>
    <cellStyle name="SAPBEXexcCritical4 2 3" xfId="8808" xr:uid="{5B19772A-9BA6-48AC-9696-4C81CAF9F256}"/>
    <cellStyle name="SAPBEXexcCritical4 2 3 10" xfId="8809" xr:uid="{52EB0BCC-88C4-4AE5-9C8A-A357A0023E66}"/>
    <cellStyle name="SAPBEXexcCritical4 2 3 10 2" xfId="8810" xr:uid="{B4360832-A0DD-41E9-B63E-61305F6B132F}"/>
    <cellStyle name="SAPBEXexcCritical4 2 3 11" xfId="8811" xr:uid="{3AA0EEEF-8CF5-47C6-AA78-935E11199D08}"/>
    <cellStyle name="SAPBEXexcCritical4 2 3 11 2" xfId="8812" xr:uid="{5AC0B241-C790-4F15-9B7E-41D76A69AF8A}"/>
    <cellStyle name="SAPBEXexcCritical4 2 3 12" xfId="8813" xr:uid="{6A7A5BD8-40AF-40CE-AC9E-3F71F4A4A1EF}"/>
    <cellStyle name="SAPBEXexcCritical4 2 3 12 2" xfId="8814" xr:uid="{35F0C036-B2BE-4A4E-B323-F0938A3C07C8}"/>
    <cellStyle name="SAPBEXexcCritical4 2 3 13" xfId="8815" xr:uid="{3F58E3DE-E4C7-41F7-BFA7-AB68967EBF86}"/>
    <cellStyle name="SAPBEXexcCritical4 2 3 13 2" xfId="8816" xr:uid="{C92FA6D5-0A65-40CC-A838-75B2C04D1140}"/>
    <cellStyle name="SAPBEXexcCritical4 2 3 14" xfId="8817" xr:uid="{20D72C96-BEE7-450E-9444-A4A0F91A8715}"/>
    <cellStyle name="SAPBEXexcCritical4 2 3 14 2" xfId="8818" xr:uid="{A10872D9-7954-4F51-A68C-05027F19D206}"/>
    <cellStyle name="SAPBEXexcCritical4 2 3 15" xfId="8819" xr:uid="{F588907D-F607-4C82-8E30-7F5621D4377C}"/>
    <cellStyle name="SAPBEXexcCritical4 2 3 15 2" xfId="8820" xr:uid="{84AB8881-3D12-4D9F-B924-EA45CA9D57BF}"/>
    <cellStyle name="SAPBEXexcCritical4 2 3 16" xfId="8821" xr:uid="{642B5FD1-8F53-41E4-80CD-68D287E105C7}"/>
    <cellStyle name="SAPBEXexcCritical4 2 3 16 2" xfId="8822" xr:uid="{20872272-87C7-40E2-BC1F-74653132583B}"/>
    <cellStyle name="SAPBEXexcCritical4 2 3 17" xfId="8823" xr:uid="{40665842-65A9-431F-9D05-2F33D7265D5C}"/>
    <cellStyle name="SAPBEXexcCritical4 2 3 17 2" xfId="8824" xr:uid="{6B103587-B3F4-43F3-9D08-E3B1B675FE0D}"/>
    <cellStyle name="SAPBEXexcCritical4 2 3 2" xfId="8825" xr:uid="{D408CD2E-2BEA-4D70-B09E-0D91E3EEFB11}"/>
    <cellStyle name="SAPBEXexcCritical4 2 3 2 10" xfId="8826" xr:uid="{0DBD2CC7-F895-447D-9CCD-AF75831F448C}"/>
    <cellStyle name="SAPBEXexcCritical4 2 3 2 10 2" xfId="8827" xr:uid="{09D25E08-5F7E-4560-9961-394FF372DB38}"/>
    <cellStyle name="SAPBEXexcCritical4 2 3 2 11" xfId="8828" xr:uid="{D876A06B-46C5-4F2C-B1F5-531EC5144C71}"/>
    <cellStyle name="SAPBEXexcCritical4 2 3 2 11 2" xfId="8829" xr:uid="{F71B3B58-FEAD-4851-8393-26D15889A000}"/>
    <cellStyle name="SAPBEXexcCritical4 2 3 2 12" xfId="8830" xr:uid="{0C91057B-BFC7-4D3A-B2B9-DA15CA941090}"/>
    <cellStyle name="SAPBEXexcCritical4 2 3 2 12 2" xfId="8831" xr:uid="{0967BC04-DA79-4586-B2E5-D18EAA81F3AC}"/>
    <cellStyle name="SAPBEXexcCritical4 2 3 2 13" xfId="8832" xr:uid="{6C24915B-738E-4900-8786-2DBBC54845B0}"/>
    <cellStyle name="SAPBEXexcCritical4 2 3 2 13 2" xfId="8833" xr:uid="{997F1A62-57DE-4DE4-B37B-DE2C3194C702}"/>
    <cellStyle name="SAPBEXexcCritical4 2 3 2 14" xfId="8834" xr:uid="{3BB7F1C3-FDBB-47CD-A6E5-1BADB470A4F4}"/>
    <cellStyle name="SAPBEXexcCritical4 2 3 2 14 2" xfId="8835" xr:uid="{468001FB-3D48-48FA-BD26-84EE530CF286}"/>
    <cellStyle name="SAPBEXexcCritical4 2 3 2 15" xfId="8836" xr:uid="{77A4BA32-A9E9-4CDB-806E-41CAC33C3DA9}"/>
    <cellStyle name="SAPBEXexcCritical4 2 3 2 15 2" xfId="8837" xr:uid="{02DF9E33-33D0-4665-903A-B44C56A6BE48}"/>
    <cellStyle name="SAPBEXexcCritical4 2 3 2 2" xfId="8838" xr:uid="{FE8AA415-56FC-4EC8-9FBC-D3BD7B57AEA0}"/>
    <cellStyle name="SAPBEXexcCritical4 2 3 2 2 2" xfId="8839" xr:uid="{91AEAC3E-A6EE-43B4-973D-40BAE89F0763}"/>
    <cellStyle name="SAPBEXexcCritical4 2 3 2 3" xfId="8840" xr:uid="{6E684F5C-C218-49B7-892F-48EFAF880452}"/>
    <cellStyle name="SAPBEXexcCritical4 2 3 2 3 2" xfId="8841" xr:uid="{C938CE4B-1271-4F9E-BD7A-BDB58DA63FDE}"/>
    <cellStyle name="SAPBEXexcCritical4 2 3 2 4" xfId="8842" xr:uid="{DD7C5667-2150-40F4-BDE7-767738119459}"/>
    <cellStyle name="SAPBEXexcCritical4 2 3 2 4 2" xfId="8843" xr:uid="{012AD250-5D4E-45D5-827B-4FA0015978EB}"/>
    <cellStyle name="SAPBEXexcCritical4 2 3 2 5" xfId="8844" xr:uid="{26D2FFC1-FF6B-46BB-B074-19FD6DBE66EF}"/>
    <cellStyle name="SAPBEXexcCritical4 2 3 2 5 2" xfId="8845" xr:uid="{716CE9C9-7F8D-4501-8B34-B38C7B53FFAA}"/>
    <cellStyle name="SAPBEXexcCritical4 2 3 2 6" xfId="8846" xr:uid="{BB65491B-16E1-4AFE-A23B-EF62F0054B1F}"/>
    <cellStyle name="SAPBEXexcCritical4 2 3 2 6 2" xfId="8847" xr:uid="{9416B020-558B-486E-BFA3-A01CFBAF9C2F}"/>
    <cellStyle name="SAPBEXexcCritical4 2 3 2 7" xfId="8848" xr:uid="{43503784-75CF-409F-92E2-2801EDCD4F50}"/>
    <cellStyle name="SAPBEXexcCritical4 2 3 2 7 2" xfId="8849" xr:uid="{8F0C8FF9-44D9-4D0C-B03C-1790521F7D7A}"/>
    <cellStyle name="SAPBEXexcCritical4 2 3 2 8" xfId="8850" xr:uid="{5E54D85E-1854-45BB-87E4-005211CDD858}"/>
    <cellStyle name="SAPBEXexcCritical4 2 3 2 8 2" xfId="8851" xr:uid="{D4857016-EDE0-4110-B8F2-E666933A17B5}"/>
    <cellStyle name="SAPBEXexcCritical4 2 3 2 9" xfId="8852" xr:uid="{227112C2-152C-4E21-B021-D45F9955EB40}"/>
    <cellStyle name="SAPBEXexcCritical4 2 3 2 9 2" xfId="8853" xr:uid="{CEF00B9C-EA97-4EDD-B624-E4AFD863B6EB}"/>
    <cellStyle name="SAPBEXexcCritical4 2 3 3" xfId="8854" xr:uid="{8E7E677B-1797-4FD9-BF7C-59D8EAB1C13C}"/>
    <cellStyle name="SAPBEXexcCritical4 2 3 3 10" xfId="8855" xr:uid="{58DED6A7-79AA-4386-8452-E5F48C8590A9}"/>
    <cellStyle name="SAPBEXexcCritical4 2 3 3 10 2" xfId="8856" xr:uid="{D2A05A57-606E-4615-B554-E792D0B0361A}"/>
    <cellStyle name="SAPBEXexcCritical4 2 3 3 11" xfId="8857" xr:uid="{80B6D7F0-9622-4F49-9D68-B86EFA63A209}"/>
    <cellStyle name="SAPBEXexcCritical4 2 3 3 11 2" xfId="8858" xr:uid="{D6C48E9A-938B-4724-B032-CE5E33D617EC}"/>
    <cellStyle name="SAPBEXexcCritical4 2 3 3 12" xfId="8859" xr:uid="{739340AD-915C-45D9-9473-D719FD26C9A5}"/>
    <cellStyle name="SAPBEXexcCritical4 2 3 3 12 2" xfId="8860" xr:uid="{DF21FEBF-CD2F-46CE-8F2E-40DCF1D4960A}"/>
    <cellStyle name="SAPBEXexcCritical4 2 3 3 13" xfId="8861" xr:uid="{C42DBEC7-AF54-4BF6-9217-B270F4BC7E84}"/>
    <cellStyle name="SAPBEXexcCritical4 2 3 3 13 2" xfId="8862" xr:uid="{27434CA5-81BA-4E58-9F83-B0795BD088D5}"/>
    <cellStyle name="SAPBEXexcCritical4 2 3 3 14" xfId="8863" xr:uid="{9EA6B006-4D83-41F7-BF91-C29C4606C6A7}"/>
    <cellStyle name="SAPBEXexcCritical4 2 3 3 14 2" xfId="8864" xr:uid="{C520F020-133D-44F0-B805-C21AD10012FD}"/>
    <cellStyle name="SAPBEXexcCritical4 2 3 3 15" xfId="8865" xr:uid="{EE8A962B-094D-40FC-A3DA-285E790F1D6A}"/>
    <cellStyle name="SAPBEXexcCritical4 2 3 3 15 2" xfId="8866" xr:uid="{48345131-E3EB-4FB4-8916-C460BF20F38C}"/>
    <cellStyle name="SAPBEXexcCritical4 2 3 3 2" xfId="8867" xr:uid="{92B99008-7361-499D-85F7-FA17C24F9DD0}"/>
    <cellStyle name="SAPBEXexcCritical4 2 3 3 2 2" xfId="8868" xr:uid="{40D394BC-98C6-40AE-BACB-32353626905B}"/>
    <cellStyle name="SAPBEXexcCritical4 2 3 3 3" xfId="8869" xr:uid="{BEB00F63-84AC-407A-BA56-A101B91D4A8F}"/>
    <cellStyle name="SAPBEXexcCritical4 2 3 3 3 2" xfId="8870" xr:uid="{CBFDE3C3-4954-4EA3-BFF7-7E3E2144B049}"/>
    <cellStyle name="SAPBEXexcCritical4 2 3 3 4" xfId="8871" xr:uid="{0AA01E73-972C-4082-8E39-57CF35989BBB}"/>
    <cellStyle name="SAPBEXexcCritical4 2 3 3 4 2" xfId="8872" xr:uid="{1BC028A1-C19C-482E-8F10-58DAC3899198}"/>
    <cellStyle name="SAPBEXexcCritical4 2 3 3 5" xfId="8873" xr:uid="{61F09761-09A2-4295-BCD6-03C098574FE8}"/>
    <cellStyle name="SAPBEXexcCritical4 2 3 3 5 2" xfId="8874" xr:uid="{362974B2-B952-4392-8073-7B45603E24A5}"/>
    <cellStyle name="SAPBEXexcCritical4 2 3 3 6" xfId="8875" xr:uid="{E928E495-5743-4F69-8F2E-CFEF0F2A9D98}"/>
    <cellStyle name="SAPBEXexcCritical4 2 3 3 6 2" xfId="8876" xr:uid="{1441645E-6C01-4C0C-AAE6-5448D6A7032E}"/>
    <cellStyle name="SAPBEXexcCritical4 2 3 3 7" xfId="8877" xr:uid="{CFB61EF1-573C-486C-BC66-D921E3611918}"/>
    <cellStyle name="SAPBEXexcCritical4 2 3 3 7 2" xfId="8878" xr:uid="{6C2D0C06-E926-4107-B124-3C213295EF9F}"/>
    <cellStyle name="SAPBEXexcCritical4 2 3 3 8" xfId="8879" xr:uid="{DB9988E9-F8BB-4AD4-935D-5E267BDC521F}"/>
    <cellStyle name="SAPBEXexcCritical4 2 3 3 8 2" xfId="8880" xr:uid="{694885A6-2A24-489F-A692-84F3B3AC4043}"/>
    <cellStyle name="SAPBEXexcCritical4 2 3 3 9" xfId="8881" xr:uid="{623D1F87-F7AC-41BD-BC32-63596BF7A8AD}"/>
    <cellStyle name="SAPBEXexcCritical4 2 3 3 9 2" xfId="8882" xr:uid="{4713FCEF-A635-4DBE-BB22-B1A9F5AD30FC}"/>
    <cellStyle name="SAPBEXexcCritical4 2 3 4" xfId="8883" xr:uid="{802C623C-F128-4CF1-B6EE-0D5F11062D9A}"/>
    <cellStyle name="SAPBEXexcCritical4 2 3 4 2" xfId="8884" xr:uid="{31C12F56-A095-4A03-A433-82E1B133EB47}"/>
    <cellStyle name="SAPBEXexcCritical4 2 3 5" xfId="8885" xr:uid="{5ADB1590-2364-420A-A179-DC17DD4BEBF1}"/>
    <cellStyle name="SAPBEXexcCritical4 2 3 5 2" xfId="8886" xr:uid="{B2FC89AB-AA1D-4E03-96B4-2E38E11D8590}"/>
    <cellStyle name="SAPBEXexcCritical4 2 3 6" xfId="8887" xr:uid="{150CAB8A-BFE7-4FD0-BCBF-408B6F6C9382}"/>
    <cellStyle name="SAPBEXexcCritical4 2 3 6 2" xfId="8888" xr:uid="{3D80AB2B-31EC-45F4-A3C1-A61300D11B8F}"/>
    <cellStyle name="SAPBEXexcCritical4 2 3 7" xfId="8889" xr:uid="{9B455039-A607-4BED-BAEF-62714A0B97A6}"/>
    <cellStyle name="SAPBEXexcCritical4 2 3 7 2" xfId="8890" xr:uid="{87512F21-46CA-4B0C-95B4-B00EC1F965B0}"/>
    <cellStyle name="SAPBEXexcCritical4 2 3 8" xfId="8891" xr:uid="{1A23F8E0-ED5D-4578-BCDF-0D81E7A6CCAC}"/>
    <cellStyle name="SAPBEXexcCritical4 2 3 8 2" xfId="8892" xr:uid="{2F0E905E-1EDB-4FB7-A0A4-D234A461D3FC}"/>
    <cellStyle name="SAPBEXexcCritical4 2 3 9" xfId="8893" xr:uid="{50EB7FFF-7B5C-4C87-A1E9-8ED2DF223A85}"/>
    <cellStyle name="SAPBEXexcCritical4 2 3 9 2" xfId="8894" xr:uid="{ECB0FDBF-DA42-4B42-97FF-D81B7CA5AC34}"/>
    <cellStyle name="SAPBEXexcCritical4 2 4" xfId="8895" xr:uid="{A09FAC34-1EC7-4010-BA8F-FAC7A335CE1C}"/>
    <cellStyle name="SAPBEXexcCritical4 2 4 10" xfId="8896" xr:uid="{A6EAC306-99F5-4363-80CD-A274FA263B59}"/>
    <cellStyle name="SAPBEXexcCritical4 2 4 10 2" xfId="8897" xr:uid="{A4BAE86D-3011-4720-8448-BAA8E11FEBBF}"/>
    <cellStyle name="SAPBEXexcCritical4 2 4 11" xfId="8898" xr:uid="{07C71AEE-5E9D-4E4E-96A4-9D6CB88FE145}"/>
    <cellStyle name="SAPBEXexcCritical4 2 4 11 2" xfId="8899" xr:uid="{590AB328-C085-4701-96D7-EFB37DFDA15D}"/>
    <cellStyle name="SAPBEXexcCritical4 2 4 12" xfId="8900" xr:uid="{19B316F4-B0C5-4946-B07B-C2D1657245A8}"/>
    <cellStyle name="SAPBEXexcCritical4 2 4 12 2" xfId="8901" xr:uid="{A24847C1-6903-4D8A-BBAC-BD018C6015F8}"/>
    <cellStyle name="SAPBEXexcCritical4 2 4 13" xfId="8902" xr:uid="{9525B15D-C5B8-4276-9D8F-B971D40B4C9C}"/>
    <cellStyle name="SAPBEXexcCritical4 2 4 13 2" xfId="8903" xr:uid="{3DD3C677-A95E-4869-AEC6-96D7401FAB2D}"/>
    <cellStyle name="SAPBEXexcCritical4 2 4 14" xfId="8904" xr:uid="{22463260-D8BD-4E02-9F66-E8B98E901C3E}"/>
    <cellStyle name="SAPBEXexcCritical4 2 4 14 2" xfId="8905" xr:uid="{2EEE94FA-1191-4270-AFFB-D23C7F58BA0F}"/>
    <cellStyle name="SAPBEXexcCritical4 2 4 15" xfId="8906" xr:uid="{E7201EA8-C24D-4A26-900B-8967770B1A29}"/>
    <cellStyle name="SAPBEXexcCritical4 2 4 15 2" xfId="8907" xr:uid="{CC30CDEB-F1B6-4321-9CC3-D796F0546127}"/>
    <cellStyle name="SAPBEXexcCritical4 2 4 16" xfId="8908" xr:uid="{0B33AB98-B01D-49C7-9F9F-51FC480B4286}"/>
    <cellStyle name="SAPBEXexcCritical4 2 4 16 2" xfId="8909" xr:uid="{90363656-00D0-4FD8-8657-F00E71862681}"/>
    <cellStyle name="SAPBEXexcCritical4 2 4 17" xfId="8910" xr:uid="{F51017EC-881B-44E7-A456-5582584903E2}"/>
    <cellStyle name="SAPBEXexcCritical4 2 4 17 2" xfId="8911" xr:uid="{443253AC-A127-4A39-8CB1-D9BCAE34C8B0}"/>
    <cellStyle name="SAPBEXexcCritical4 2 4 2" xfId="8912" xr:uid="{D7C8995F-943A-49CD-B69F-E65CB8802293}"/>
    <cellStyle name="SAPBEXexcCritical4 2 4 2 10" xfId="8913" xr:uid="{B5D8BAAE-5068-4513-837F-CB8E02A20ABF}"/>
    <cellStyle name="SAPBEXexcCritical4 2 4 2 10 2" xfId="8914" xr:uid="{CFE381A0-A52A-4F6D-856E-00EBDB9617B2}"/>
    <cellStyle name="SAPBEXexcCritical4 2 4 2 11" xfId="8915" xr:uid="{1187164B-C763-406E-8607-65925DEDBE64}"/>
    <cellStyle name="SAPBEXexcCritical4 2 4 2 11 2" xfId="8916" xr:uid="{B3D33C61-651C-43CA-95D7-F16E7A31CDA0}"/>
    <cellStyle name="SAPBEXexcCritical4 2 4 2 12" xfId="8917" xr:uid="{43E187A3-09AB-4A7F-A7B2-272E061937D0}"/>
    <cellStyle name="SAPBEXexcCritical4 2 4 2 12 2" xfId="8918" xr:uid="{B31C6F37-FA04-46A6-B706-BCC6E709E725}"/>
    <cellStyle name="SAPBEXexcCritical4 2 4 2 13" xfId="8919" xr:uid="{E617D4AD-60A7-4674-9BDC-9E76C7F5EB06}"/>
    <cellStyle name="SAPBEXexcCritical4 2 4 2 13 2" xfId="8920" xr:uid="{57FD4E30-03FD-4B6E-B0C3-71C77E374B96}"/>
    <cellStyle name="SAPBEXexcCritical4 2 4 2 14" xfId="8921" xr:uid="{A440307D-63B9-475D-AF54-2800E4570E8B}"/>
    <cellStyle name="SAPBEXexcCritical4 2 4 2 14 2" xfId="8922" xr:uid="{81CE4369-2F31-4A22-AA9B-DA2DD88E4CBA}"/>
    <cellStyle name="SAPBEXexcCritical4 2 4 2 15" xfId="8923" xr:uid="{D7B98C8D-EF9A-4E70-84D4-F831AEB0CB09}"/>
    <cellStyle name="SAPBEXexcCritical4 2 4 2 15 2" xfId="8924" xr:uid="{22F46DFE-0456-4400-962C-97A11ADC0BB8}"/>
    <cellStyle name="SAPBEXexcCritical4 2 4 2 2" xfId="8925" xr:uid="{87879236-A833-4251-A61C-2FE90B8B1BCA}"/>
    <cellStyle name="SAPBEXexcCritical4 2 4 2 2 2" xfId="8926" xr:uid="{774B891C-DA2C-4F1B-BA8B-033953260547}"/>
    <cellStyle name="SAPBEXexcCritical4 2 4 2 3" xfId="8927" xr:uid="{AF72E174-183F-4425-BF3C-B5A5C5EC7BF1}"/>
    <cellStyle name="SAPBEXexcCritical4 2 4 2 3 2" xfId="8928" xr:uid="{4340CCEA-8061-4448-8689-400D3DB3A26E}"/>
    <cellStyle name="SAPBEXexcCritical4 2 4 2 4" xfId="8929" xr:uid="{B397B05A-1133-43F4-88C5-142F0E2CD23C}"/>
    <cellStyle name="SAPBEXexcCritical4 2 4 2 4 2" xfId="8930" xr:uid="{98622C73-6666-4794-857C-13CD195342CD}"/>
    <cellStyle name="SAPBEXexcCritical4 2 4 2 5" xfId="8931" xr:uid="{F6F3DDE7-87A2-4867-A9DC-8C4908CF210A}"/>
    <cellStyle name="SAPBEXexcCritical4 2 4 2 5 2" xfId="8932" xr:uid="{3D2EFA16-90A5-4647-94AD-A23163C01059}"/>
    <cellStyle name="SAPBEXexcCritical4 2 4 2 6" xfId="8933" xr:uid="{BA71BBB6-353E-488D-8BD1-74FA839D41CF}"/>
    <cellStyle name="SAPBEXexcCritical4 2 4 2 6 2" xfId="8934" xr:uid="{FC6639B9-A7B0-42AC-B471-4D0975D70FAB}"/>
    <cellStyle name="SAPBEXexcCritical4 2 4 2 7" xfId="8935" xr:uid="{5DE573F3-1002-4667-A5D5-9BB25DBE2020}"/>
    <cellStyle name="SAPBEXexcCritical4 2 4 2 7 2" xfId="8936" xr:uid="{315B5AF2-3A9F-467B-AACE-74801EFF50E0}"/>
    <cellStyle name="SAPBEXexcCritical4 2 4 2 8" xfId="8937" xr:uid="{1B216D6C-5A13-434F-8078-8356ECCF887B}"/>
    <cellStyle name="SAPBEXexcCritical4 2 4 2 8 2" xfId="8938" xr:uid="{8EA83B53-89AE-4009-95A1-452A197F1CA8}"/>
    <cellStyle name="SAPBEXexcCritical4 2 4 2 9" xfId="8939" xr:uid="{E24E240F-0EF7-4D3E-923A-E2462AEB103C}"/>
    <cellStyle name="SAPBEXexcCritical4 2 4 2 9 2" xfId="8940" xr:uid="{580FB54D-55D4-42E8-A43C-5603AD98F197}"/>
    <cellStyle name="SAPBEXexcCritical4 2 4 3" xfId="8941" xr:uid="{E85892C6-3661-4C97-BBC4-E687E2D4A4AC}"/>
    <cellStyle name="SAPBEXexcCritical4 2 4 3 10" xfId="8942" xr:uid="{51748A32-8E98-4B38-AF36-A9F0D81B80FB}"/>
    <cellStyle name="SAPBEXexcCritical4 2 4 3 10 2" xfId="8943" xr:uid="{C8AE55FC-9A86-4131-928B-D9F13F067D0A}"/>
    <cellStyle name="SAPBEXexcCritical4 2 4 3 11" xfId="8944" xr:uid="{3A2D3F73-7A52-4147-A694-CA9E690DD8CD}"/>
    <cellStyle name="SAPBEXexcCritical4 2 4 3 11 2" xfId="8945" xr:uid="{B5D8866B-CD7F-41DA-9F12-B4D74B2A20F8}"/>
    <cellStyle name="SAPBEXexcCritical4 2 4 3 12" xfId="8946" xr:uid="{B490E9F6-2360-4D58-AFF2-F79030ECC68D}"/>
    <cellStyle name="SAPBEXexcCritical4 2 4 3 12 2" xfId="8947" xr:uid="{6A4BE778-4632-4B2A-9031-1CCD86296960}"/>
    <cellStyle name="SAPBEXexcCritical4 2 4 3 13" xfId="8948" xr:uid="{5845DB60-9F2B-4729-9B36-1B915F6A3FDF}"/>
    <cellStyle name="SAPBEXexcCritical4 2 4 3 13 2" xfId="8949" xr:uid="{C2051D76-16B6-4BF8-952C-710DCC823447}"/>
    <cellStyle name="SAPBEXexcCritical4 2 4 3 14" xfId="8950" xr:uid="{91113DF5-39C7-4611-9C8D-2C81EF0C9039}"/>
    <cellStyle name="SAPBEXexcCritical4 2 4 3 14 2" xfId="8951" xr:uid="{8B8CFB84-B677-4773-B4AE-165A873747F8}"/>
    <cellStyle name="SAPBEXexcCritical4 2 4 3 15" xfId="8952" xr:uid="{24D770CA-2911-49F0-9749-5065286F80AF}"/>
    <cellStyle name="SAPBEXexcCritical4 2 4 3 15 2" xfId="8953" xr:uid="{CD72684B-908C-406A-8E5E-2EC146BF3BDE}"/>
    <cellStyle name="SAPBEXexcCritical4 2 4 3 2" xfId="8954" xr:uid="{4C361894-94D2-476B-80CC-A1BA8C943A7B}"/>
    <cellStyle name="SAPBEXexcCritical4 2 4 3 2 2" xfId="8955" xr:uid="{A70269A8-FCB8-4F4B-9DB7-76B77DE1C321}"/>
    <cellStyle name="SAPBEXexcCritical4 2 4 3 3" xfId="8956" xr:uid="{630991FC-C371-407E-8480-90A70B7AA96F}"/>
    <cellStyle name="SAPBEXexcCritical4 2 4 3 3 2" xfId="8957" xr:uid="{D3F644F4-E68A-403A-BB42-1E0DE4F9DC8F}"/>
    <cellStyle name="SAPBEXexcCritical4 2 4 3 4" xfId="8958" xr:uid="{8F054961-96FC-4BB8-8535-D0006E7195BD}"/>
    <cellStyle name="SAPBEXexcCritical4 2 4 3 4 2" xfId="8959" xr:uid="{9EE89F26-D58E-485A-867C-DCF9498F3F31}"/>
    <cellStyle name="SAPBEXexcCritical4 2 4 3 5" xfId="8960" xr:uid="{1C223D0A-0B1E-4DA3-95C0-81A727827BBD}"/>
    <cellStyle name="SAPBEXexcCritical4 2 4 3 5 2" xfId="8961" xr:uid="{38E03604-4109-4F84-9E5A-B369C0DA4506}"/>
    <cellStyle name="SAPBEXexcCritical4 2 4 3 6" xfId="8962" xr:uid="{0E8EA676-E8D1-467E-B931-968691CFFF14}"/>
    <cellStyle name="SAPBEXexcCritical4 2 4 3 6 2" xfId="8963" xr:uid="{C00477E0-AF8D-4307-8364-82D5E0E175E5}"/>
    <cellStyle name="SAPBEXexcCritical4 2 4 3 7" xfId="8964" xr:uid="{55BBF784-82DD-422E-91D9-F6C0E9673013}"/>
    <cellStyle name="SAPBEXexcCritical4 2 4 3 7 2" xfId="8965" xr:uid="{DE38C4F9-59EF-46E5-8BC9-2BC2D696625F}"/>
    <cellStyle name="SAPBEXexcCritical4 2 4 3 8" xfId="8966" xr:uid="{3A55A6D0-BD03-4518-B15E-3079413310CA}"/>
    <cellStyle name="SAPBEXexcCritical4 2 4 3 8 2" xfId="8967" xr:uid="{63B1289A-6746-4F94-8921-B4DAEC88E0FE}"/>
    <cellStyle name="SAPBEXexcCritical4 2 4 3 9" xfId="8968" xr:uid="{D6E897C0-988E-4966-9D47-DF7BA8762DA6}"/>
    <cellStyle name="SAPBEXexcCritical4 2 4 3 9 2" xfId="8969" xr:uid="{55A15CFF-27BC-41A9-B74B-5EE0598CE5A7}"/>
    <cellStyle name="SAPBEXexcCritical4 2 4 4" xfId="8970" xr:uid="{B5D37961-CD92-4AE6-A25E-2C9691FFD828}"/>
    <cellStyle name="SAPBEXexcCritical4 2 4 4 2" xfId="8971" xr:uid="{CF75803E-FC2D-40EA-AEB9-F6CA583E957A}"/>
    <cellStyle name="SAPBEXexcCritical4 2 4 5" xfId="8972" xr:uid="{5CB5F36D-DB1F-4AD9-92D0-59AC2A3BB06C}"/>
    <cellStyle name="SAPBEXexcCritical4 2 4 5 2" xfId="8973" xr:uid="{211616C7-A2F2-4821-ADCA-88F5ED7E92D8}"/>
    <cellStyle name="SAPBEXexcCritical4 2 4 6" xfId="8974" xr:uid="{6B843E64-D40C-48F7-9E6C-D20F618534FF}"/>
    <cellStyle name="SAPBEXexcCritical4 2 4 6 2" xfId="8975" xr:uid="{C39F6BA9-7DE4-46E3-BAB5-CA32E6A8F9B1}"/>
    <cellStyle name="SAPBEXexcCritical4 2 4 7" xfId="8976" xr:uid="{61F5B6D9-D7B9-4438-88D5-C0D304864DCD}"/>
    <cellStyle name="SAPBEXexcCritical4 2 4 7 2" xfId="8977" xr:uid="{AB75D879-C339-4029-BEA9-512EDCC5348A}"/>
    <cellStyle name="SAPBEXexcCritical4 2 4 8" xfId="8978" xr:uid="{A7664AF1-52D7-482F-8CB6-073592C55612}"/>
    <cellStyle name="SAPBEXexcCritical4 2 4 8 2" xfId="8979" xr:uid="{7F2B7105-AA4D-4B46-B201-2987CFB400FC}"/>
    <cellStyle name="SAPBEXexcCritical4 2 4 9" xfId="8980" xr:uid="{CF041AE1-02AE-48A1-AF02-6271A36CAA92}"/>
    <cellStyle name="SAPBEXexcCritical4 2 4 9 2" xfId="8981" xr:uid="{65940530-035E-4345-9F92-D0AF8057C1C6}"/>
    <cellStyle name="SAPBEXexcCritical4 2 5" xfId="8982" xr:uid="{A0AC0C39-F907-4A26-BC75-434B7C8FD910}"/>
    <cellStyle name="SAPBEXexcCritical4 2 5 2" xfId="8983" xr:uid="{B479D4BD-2687-47D7-B4A2-EF31D9AF41E8}"/>
    <cellStyle name="SAPBEXexcCritical4 2 6" xfId="8984" xr:uid="{F6E43E4E-5167-4110-807B-DFEB93E901EE}"/>
    <cellStyle name="SAPBEXexcCritical4 2 6 2" xfId="8985" xr:uid="{C36BBDF7-AA09-4A8A-A780-5CCC1F20C253}"/>
    <cellStyle name="SAPBEXexcCritical4 2 7" xfId="8986" xr:uid="{CA66D852-8906-453B-88B6-173AC4ED0B5C}"/>
    <cellStyle name="SAPBEXexcCritical4 2 7 2" xfId="8987" xr:uid="{54D87C18-59ED-4564-8F23-34583897CDFA}"/>
    <cellStyle name="SAPBEXexcCritical4 2 8" xfId="8988" xr:uid="{E7FE35BE-4876-45B4-A9FE-FD8D6510CD6B}"/>
    <cellStyle name="SAPBEXexcCritical4 2 8 2" xfId="8989" xr:uid="{D70D535F-E804-47A1-B7DE-A72112D6D103}"/>
    <cellStyle name="SAPBEXexcCritical4 2 9" xfId="8990" xr:uid="{7A172A59-8C58-4BE7-89AF-B3710D59F425}"/>
    <cellStyle name="SAPBEXexcCritical4 2 9 2" xfId="8991" xr:uid="{3E58D8CF-748C-46EE-99CD-79D73781F51C}"/>
    <cellStyle name="SAPBEXexcCritical4 2_T1 ANSP" xfId="8702" xr:uid="{195BD9B8-6AD2-40C0-AEF0-B425EBF9A5F0}"/>
    <cellStyle name="SAPBEXexcCritical4 20" xfId="8992" xr:uid="{7DBED06C-A219-4A7F-81CE-2A58A4E55D7B}"/>
    <cellStyle name="SAPBEXexcCritical4 3" xfId="1507" xr:uid="{00000000-0005-0000-0000-00006B050000}"/>
    <cellStyle name="SAPBEXexcCritical4 3 10" xfId="8994" xr:uid="{4996CA9B-DCD2-413C-BEA8-42843ABDFBB2}"/>
    <cellStyle name="SAPBEXexcCritical4 3 10 2" xfId="8995" xr:uid="{C441417A-D774-43B7-AD60-CD30B1FED8FB}"/>
    <cellStyle name="SAPBEXexcCritical4 3 11" xfId="8996" xr:uid="{E796E560-4C7A-4223-BA90-54831525C005}"/>
    <cellStyle name="SAPBEXexcCritical4 3 11 2" xfId="8997" xr:uid="{04B3554B-A533-45E7-9EDC-36B9AF0010D0}"/>
    <cellStyle name="SAPBEXexcCritical4 3 12" xfId="8998" xr:uid="{340DDABA-6F7D-4A99-98C9-C76A27C2C734}"/>
    <cellStyle name="SAPBEXexcCritical4 3 12 2" xfId="8999" xr:uid="{7828D9B2-FCA8-422C-BC55-83F78823F22A}"/>
    <cellStyle name="SAPBEXexcCritical4 3 13" xfId="9000" xr:uid="{BBE9C9F3-6CC6-49A0-A309-F90054D64DC2}"/>
    <cellStyle name="SAPBEXexcCritical4 3 13 2" xfId="9001" xr:uid="{42DFF9B4-5911-4BD7-852E-FECF7BCA2915}"/>
    <cellStyle name="SAPBEXexcCritical4 3 14" xfId="9002" xr:uid="{8350D05A-6189-4FC5-B193-9F6975D54459}"/>
    <cellStyle name="SAPBEXexcCritical4 3 14 2" xfId="9003" xr:uid="{2BD9A709-7D80-42A6-B0CF-991355E82A97}"/>
    <cellStyle name="SAPBEXexcCritical4 3 15" xfId="9004" xr:uid="{BF55E27A-9001-40E0-95B6-674D1B4C2507}"/>
    <cellStyle name="SAPBEXexcCritical4 3 15 2" xfId="9005" xr:uid="{4F15A2ED-9037-4BC6-A3E7-A97EA7EC90E2}"/>
    <cellStyle name="SAPBEXexcCritical4 3 16" xfId="9006" xr:uid="{80FCF00D-F45B-43C4-97FD-24C23A4EFCAD}"/>
    <cellStyle name="SAPBEXexcCritical4 3 16 2" xfId="9007" xr:uid="{7BB442CB-19B1-4ABB-A305-D5C408B5671E}"/>
    <cellStyle name="SAPBEXexcCritical4 3 17" xfId="9008" xr:uid="{13DE78B6-0AE1-44AF-8B3C-13C99BFEE435}"/>
    <cellStyle name="SAPBEXexcCritical4 3 17 2" xfId="9009" xr:uid="{B77688C0-455F-4CAA-9198-939DC0F108C7}"/>
    <cellStyle name="SAPBEXexcCritical4 3 18" xfId="9010" xr:uid="{FA8FE0BE-CF1E-49B1-A184-1D61EBF05341}"/>
    <cellStyle name="SAPBEXexcCritical4 3 2" xfId="9011" xr:uid="{5D9DAD42-B109-41E6-832F-7AE9E9D62FA7}"/>
    <cellStyle name="SAPBEXexcCritical4 3 2 10" xfId="9012" xr:uid="{6F835C2E-0791-4A82-9C8A-4EE92649B38B}"/>
    <cellStyle name="SAPBEXexcCritical4 3 2 10 2" xfId="9013" xr:uid="{57938E75-552D-425F-B067-4B6311768B91}"/>
    <cellStyle name="SAPBEXexcCritical4 3 2 11" xfId="9014" xr:uid="{C91C3BC0-A8BD-43C3-947C-5D99E56E0CF2}"/>
    <cellStyle name="SAPBEXexcCritical4 3 2 11 2" xfId="9015" xr:uid="{74E810F1-9D55-4B9D-ACC1-88885FF9CCE2}"/>
    <cellStyle name="SAPBEXexcCritical4 3 2 12" xfId="9016" xr:uid="{3E3F8A2B-89D1-4B89-9537-4040164DF325}"/>
    <cellStyle name="SAPBEXexcCritical4 3 2 12 2" xfId="9017" xr:uid="{CD4F6789-A3E1-494B-98D8-32AF1D9E292A}"/>
    <cellStyle name="SAPBEXexcCritical4 3 2 13" xfId="9018" xr:uid="{3B562B99-685E-4BCD-A86A-AA674F5ACB9B}"/>
    <cellStyle name="SAPBEXexcCritical4 3 2 13 2" xfId="9019" xr:uid="{F81E98AA-909E-4AAA-985F-44D5AE69E398}"/>
    <cellStyle name="SAPBEXexcCritical4 3 2 14" xfId="9020" xr:uid="{7621B5B0-6E42-4F1D-B6DD-2981110CFD5C}"/>
    <cellStyle name="SAPBEXexcCritical4 3 2 14 2" xfId="9021" xr:uid="{9A44C09C-C8EC-437E-8FFF-99472BC201D8}"/>
    <cellStyle name="SAPBEXexcCritical4 3 2 15" xfId="9022" xr:uid="{EC411C37-B282-4C9F-BA56-B04417C923D7}"/>
    <cellStyle name="SAPBEXexcCritical4 3 2 15 2" xfId="9023" xr:uid="{1C1CF5D1-F2A6-43B3-AF28-DE8ED62EDA56}"/>
    <cellStyle name="SAPBEXexcCritical4 3 2 16" xfId="9024" xr:uid="{216FBB13-EA83-4916-A723-05694EB16BCB}"/>
    <cellStyle name="SAPBEXexcCritical4 3 2 2" xfId="9025" xr:uid="{26AFF62A-EF13-41A2-BE17-D5E9145B4191}"/>
    <cellStyle name="SAPBEXexcCritical4 3 2 2 2" xfId="9026" xr:uid="{F81C07FF-9810-447A-BA59-B19FA5349D03}"/>
    <cellStyle name="SAPBEXexcCritical4 3 2 3" xfId="9027" xr:uid="{4017FCDE-F0E5-4690-9271-5B25E5E0BD0D}"/>
    <cellStyle name="SAPBEXexcCritical4 3 2 3 2" xfId="9028" xr:uid="{A96FD7D2-F9CC-4F97-90F3-204E8EB6BEA5}"/>
    <cellStyle name="SAPBEXexcCritical4 3 2 4" xfId="9029" xr:uid="{E27542A6-8F76-4A72-AF14-983F5F4C7745}"/>
    <cellStyle name="SAPBEXexcCritical4 3 2 4 2" xfId="9030" xr:uid="{FE50386A-827D-4CC7-9BB8-D98F550067B1}"/>
    <cellStyle name="SAPBEXexcCritical4 3 2 5" xfId="9031" xr:uid="{378688F0-6806-4C56-AFC0-1064AA7244DF}"/>
    <cellStyle name="SAPBEXexcCritical4 3 2 5 2" xfId="9032" xr:uid="{4F631EB4-255F-4388-A09B-07FBF8085FC9}"/>
    <cellStyle name="SAPBEXexcCritical4 3 2 6" xfId="9033" xr:uid="{57E8EB43-BB96-473C-8FC6-DB362F2323AF}"/>
    <cellStyle name="SAPBEXexcCritical4 3 2 6 2" xfId="9034" xr:uid="{F8333730-D6E2-49F7-9BFE-FE021F71C292}"/>
    <cellStyle name="SAPBEXexcCritical4 3 2 7" xfId="9035" xr:uid="{FFEA3272-7E00-4320-B85C-94F175576014}"/>
    <cellStyle name="SAPBEXexcCritical4 3 2 7 2" xfId="9036" xr:uid="{A11C215F-F3B9-428C-A670-ACB87EB2C99E}"/>
    <cellStyle name="SAPBEXexcCritical4 3 2 8" xfId="9037" xr:uid="{8F166C20-C361-4D03-8CEA-E879A3F91FFB}"/>
    <cellStyle name="SAPBEXexcCritical4 3 2 8 2" xfId="9038" xr:uid="{1C3B8807-27A5-456D-AD8A-E5F2BD335AB3}"/>
    <cellStyle name="SAPBEXexcCritical4 3 2 9" xfId="9039" xr:uid="{DE0EEBD7-7361-4909-B9FC-8FBE8A7283F2}"/>
    <cellStyle name="SAPBEXexcCritical4 3 2 9 2" xfId="9040" xr:uid="{AAFDFD22-6A36-4DFD-B707-C22A7262D171}"/>
    <cellStyle name="SAPBEXexcCritical4 3 3" xfId="9041" xr:uid="{EE1B2328-2475-4DE3-A49A-40FEB7DAC935}"/>
    <cellStyle name="SAPBEXexcCritical4 3 3 10" xfId="9042" xr:uid="{F01BDE26-C5BE-4720-AA0A-28B955B404E5}"/>
    <cellStyle name="SAPBEXexcCritical4 3 3 10 2" xfId="9043" xr:uid="{C384C454-47C7-4CE8-BB06-7840AEE7577B}"/>
    <cellStyle name="SAPBEXexcCritical4 3 3 11" xfId="9044" xr:uid="{1E017058-388B-4399-AEFE-E7859C129A8B}"/>
    <cellStyle name="SAPBEXexcCritical4 3 3 11 2" xfId="9045" xr:uid="{4B768A0D-15AE-41E2-931A-59E00417C114}"/>
    <cellStyle name="SAPBEXexcCritical4 3 3 12" xfId="9046" xr:uid="{6AD06C97-6287-40F0-8446-D6B861A7D16C}"/>
    <cellStyle name="SAPBEXexcCritical4 3 3 12 2" xfId="9047" xr:uid="{8F386380-58EA-4B44-8B50-B5BF372FAAF0}"/>
    <cellStyle name="SAPBEXexcCritical4 3 3 13" xfId="9048" xr:uid="{0B5A6F51-C834-403B-A7F4-786114778231}"/>
    <cellStyle name="SAPBEXexcCritical4 3 3 13 2" xfId="9049" xr:uid="{47959E34-887B-4F85-ABB7-B49CEDD20167}"/>
    <cellStyle name="SAPBEXexcCritical4 3 3 14" xfId="9050" xr:uid="{CBD1BB2C-6E3C-4FE6-B77E-CD606D8E690F}"/>
    <cellStyle name="SAPBEXexcCritical4 3 3 14 2" xfId="9051" xr:uid="{76DD207A-541E-4AB1-8BFD-F5786D2DE999}"/>
    <cellStyle name="SAPBEXexcCritical4 3 3 15" xfId="9052" xr:uid="{12FC4567-D090-40AA-8AAB-4AF2BD4F09FD}"/>
    <cellStyle name="SAPBEXexcCritical4 3 3 15 2" xfId="9053" xr:uid="{45950142-CB54-4971-8D1D-ABD3F56671ED}"/>
    <cellStyle name="SAPBEXexcCritical4 3 3 16" xfId="9054" xr:uid="{7876B667-72F8-4526-AB17-2A7B7838285C}"/>
    <cellStyle name="SAPBEXexcCritical4 3 3 2" xfId="9055" xr:uid="{AE59AC54-9879-4BD7-B54B-6D930CB261B1}"/>
    <cellStyle name="SAPBEXexcCritical4 3 3 2 2" xfId="9056" xr:uid="{EC1D2027-1163-45BD-B7DF-7D2AF33B2432}"/>
    <cellStyle name="SAPBEXexcCritical4 3 3 3" xfId="9057" xr:uid="{8557684E-55FF-4E4A-A2F7-410E3462903E}"/>
    <cellStyle name="SAPBEXexcCritical4 3 3 3 2" xfId="9058" xr:uid="{D063A0B5-462E-4EA6-9521-583A254D6DBA}"/>
    <cellStyle name="SAPBEXexcCritical4 3 3 4" xfId="9059" xr:uid="{32EF46C6-8155-40E8-B380-98E7624AEBF8}"/>
    <cellStyle name="SAPBEXexcCritical4 3 3 4 2" xfId="9060" xr:uid="{484B3778-4D2B-4C9E-8995-E53AC36E7D84}"/>
    <cellStyle name="SAPBEXexcCritical4 3 3 5" xfId="9061" xr:uid="{D3A85C6E-7723-44E9-8A53-EAF4531F6648}"/>
    <cellStyle name="SAPBEXexcCritical4 3 3 5 2" xfId="9062" xr:uid="{A5D5219A-50DF-423B-8C87-A93230F10EF9}"/>
    <cellStyle name="SAPBEXexcCritical4 3 3 6" xfId="9063" xr:uid="{84746927-D8F7-4AB9-8FC3-B4617BD3036C}"/>
    <cellStyle name="SAPBEXexcCritical4 3 3 6 2" xfId="9064" xr:uid="{8E189B84-5277-4278-ACE0-305CE3DFF2D8}"/>
    <cellStyle name="SAPBEXexcCritical4 3 3 7" xfId="9065" xr:uid="{23813202-B9EE-4897-BEC7-480D8FB15479}"/>
    <cellStyle name="SAPBEXexcCritical4 3 3 7 2" xfId="9066" xr:uid="{B9BAC628-D368-4550-AB6D-BB0EA594511C}"/>
    <cellStyle name="SAPBEXexcCritical4 3 3 8" xfId="9067" xr:uid="{F926AAE3-CCF7-4AE6-9B25-022C174157EB}"/>
    <cellStyle name="SAPBEXexcCritical4 3 3 8 2" xfId="9068" xr:uid="{2C1AB834-8123-47B7-9C21-796DD6260408}"/>
    <cellStyle name="SAPBEXexcCritical4 3 3 9" xfId="9069" xr:uid="{C944A5C1-6D2A-47F5-B60D-295ACC822EBD}"/>
    <cellStyle name="SAPBEXexcCritical4 3 3 9 2" xfId="9070" xr:uid="{DD2209D4-A72F-4877-A55C-BA994D2C5F57}"/>
    <cellStyle name="SAPBEXexcCritical4 3 4" xfId="9071" xr:uid="{1040CE23-EC50-48B6-8AC6-6FE5ED18D459}"/>
    <cellStyle name="SAPBEXexcCritical4 3 4 2" xfId="9072" xr:uid="{DA644569-F315-4478-8143-8AFED0D7484B}"/>
    <cellStyle name="SAPBEXexcCritical4 3 5" xfId="9073" xr:uid="{5978B60F-E802-4492-9BC6-6348369AA05B}"/>
    <cellStyle name="SAPBEXexcCritical4 3 5 2" xfId="9074" xr:uid="{02110415-4B59-4C8F-BECD-86C99D31529B}"/>
    <cellStyle name="SAPBEXexcCritical4 3 6" xfId="9075" xr:uid="{11CE1A57-E223-4751-9695-B320712C957E}"/>
    <cellStyle name="SAPBEXexcCritical4 3 6 2" xfId="9076" xr:uid="{33BB9748-A979-4EB3-89B0-738AE07C0437}"/>
    <cellStyle name="SAPBEXexcCritical4 3 7" xfId="9077" xr:uid="{1D2C7C16-2AE1-4E78-B9B3-A96CAB48E346}"/>
    <cellStyle name="SAPBEXexcCritical4 3 7 2" xfId="9078" xr:uid="{D059DA98-492D-4B75-AEE4-67A365F41D8A}"/>
    <cellStyle name="SAPBEXexcCritical4 3 8" xfId="9079" xr:uid="{30211B8E-B79A-4032-940A-9ECA916C9FCE}"/>
    <cellStyle name="SAPBEXexcCritical4 3 8 2" xfId="9080" xr:uid="{49848EB3-E7C5-4CAD-A081-2FEF94D1FE8B}"/>
    <cellStyle name="SAPBEXexcCritical4 3 9" xfId="9081" xr:uid="{B70B1069-3538-4112-82C4-4059BF3362BB}"/>
    <cellStyle name="SAPBEXexcCritical4 3 9 2" xfId="9082" xr:uid="{4A032BF7-E878-43D5-A14F-1A2FD9774FA8}"/>
    <cellStyle name="SAPBEXexcCritical4 3_T1 ANSP" xfId="8993" xr:uid="{19CB8B5F-93AA-44B3-8D9E-A3A2D84FD00C}"/>
    <cellStyle name="SAPBEXexcCritical4 4" xfId="9083" xr:uid="{25B34702-B51C-4D35-AD69-111DB91BC5E0}"/>
    <cellStyle name="SAPBEXexcCritical4 4 10" xfId="9084" xr:uid="{C6A72044-E2A9-4CDB-9604-1A4B014DBFBE}"/>
    <cellStyle name="SAPBEXexcCritical4 4 10 2" xfId="9085" xr:uid="{88447597-B0F5-4EBC-8ADB-5F369679376E}"/>
    <cellStyle name="SAPBEXexcCritical4 4 11" xfId="9086" xr:uid="{67332068-BE50-47AB-913C-4F962A726E2F}"/>
    <cellStyle name="SAPBEXexcCritical4 4 11 2" xfId="9087" xr:uid="{A4EE7BBA-F810-49AD-A2F2-1F5564D5D7FA}"/>
    <cellStyle name="SAPBEXexcCritical4 4 12" xfId="9088" xr:uid="{86E93049-39CF-4C69-A1FD-76192B3B3748}"/>
    <cellStyle name="SAPBEXexcCritical4 4 12 2" xfId="9089" xr:uid="{2A6742E1-8E68-44AC-9A48-82E1895A48A0}"/>
    <cellStyle name="SAPBEXexcCritical4 4 13" xfId="9090" xr:uid="{08C0C48E-FF85-45E1-8CDD-B685B1DF81F8}"/>
    <cellStyle name="SAPBEXexcCritical4 4 13 2" xfId="9091" xr:uid="{E00975B8-7BF2-4EA5-B3CB-A0FE6276D4ED}"/>
    <cellStyle name="SAPBEXexcCritical4 4 14" xfId="9092" xr:uid="{4E5E1419-7536-434A-BBC9-3AC0215677AB}"/>
    <cellStyle name="SAPBEXexcCritical4 4 14 2" xfId="9093" xr:uid="{730547A9-F1F2-42F8-8AF5-09A493AD8802}"/>
    <cellStyle name="SAPBEXexcCritical4 4 15" xfId="9094" xr:uid="{3EF5DF34-0154-481D-A7E1-BC84601C8682}"/>
    <cellStyle name="SAPBEXexcCritical4 4 15 2" xfId="9095" xr:uid="{0B9E1921-77B2-435E-B66C-A1DDD5352C19}"/>
    <cellStyle name="SAPBEXexcCritical4 4 16" xfId="9096" xr:uid="{D067932C-2947-4712-9F7E-9862C67C2A9A}"/>
    <cellStyle name="SAPBEXexcCritical4 4 16 2" xfId="9097" xr:uid="{C4955969-C117-45B6-9186-DEAF9FD06AD1}"/>
    <cellStyle name="SAPBEXexcCritical4 4 17" xfId="9098" xr:uid="{24308D93-A0A6-464B-AB5E-E07E4AD54E1A}"/>
    <cellStyle name="SAPBEXexcCritical4 4 17 2" xfId="9099" xr:uid="{0302683B-AD6B-47B2-AA10-317E3A5D023D}"/>
    <cellStyle name="SAPBEXexcCritical4 4 18" xfId="9100" xr:uid="{9776B954-2B32-43A1-9E5F-0A97AF760640}"/>
    <cellStyle name="SAPBEXexcCritical4 4 2" xfId="9101" xr:uid="{5F98E149-B663-4C4A-9FD9-31761B0AD649}"/>
    <cellStyle name="SAPBEXexcCritical4 4 2 10" xfId="9102" xr:uid="{EB4EB540-6749-47B2-B5C9-CB8F819261EF}"/>
    <cellStyle name="SAPBEXexcCritical4 4 2 10 2" xfId="9103" xr:uid="{D7C24550-F229-49CF-833E-4BF501601D0A}"/>
    <cellStyle name="SAPBEXexcCritical4 4 2 11" xfId="9104" xr:uid="{821C0CF8-B954-4F58-ABB7-B1B1B20C250E}"/>
    <cellStyle name="SAPBEXexcCritical4 4 2 11 2" xfId="9105" xr:uid="{C254C312-0583-480A-89C4-1F45A7F93807}"/>
    <cellStyle name="SAPBEXexcCritical4 4 2 12" xfId="9106" xr:uid="{6394642A-4E11-44C9-A8D3-2EBC46007801}"/>
    <cellStyle name="SAPBEXexcCritical4 4 2 12 2" xfId="9107" xr:uid="{264B4023-7DB9-4DA1-AEDB-85D7C7F4F6A2}"/>
    <cellStyle name="SAPBEXexcCritical4 4 2 13" xfId="9108" xr:uid="{9E9A1003-F97B-49E7-9689-30F5EF3616D3}"/>
    <cellStyle name="SAPBEXexcCritical4 4 2 13 2" xfId="9109" xr:uid="{7D76DCBB-E010-48C2-AAB7-2F56B0BDD0BC}"/>
    <cellStyle name="SAPBEXexcCritical4 4 2 14" xfId="9110" xr:uid="{35FBF5DF-A9D8-4AC7-AF52-3F23BA7086AD}"/>
    <cellStyle name="SAPBEXexcCritical4 4 2 14 2" xfId="9111" xr:uid="{C2AFD852-634B-4907-B1D4-26EC7CAB1370}"/>
    <cellStyle name="SAPBEXexcCritical4 4 2 15" xfId="9112" xr:uid="{E7102D4F-9436-4689-BCDC-66DB8E2BD2E5}"/>
    <cellStyle name="SAPBEXexcCritical4 4 2 15 2" xfId="9113" xr:uid="{E857CEE3-44EB-46C2-894D-E7058603DD51}"/>
    <cellStyle name="SAPBEXexcCritical4 4 2 16" xfId="9114" xr:uid="{B7A1FEA1-324F-4009-A89D-0A811DEA36AE}"/>
    <cellStyle name="SAPBEXexcCritical4 4 2 2" xfId="9115" xr:uid="{BDACAC95-3783-4CF7-951C-6D178C4364F9}"/>
    <cellStyle name="SAPBEXexcCritical4 4 2 2 2" xfId="9116" xr:uid="{7513B1DC-09C0-4D91-834B-0A18662A429D}"/>
    <cellStyle name="SAPBEXexcCritical4 4 2 3" xfId="9117" xr:uid="{7A878DE4-3BAD-441D-8A33-88CE5A0AB5F4}"/>
    <cellStyle name="SAPBEXexcCritical4 4 2 3 2" xfId="9118" xr:uid="{CC0891C9-165D-43C8-BF17-347C9CB6ED82}"/>
    <cellStyle name="SAPBEXexcCritical4 4 2 4" xfId="9119" xr:uid="{0A97133B-727A-42AA-9C25-8D2A5BD2A343}"/>
    <cellStyle name="SAPBEXexcCritical4 4 2 4 2" xfId="9120" xr:uid="{4FF21074-2C02-4C75-A1BC-396AD88B9621}"/>
    <cellStyle name="SAPBEXexcCritical4 4 2 5" xfId="9121" xr:uid="{0C6A8867-A6E4-4C7E-86F4-A9F234AB31E8}"/>
    <cellStyle name="SAPBEXexcCritical4 4 2 5 2" xfId="9122" xr:uid="{CEDB15F8-00FE-43D5-8E9E-E34C0C35A01E}"/>
    <cellStyle name="SAPBEXexcCritical4 4 2 6" xfId="9123" xr:uid="{F867BD78-B15B-4331-8715-9D2569B53E27}"/>
    <cellStyle name="SAPBEXexcCritical4 4 2 6 2" xfId="9124" xr:uid="{247BA4B5-B1B6-46E1-90FF-3CAD869FC087}"/>
    <cellStyle name="SAPBEXexcCritical4 4 2 7" xfId="9125" xr:uid="{9E0F808A-3236-4395-A607-307FFD3DCCAF}"/>
    <cellStyle name="SAPBEXexcCritical4 4 2 7 2" xfId="9126" xr:uid="{03E426F8-EC1B-4C13-94A0-F1D9CA6F2A1B}"/>
    <cellStyle name="SAPBEXexcCritical4 4 2 8" xfId="9127" xr:uid="{8A6A24F7-9CFB-4957-821C-3B44C89C9A6A}"/>
    <cellStyle name="SAPBEXexcCritical4 4 2 8 2" xfId="9128" xr:uid="{308CA668-17CD-4CDD-8379-3F5C5167B9C2}"/>
    <cellStyle name="SAPBEXexcCritical4 4 2 9" xfId="9129" xr:uid="{313F4FF8-833C-403E-9EE9-A90EE15270EF}"/>
    <cellStyle name="SAPBEXexcCritical4 4 2 9 2" xfId="9130" xr:uid="{40D12F38-F865-4405-90E4-BE5A714DE417}"/>
    <cellStyle name="SAPBEXexcCritical4 4 3" xfId="9131" xr:uid="{832661E8-8627-405C-8C6E-E8025F472DCD}"/>
    <cellStyle name="SAPBEXexcCritical4 4 3 10" xfId="9132" xr:uid="{793FED54-1BC8-4F20-A578-EB89F495F689}"/>
    <cellStyle name="SAPBEXexcCritical4 4 3 10 2" xfId="9133" xr:uid="{FFC390B4-A3AA-4C2F-9001-1CB120012533}"/>
    <cellStyle name="SAPBEXexcCritical4 4 3 11" xfId="9134" xr:uid="{BD9332C3-6E0B-4BEB-B52A-F2857E1F40AE}"/>
    <cellStyle name="SAPBEXexcCritical4 4 3 11 2" xfId="9135" xr:uid="{B27B7E60-A22C-474C-8C7D-DAD24EAD55BF}"/>
    <cellStyle name="SAPBEXexcCritical4 4 3 12" xfId="9136" xr:uid="{D785CEE9-7A03-4338-8EE0-AC1E969E79A6}"/>
    <cellStyle name="SAPBEXexcCritical4 4 3 12 2" xfId="9137" xr:uid="{B73495F1-BEC0-470E-86A1-37AB482EB1C6}"/>
    <cellStyle name="SAPBEXexcCritical4 4 3 13" xfId="9138" xr:uid="{32BC5955-BD3E-4FF6-8578-6BB28B3BD0AA}"/>
    <cellStyle name="SAPBEXexcCritical4 4 3 13 2" xfId="9139" xr:uid="{FB12EB10-166F-4432-B6F4-4C31646521AB}"/>
    <cellStyle name="SAPBEXexcCritical4 4 3 14" xfId="9140" xr:uid="{A0928FF6-57E9-46CA-8629-EBDA1148ED3A}"/>
    <cellStyle name="SAPBEXexcCritical4 4 3 14 2" xfId="9141" xr:uid="{7FB03330-CF4A-4119-940B-2A9408048B29}"/>
    <cellStyle name="SAPBEXexcCritical4 4 3 15" xfId="9142" xr:uid="{44C61635-9E8B-45C3-B889-4730E6BC680B}"/>
    <cellStyle name="SAPBEXexcCritical4 4 3 15 2" xfId="9143" xr:uid="{AC11DD60-A53A-447B-BF06-C2EC9CEA1595}"/>
    <cellStyle name="SAPBEXexcCritical4 4 3 16" xfId="9144" xr:uid="{8D0A5E48-4239-4BA7-BDDD-83F4990D6984}"/>
    <cellStyle name="SAPBEXexcCritical4 4 3 2" xfId="9145" xr:uid="{5CED45D0-8949-4D09-AB2D-37EA1C723D74}"/>
    <cellStyle name="SAPBEXexcCritical4 4 3 2 2" xfId="9146" xr:uid="{770E60BB-21B0-416B-8DAC-0AF694AB6DC5}"/>
    <cellStyle name="SAPBEXexcCritical4 4 3 3" xfId="9147" xr:uid="{A7E952AD-FF3D-4309-83B5-56CB467891F5}"/>
    <cellStyle name="SAPBEXexcCritical4 4 3 3 2" xfId="9148" xr:uid="{BAE9A682-66CA-4243-9F76-D9A85F3F6F88}"/>
    <cellStyle name="SAPBEXexcCritical4 4 3 4" xfId="9149" xr:uid="{989444AD-A0DC-447E-AAAE-F3FC023CCD7E}"/>
    <cellStyle name="SAPBEXexcCritical4 4 3 4 2" xfId="9150" xr:uid="{9C04CCD9-AD36-447A-A36F-DCE381BF2D0C}"/>
    <cellStyle name="SAPBEXexcCritical4 4 3 5" xfId="9151" xr:uid="{E1CFDC1D-9716-4E40-B965-2FBC266A885F}"/>
    <cellStyle name="SAPBEXexcCritical4 4 3 5 2" xfId="9152" xr:uid="{FEE676B4-344C-4BDD-89C5-2CA1A4228677}"/>
    <cellStyle name="SAPBEXexcCritical4 4 3 6" xfId="9153" xr:uid="{E66E7949-06F0-4147-8C43-04A2AFDE4C4F}"/>
    <cellStyle name="SAPBEXexcCritical4 4 3 6 2" xfId="9154" xr:uid="{8C2930A3-B26D-4DFA-A7CF-29D81A0AD8A1}"/>
    <cellStyle name="SAPBEXexcCritical4 4 3 7" xfId="9155" xr:uid="{69DD04AE-F24E-49F8-8477-6DD30059B71F}"/>
    <cellStyle name="SAPBEXexcCritical4 4 3 7 2" xfId="9156" xr:uid="{7154BD4D-D0C5-4400-9DC6-7CC9A280D7D7}"/>
    <cellStyle name="SAPBEXexcCritical4 4 3 8" xfId="9157" xr:uid="{86F6EA68-8801-4A3F-9640-FAE844F3E685}"/>
    <cellStyle name="SAPBEXexcCritical4 4 3 8 2" xfId="9158" xr:uid="{0496C623-477E-48D9-9581-692AD407B2E7}"/>
    <cellStyle name="SAPBEXexcCritical4 4 3 9" xfId="9159" xr:uid="{FE3F68D9-03CC-4AB9-9FDF-7485341D407F}"/>
    <cellStyle name="SAPBEXexcCritical4 4 3 9 2" xfId="9160" xr:uid="{3357D052-4C58-4BA4-87B6-4928A17DE655}"/>
    <cellStyle name="SAPBEXexcCritical4 4 4" xfId="9161" xr:uid="{913067BA-BB76-43FE-878E-F5FCC6A1E056}"/>
    <cellStyle name="SAPBEXexcCritical4 4 4 2" xfId="9162" xr:uid="{9640B7DE-737E-496B-B64A-28CA42776B69}"/>
    <cellStyle name="SAPBEXexcCritical4 4 5" xfId="9163" xr:uid="{8E8B4EDD-61E8-4086-B9D3-478557837AFA}"/>
    <cellStyle name="SAPBEXexcCritical4 4 5 2" xfId="9164" xr:uid="{AEC4E281-B018-47F7-9A10-DFB4DA7B771B}"/>
    <cellStyle name="SAPBEXexcCritical4 4 6" xfId="9165" xr:uid="{371FEC81-2661-44A7-88F6-7535C17266AC}"/>
    <cellStyle name="SAPBEXexcCritical4 4 6 2" xfId="9166" xr:uid="{C0271D03-5B45-4300-B7C0-54561948C7B1}"/>
    <cellStyle name="SAPBEXexcCritical4 4 7" xfId="9167" xr:uid="{270AB12D-997A-4B9D-821D-A49A1B5FCF25}"/>
    <cellStyle name="SAPBEXexcCritical4 4 7 2" xfId="9168" xr:uid="{EFB73AAF-DCE4-4556-ABE3-F30AEC75737C}"/>
    <cellStyle name="SAPBEXexcCritical4 4 8" xfId="9169" xr:uid="{ECBFFDB9-F1C3-42F7-9706-3B681082F922}"/>
    <cellStyle name="SAPBEXexcCritical4 4 8 2" xfId="9170" xr:uid="{776218F1-36AC-474D-A48D-89B9DEC76DC8}"/>
    <cellStyle name="SAPBEXexcCritical4 4 9" xfId="9171" xr:uid="{9732EDD6-55CC-4448-A919-F9B2DC28334C}"/>
    <cellStyle name="SAPBEXexcCritical4 4 9 2" xfId="9172" xr:uid="{F9336952-65DA-4F39-9A25-E3DCB548FCFF}"/>
    <cellStyle name="SAPBEXexcCritical4 5" xfId="9173" xr:uid="{DB1F16F3-003C-4506-9DED-317D97F49D99}"/>
    <cellStyle name="SAPBEXexcCritical4 5 10" xfId="9174" xr:uid="{B70C79B3-2DA2-4A4A-BCC8-7A38149F844F}"/>
    <cellStyle name="SAPBEXexcCritical4 5 10 2" xfId="9175" xr:uid="{F0302CFF-CF1C-4BC4-BE3E-0FFDD16A32B9}"/>
    <cellStyle name="SAPBEXexcCritical4 5 11" xfId="9176" xr:uid="{FEB19D59-B316-458A-933C-E1E02597C65B}"/>
    <cellStyle name="SAPBEXexcCritical4 5 11 2" xfId="9177" xr:uid="{3983DDC3-F573-4426-B04E-69A71AC031F9}"/>
    <cellStyle name="SAPBEXexcCritical4 5 12" xfId="9178" xr:uid="{26137180-F07C-4B38-AC97-CACE4EF4C1B5}"/>
    <cellStyle name="SAPBEXexcCritical4 5 12 2" xfId="9179" xr:uid="{94CA42A9-197A-4959-AE17-49BB52496920}"/>
    <cellStyle name="SAPBEXexcCritical4 5 13" xfId="9180" xr:uid="{30098C8E-8D89-44FE-8421-D04680A18AB1}"/>
    <cellStyle name="SAPBEXexcCritical4 5 13 2" xfId="9181" xr:uid="{7CD42FE3-772B-4AFB-9597-E0F537C0BB7D}"/>
    <cellStyle name="SAPBEXexcCritical4 5 14" xfId="9182" xr:uid="{713717F1-DC55-40C1-BC89-3C1ECBD04A39}"/>
    <cellStyle name="SAPBEXexcCritical4 5 14 2" xfId="9183" xr:uid="{37309027-CDB4-4972-8EFF-4E60C693E69F}"/>
    <cellStyle name="SAPBEXexcCritical4 5 15" xfId="9184" xr:uid="{0807D1E8-4C51-46D1-94EC-54B766E83428}"/>
    <cellStyle name="SAPBEXexcCritical4 5 15 2" xfId="9185" xr:uid="{38DB6A94-C6D2-48BC-9E3B-81965E141744}"/>
    <cellStyle name="SAPBEXexcCritical4 5 16" xfId="9186" xr:uid="{1141148D-CA16-408A-94C1-3C1843DBE56B}"/>
    <cellStyle name="SAPBEXexcCritical4 5 2" xfId="9187" xr:uid="{61FD8ADB-CCF0-44A0-9724-B7B5D167DB85}"/>
    <cellStyle name="SAPBEXexcCritical4 5 2 2" xfId="9188" xr:uid="{4A5111D5-0630-4FE5-A328-0F3822B77DAB}"/>
    <cellStyle name="SAPBEXexcCritical4 5 3" xfId="9189" xr:uid="{0A0E6EE3-CC7B-4226-8F7F-5E50217969AB}"/>
    <cellStyle name="SAPBEXexcCritical4 5 3 2" xfId="9190" xr:uid="{B08853C1-0449-40FD-BB3E-880E1EC6D77F}"/>
    <cellStyle name="SAPBEXexcCritical4 5 4" xfId="9191" xr:uid="{BE8FA7BB-E164-4EB0-A22B-6733AD2019E6}"/>
    <cellStyle name="SAPBEXexcCritical4 5 4 2" xfId="9192" xr:uid="{A802D080-302F-494C-AECB-276EBB0E0A5D}"/>
    <cellStyle name="SAPBEXexcCritical4 5 5" xfId="9193" xr:uid="{78ACA4C0-1584-4BE1-A71E-6786794C34FC}"/>
    <cellStyle name="SAPBEXexcCritical4 5 5 2" xfId="9194" xr:uid="{60526E7C-B177-47EB-A2E5-A2BD9F129D80}"/>
    <cellStyle name="SAPBEXexcCritical4 5 6" xfId="9195" xr:uid="{0094B148-E9E2-4187-9CC6-958620A4EF32}"/>
    <cellStyle name="SAPBEXexcCritical4 5 6 2" xfId="9196" xr:uid="{6F1F1C14-40D2-4ADF-A9DB-EF8A74B1879F}"/>
    <cellStyle name="SAPBEXexcCritical4 5 7" xfId="9197" xr:uid="{600BACCD-DF04-4BF1-85D2-181571BC7B79}"/>
    <cellStyle name="SAPBEXexcCritical4 5 7 2" xfId="9198" xr:uid="{8944549C-8949-4B11-94E3-C755B570F27C}"/>
    <cellStyle name="SAPBEXexcCritical4 5 8" xfId="9199" xr:uid="{64A406C1-C16B-4B9B-A824-F78BF59E5C52}"/>
    <cellStyle name="SAPBEXexcCritical4 5 8 2" xfId="9200" xr:uid="{29178387-1F60-4DBB-8274-99900409F540}"/>
    <cellStyle name="SAPBEXexcCritical4 5 9" xfId="9201" xr:uid="{6EB94F36-30C0-49F5-90F5-B44A415963D8}"/>
    <cellStyle name="SAPBEXexcCritical4 5 9 2" xfId="9202" xr:uid="{8B948890-3A6F-4046-930E-E7D8E745E011}"/>
    <cellStyle name="SAPBEXexcCritical4 6" xfId="9203" xr:uid="{53D1152D-BA6E-49EA-B371-CA3913A465F8}"/>
    <cellStyle name="SAPBEXexcCritical4 6 2" xfId="9204" xr:uid="{F0E7FDD8-0101-4F92-9E15-3AC25DF07A1D}"/>
    <cellStyle name="SAPBEXexcCritical4 7" xfId="9205" xr:uid="{5B0B137E-6042-4531-8412-C7546B7BC82F}"/>
    <cellStyle name="SAPBEXexcCritical4 7 2" xfId="9206" xr:uid="{7991EFDA-D04D-46FB-B39F-710F7CF977AA}"/>
    <cellStyle name="SAPBEXexcCritical4 8" xfId="9207" xr:uid="{382F1331-2DDC-4B11-9AF1-533D848E5B66}"/>
    <cellStyle name="SAPBEXexcCritical4 8 2" xfId="9208" xr:uid="{004EEF52-81DE-4C7F-AF3D-FE32A251D195}"/>
    <cellStyle name="SAPBEXexcCritical4 9" xfId="9209" xr:uid="{FCB776CE-1164-4789-896B-B6C5FCE9E7A5}"/>
    <cellStyle name="SAPBEXexcCritical4 9 2" xfId="9210" xr:uid="{BE37A242-301A-4147-84CC-063FF7FCC7C4}"/>
    <cellStyle name="SAPBEXexcCritical4_T1 ANSP" xfId="8681" xr:uid="{C16686E7-033A-491E-89A0-62491AC59F50}"/>
    <cellStyle name="SAPBEXexcCritical5" xfId="735" xr:uid="{00000000-0005-0000-0000-00006C050000}"/>
    <cellStyle name="SAPBEXexcCritical5 10" xfId="9212" xr:uid="{72F258C4-B0B8-491A-8AEB-FC7FB38BCA1D}"/>
    <cellStyle name="SAPBEXexcCritical5 10 2" xfId="9213" xr:uid="{CA10F096-FCB7-4432-9AE3-908A29FD17DC}"/>
    <cellStyle name="SAPBEXexcCritical5 11" xfId="9214" xr:uid="{AB949845-63B3-4141-A34D-E33483DFF822}"/>
    <cellStyle name="SAPBEXexcCritical5 11 2" xfId="9215" xr:uid="{18599361-6016-467E-B9E7-458C36359657}"/>
    <cellStyle name="SAPBEXexcCritical5 12" xfId="9216" xr:uid="{A3806E00-6885-4FD7-B65E-F357D577E2F1}"/>
    <cellStyle name="SAPBEXexcCritical5 12 2" xfId="9217" xr:uid="{BE16E493-ACA2-4FBB-8B06-46E59E442AB0}"/>
    <cellStyle name="SAPBEXexcCritical5 13" xfId="9218" xr:uid="{51523F96-C01A-4D7C-BA73-BE4E16CB786F}"/>
    <cellStyle name="SAPBEXexcCritical5 13 2" xfId="9219" xr:uid="{D34299CE-447E-446D-BE2B-796BAA3270D2}"/>
    <cellStyle name="SAPBEXexcCritical5 14" xfId="9220" xr:uid="{FE38A8AF-378A-4FD6-AD73-55FC8C34E213}"/>
    <cellStyle name="SAPBEXexcCritical5 14 2" xfId="9221" xr:uid="{DA489D50-CBAE-4ADA-9F81-B9DDEE322CA8}"/>
    <cellStyle name="SAPBEXexcCritical5 15" xfId="9222" xr:uid="{6B10A06B-7EE7-419C-87F6-E38DF7F885DF}"/>
    <cellStyle name="SAPBEXexcCritical5 15 2" xfId="9223" xr:uid="{A380C740-0AC5-40CB-9B96-314CAF3EB00B}"/>
    <cellStyle name="SAPBEXexcCritical5 16" xfId="9224" xr:uid="{7AD4A575-4D2F-41E9-860A-360F8221B643}"/>
    <cellStyle name="SAPBEXexcCritical5 16 2" xfId="9225" xr:uid="{71905596-B7F9-487B-863B-840679516C37}"/>
    <cellStyle name="SAPBEXexcCritical5 17" xfId="9226" xr:uid="{B97C5B3E-82BA-49FC-945D-B8DA4D92F607}"/>
    <cellStyle name="SAPBEXexcCritical5 17 2" xfId="9227" xr:uid="{0BADE31F-8C9E-44E2-9237-D5CEA5C51893}"/>
    <cellStyle name="SAPBEXexcCritical5 18" xfId="9228" xr:uid="{4145F535-65E5-49B6-BA1D-7BA6C705BCC2}"/>
    <cellStyle name="SAPBEXexcCritical5 18 2" xfId="9229" xr:uid="{46F7F248-3963-496C-BD4C-DE79406449E1}"/>
    <cellStyle name="SAPBEXexcCritical5 19" xfId="9230" xr:uid="{7E9B6021-07D7-4D3B-B8D5-DA0F3EA3E7C5}"/>
    <cellStyle name="SAPBEXexcCritical5 19 2" xfId="9231" xr:uid="{ADB1540F-805B-489E-98F8-55687E186104}"/>
    <cellStyle name="SAPBEXexcCritical5 2" xfId="1550" xr:uid="{00000000-0005-0000-0000-00006D050000}"/>
    <cellStyle name="SAPBEXexcCritical5 2 10" xfId="9233" xr:uid="{DFAD9056-D5DE-4465-B67F-15258CEF3117}"/>
    <cellStyle name="SAPBEXexcCritical5 2 10 2" xfId="9234" xr:uid="{B2669D1B-DFF2-4D3A-A878-91A10BE62F45}"/>
    <cellStyle name="SAPBEXexcCritical5 2 11" xfId="9235" xr:uid="{0946FA99-138F-4ACF-A5A6-96B679452CDA}"/>
    <cellStyle name="SAPBEXexcCritical5 2 11 2" xfId="9236" xr:uid="{A239C46B-D191-483D-ACB8-7F7AE8441B0D}"/>
    <cellStyle name="SAPBEXexcCritical5 2 12" xfId="9237" xr:uid="{0046D7F8-4D2F-4D28-A842-77C9B99AF3B3}"/>
    <cellStyle name="SAPBEXexcCritical5 2 12 2" xfId="9238" xr:uid="{0A3F4DAF-7B28-4CE7-84A1-11242BDD2990}"/>
    <cellStyle name="SAPBEXexcCritical5 2 13" xfId="9239" xr:uid="{EF6D0A17-E30E-4832-BE5E-1D6BFAA9B87E}"/>
    <cellStyle name="SAPBEXexcCritical5 2 13 2" xfId="9240" xr:uid="{63993BE6-9E20-46D3-A532-639785CD5F67}"/>
    <cellStyle name="SAPBEXexcCritical5 2 14" xfId="9241" xr:uid="{494F4049-BEC3-4107-A8AC-AB15E8E8F3E8}"/>
    <cellStyle name="SAPBEXexcCritical5 2 14 2" xfId="9242" xr:uid="{49B02854-FCDC-4C39-82D0-C432FE792654}"/>
    <cellStyle name="SAPBEXexcCritical5 2 15" xfId="9243" xr:uid="{4449471E-8711-4528-9481-4F757222AF3C}"/>
    <cellStyle name="SAPBEXexcCritical5 2 15 2" xfId="9244" xr:uid="{56F987CC-CCD6-4477-8819-03B9AFB758C1}"/>
    <cellStyle name="SAPBEXexcCritical5 2 16" xfId="9245" xr:uid="{4F057733-9203-4211-88B6-7872228E5F3B}"/>
    <cellStyle name="SAPBEXexcCritical5 2 16 2" xfId="9246" xr:uid="{B4258A36-6CBB-4A10-8E06-92534E2F1FB0}"/>
    <cellStyle name="SAPBEXexcCritical5 2 17" xfId="9247" xr:uid="{8E31E18C-D3DA-4369-BEE5-B1803186AD04}"/>
    <cellStyle name="SAPBEXexcCritical5 2 17 2" xfId="9248" xr:uid="{CD198E17-4C9D-43C0-A138-B5F9ED43D746}"/>
    <cellStyle name="SAPBEXexcCritical5 2 18" xfId="9249" xr:uid="{D838B678-9F3E-436B-AE1F-74EE03CC2817}"/>
    <cellStyle name="SAPBEXexcCritical5 2 18 2" xfId="9250" xr:uid="{B17EF68F-BED7-4AB0-8005-1090399626F8}"/>
    <cellStyle name="SAPBEXexcCritical5 2 2" xfId="9251" xr:uid="{E5428A2C-7A61-4EF4-A48F-A40BB88F9970}"/>
    <cellStyle name="SAPBEXexcCritical5 2 2 10" xfId="9252" xr:uid="{8B575B3C-663E-4FC1-B403-7DD65B009305}"/>
    <cellStyle name="SAPBEXexcCritical5 2 2 10 2" xfId="9253" xr:uid="{91E0B321-EFA6-42C5-826D-1C410F174334}"/>
    <cellStyle name="SAPBEXexcCritical5 2 2 11" xfId="9254" xr:uid="{4B5325E7-2FF5-4EC0-AAF2-AA6CCE4D1D40}"/>
    <cellStyle name="SAPBEXexcCritical5 2 2 11 2" xfId="9255" xr:uid="{2FCAF5CC-32CC-43AA-889D-FCC8E96A4C00}"/>
    <cellStyle name="SAPBEXexcCritical5 2 2 12" xfId="9256" xr:uid="{2A0FF1DD-72D7-49D2-BE0D-0F79964EBE38}"/>
    <cellStyle name="SAPBEXexcCritical5 2 2 12 2" xfId="9257" xr:uid="{70C46E0C-2CD3-4B9B-B59F-880EEED1BB5F}"/>
    <cellStyle name="SAPBEXexcCritical5 2 2 13" xfId="9258" xr:uid="{4A6AD137-E94D-4F7C-A71E-13AC0E6E6D8B}"/>
    <cellStyle name="SAPBEXexcCritical5 2 2 13 2" xfId="9259" xr:uid="{9B28260B-2BBE-438A-91B4-10274F02E3E8}"/>
    <cellStyle name="SAPBEXexcCritical5 2 2 14" xfId="9260" xr:uid="{24492912-F97B-46DD-B089-B9DC584D1B77}"/>
    <cellStyle name="SAPBEXexcCritical5 2 2 14 2" xfId="9261" xr:uid="{EAF1FE9B-7C57-4174-B60F-9FF65E8AE27B}"/>
    <cellStyle name="SAPBEXexcCritical5 2 2 15" xfId="9262" xr:uid="{829C8E01-566D-4780-8D30-33DA55021564}"/>
    <cellStyle name="SAPBEXexcCritical5 2 2 15 2" xfId="9263" xr:uid="{2B3203A5-467A-43BA-A6AE-F8173017F0B2}"/>
    <cellStyle name="SAPBEXexcCritical5 2 2 16" xfId="9264" xr:uid="{10C91453-5A03-4CA7-B149-58E5E7013C4C}"/>
    <cellStyle name="SAPBEXexcCritical5 2 2 16 2" xfId="9265" xr:uid="{23A59BFA-70A6-410B-B115-9350FFF91C80}"/>
    <cellStyle name="SAPBEXexcCritical5 2 2 17" xfId="9266" xr:uid="{573F0BF0-1730-4E3C-9854-52D986F11F3A}"/>
    <cellStyle name="SAPBEXexcCritical5 2 2 17 2" xfId="9267" xr:uid="{98EEC0A5-6BCB-41CD-A9C3-07C80E4C9A17}"/>
    <cellStyle name="SAPBEXexcCritical5 2 2 2" xfId="9268" xr:uid="{A255855D-A6C6-4475-BCEF-909E63E5AE27}"/>
    <cellStyle name="SAPBEXexcCritical5 2 2 2 10" xfId="9269" xr:uid="{B77684F3-7093-47BE-9B42-4764555D85BB}"/>
    <cellStyle name="SAPBEXexcCritical5 2 2 2 10 2" xfId="9270" xr:uid="{6D0A0E8F-28AE-48DC-AA7F-B04649121AB0}"/>
    <cellStyle name="SAPBEXexcCritical5 2 2 2 11" xfId="9271" xr:uid="{A987A0BE-51BD-4971-8BFB-6603F01C1179}"/>
    <cellStyle name="SAPBEXexcCritical5 2 2 2 11 2" xfId="9272" xr:uid="{E9001CF8-B094-4EA3-AE19-332D67D23A56}"/>
    <cellStyle name="SAPBEXexcCritical5 2 2 2 12" xfId="9273" xr:uid="{CBE5E827-0574-46BC-B5F0-F268781449CC}"/>
    <cellStyle name="SAPBEXexcCritical5 2 2 2 12 2" xfId="9274" xr:uid="{63C40B20-7321-47E7-ABAD-8600C8F63DD0}"/>
    <cellStyle name="SAPBEXexcCritical5 2 2 2 13" xfId="9275" xr:uid="{E23CDA9A-8020-40A0-B647-0CC5FB401F59}"/>
    <cellStyle name="SAPBEXexcCritical5 2 2 2 13 2" xfId="9276" xr:uid="{B5F352E0-01FC-4E29-ADB9-0FC2923443D2}"/>
    <cellStyle name="SAPBEXexcCritical5 2 2 2 14" xfId="9277" xr:uid="{67B74797-AFCB-4FA1-9E1B-E7932006EC83}"/>
    <cellStyle name="SAPBEXexcCritical5 2 2 2 14 2" xfId="9278" xr:uid="{0C2E0602-BB06-4019-91E4-2B2ED21A38BF}"/>
    <cellStyle name="SAPBEXexcCritical5 2 2 2 15" xfId="9279" xr:uid="{D766DDFB-4403-4A58-B173-35FCBB678441}"/>
    <cellStyle name="SAPBEXexcCritical5 2 2 2 15 2" xfId="9280" xr:uid="{DFF9EF1A-12A4-4C11-AAA8-B37DE100901B}"/>
    <cellStyle name="SAPBEXexcCritical5 2 2 2 2" xfId="9281" xr:uid="{A23056A8-206B-47F1-8237-51F5738546C3}"/>
    <cellStyle name="SAPBEXexcCritical5 2 2 2 2 2" xfId="9282" xr:uid="{61278EAC-499C-4BFA-ABE0-EE7361207475}"/>
    <cellStyle name="SAPBEXexcCritical5 2 2 2 3" xfId="9283" xr:uid="{AA876EC5-095F-4806-A6AC-AFC66E903261}"/>
    <cellStyle name="SAPBEXexcCritical5 2 2 2 3 2" xfId="9284" xr:uid="{29DEC333-5F93-41F5-B87C-9FAAA7450BED}"/>
    <cellStyle name="SAPBEXexcCritical5 2 2 2 4" xfId="9285" xr:uid="{A568F440-7801-4360-8F12-ACBF8CD6294B}"/>
    <cellStyle name="SAPBEXexcCritical5 2 2 2 4 2" xfId="9286" xr:uid="{E679AB12-78B0-4734-9259-C652D6EE6C0C}"/>
    <cellStyle name="SAPBEXexcCritical5 2 2 2 5" xfId="9287" xr:uid="{7F41EDCE-EF07-403E-8623-9AA61020E896}"/>
    <cellStyle name="SAPBEXexcCritical5 2 2 2 5 2" xfId="9288" xr:uid="{4714608D-78EE-45C6-96BE-13CA2D2A00D2}"/>
    <cellStyle name="SAPBEXexcCritical5 2 2 2 6" xfId="9289" xr:uid="{092A58C1-0CAC-48D9-BA93-BD5DE1368363}"/>
    <cellStyle name="SAPBEXexcCritical5 2 2 2 6 2" xfId="9290" xr:uid="{62BB1FF4-0439-408C-8CF7-96C4D8D12F20}"/>
    <cellStyle name="SAPBEXexcCritical5 2 2 2 7" xfId="9291" xr:uid="{7C9F40DE-36EF-47B3-BF4A-33A88DA47D69}"/>
    <cellStyle name="SAPBEXexcCritical5 2 2 2 7 2" xfId="9292" xr:uid="{2DF8B56D-FA39-44E4-A88D-512FFF54EF2E}"/>
    <cellStyle name="SAPBEXexcCritical5 2 2 2 8" xfId="9293" xr:uid="{B70F7452-E444-467A-B59F-4224FBAC08E5}"/>
    <cellStyle name="SAPBEXexcCritical5 2 2 2 8 2" xfId="9294" xr:uid="{61326887-1AFD-42A3-9875-714D0061EE9A}"/>
    <cellStyle name="SAPBEXexcCritical5 2 2 2 9" xfId="9295" xr:uid="{D634D210-7D41-4A6B-8E1D-3BF7F7998BAF}"/>
    <cellStyle name="SAPBEXexcCritical5 2 2 2 9 2" xfId="9296" xr:uid="{4225E7C9-12FA-4BF0-8487-3DF8906ED2BE}"/>
    <cellStyle name="SAPBEXexcCritical5 2 2 3" xfId="9297" xr:uid="{DCB86A26-4AAA-4663-A6DA-3640DDCF43E9}"/>
    <cellStyle name="SAPBEXexcCritical5 2 2 3 10" xfId="9298" xr:uid="{2AB2E519-40FE-4153-9499-452781AB07FD}"/>
    <cellStyle name="SAPBEXexcCritical5 2 2 3 10 2" xfId="9299" xr:uid="{28883E05-794E-4735-8C66-B151C8440001}"/>
    <cellStyle name="SAPBEXexcCritical5 2 2 3 11" xfId="9300" xr:uid="{BC9520E8-6096-4B9C-AD18-A1BC92CB9E4C}"/>
    <cellStyle name="SAPBEXexcCritical5 2 2 3 11 2" xfId="9301" xr:uid="{B6BD2AAA-18E0-4B5D-86BB-3F111874DA98}"/>
    <cellStyle name="SAPBEXexcCritical5 2 2 3 12" xfId="9302" xr:uid="{C9E5EA37-3191-4745-AD89-37EC91A0A6EE}"/>
    <cellStyle name="SAPBEXexcCritical5 2 2 3 12 2" xfId="9303" xr:uid="{89F019EB-54AA-463E-9744-1B2BA7C415E5}"/>
    <cellStyle name="SAPBEXexcCritical5 2 2 3 13" xfId="9304" xr:uid="{E3C97347-4F5D-4667-B43C-BA91A07F9DB0}"/>
    <cellStyle name="SAPBEXexcCritical5 2 2 3 13 2" xfId="9305" xr:uid="{09661DFD-6B94-48AE-91A9-B6056072C8F0}"/>
    <cellStyle name="SAPBEXexcCritical5 2 2 3 14" xfId="9306" xr:uid="{2B6022BF-4BCE-4D92-8E2B-F01E48493CF2}"/>
    <cellStyle name="SAPBEXexcCritical5 2 2 3 14 2" xfId="9307" xr:uid="{2F15C584-C7D6-46CF-AB4A-878557D50F66}"/>
    <cellStyle name="SAPBEXexcCritical5 2 2 3 15" xfId="9308" xr:uid="{00592649-3A26-47A8-AA51-012E9DEF5AB0}"/>
    <cellStyle name="SAPBEXexcCritical5 2 2 3 15 2" xfId="9309" xr:uid="{7FB7C52E-D53D-4502-A4FB-53A2F24F5672}"/>
    <cellStyle name="SAPBEXexcCritical5 2 2 3 2" xfId="9310" xr:uid="{92211E1A-2282-4EE5-B896-93DDD1652589}"/>
    <cellStyle name="SAPBEXexcCritical5 2 2 3 2 2" xfId="9311" xr:uid="{91EA89F5-4689-4E70-8BF4-287021A4B0B1}"/>
    <cellStyle name="SAPBEXexcCritical5 2 2 3 3" xfId="9312" xr:uid="{41655CC4-BD33-4997-9AF6-540FCF5D197D}"/>
    <cellStyle name="SAPBEXexcCritical5 2 2 3 3 2" xfId="9313" xr:uid="{40041440-FEB1-49F6-A9A2-121279DC22E0}"/>
    <cellStyle name="SAPBEXexcCritical5 2 2 3 4" xfId="9314" xr:uid="{598A700E-B9DE-4B30-AB50-CCF929C7FFDB}"/>
    <cellStyle name="SAPBEXexcCritical5 2 2 3 4 2" xfId="9315" xr:uid="{25D9B987-6C6D-4880-BAC3-9C3064070695}"/>
    <cellStyle name="SAPBEXexcCritical5 2 2 3 5" xfId="9316" xr:uid="{773BCF10-3617-4859-84B6-FF9F97F8D6A1}"/>
    <cellStyle name="SAPBEXexcCritical5 2 2 3 5 2" xfId="9317" xr:uid="{41908017-A09D-4C89-BE78-EC8FC0CA9A55}"/>
    <cellStyle name="SAPBEXexcCritical5 2 2 3 6" xfId="9318" xr:uid="{073B943A-3A4B-481C-A74A-497C82DD9590}"/>
    <cellStyle name="SAPBEXexcCritical5 2 2 3 6 2" xfId="9319" xr:uid="{B06FB2F2-14E3-41BE-BDB2-E76924A826A3}"/>
    <cellStyle name="SAPBEXexcCritical5 2 2 3 7" xfId="9320" xr:uid="{9877596B-0441-41B4-9CC0-6AC8B9B1A465}"/>
    <cellStyle name="SAPBEXexcCritical5 2 2 3 7 2" xfId="9321" xr:uid="{96B2874B-98F6-4E1E-A6B5-121D44A5D2A9}"/>
    <cellStyle name="SAPBEXexcCritical5 2 2 3 8" xfId="9322" xr:uid="{8C17B337-F110-4F60-92D6-9016BDA3C1FE}"/>
    <cellStyle name="SAPBEXexcCritical5 2 2 3 8 2" xfId="9323" xr:uid="{6F883E5F-225B-4FCF-99F0-B59B9A38E2C9}"/>
    <cellStyle name="SAPBEXexcCritical5 2 2 3 9" xfId="9324" xr:uid="{EA540B0A-D4DE-402B-9F6B-D4C47E36E835}"/>
    <cellStyle name="SAPBEXexcCritical5 2 2 3 9 2" xfId="9325" xr:uid="{43E03DCB-BFC8-47EF-BF6A-95842B4BAC21}"/>
    <cellStyle name="SAPBEXexcCritical5 2 2 4" xfId="9326" xr:uid="{1FC20AD9-E583-4B06-AA0F-D91B6AAD00FF}"/>
    <cellStyle name="SAPBEXexcCritical5 2 2 4 2" xfId="9327" xr:uid="{138EFB6D-2868-492D-A97F-750C640FC905}"/>
    <cellStyle name="SAPBEXexcCritical5 2 2 5" xfId="9328" xr:uid="{C67BCF18-58EB-4496-B457-D3F82F602027}"/>
    <cellStyle name="SAPBEXexcCritical5 2 2 5 2" xfId="9329" xr:uid="{1AC74151-D9E4-4D7B-99FC-92FF65F952E7}"/>
    <cellStyle name="SAPBEXexcCritical5 2 2 6" xfId="9330" xr:uid="{7FF571D7-89A5-4A4B-B30A-46C72F9004A0}"/>
    <cellStyle name="SAPBEXexcCritical5 2 2 6 2" xfId="9331" xr:uid="{3AAFE835-2786-4135-98F2-53EA1794A152}"/>
    <cellStyle name="SAPBEXexcCritical5 2 2 7" xfId="9332" xr:uid="{96B912DC-A427-431B-918E-7DFF3A2751E5}"/>
    <cellStyle name="SAPBEXexcCritical5 2 2 7 2" xfId="9333" xr:uid="{50CA0CF3-2349-42AF-8ECC-6EE405C42CD9}"/>
    <cellStyle name="SAPBEXexcCritical5 2 2 8" xfId="9334" xr:uid="{C005E188-AB00-4A9B-BDB2-4BB8109A6814}"/>
    <cellStyle name="SAPBEXexcCritical5 2 2 8 2" xfId="9335" xr:uid="{75325C92-30F0-4824-83EC-A5DC01E61576}"/>
    <cellStyle name="SAPBEXexcCritical5 2 2 9" xfId="9336" xr:uid="{4A1B23D3-E817-48E2-B940-5A1449C0BB91}"/>
    <cellStyle name="SAPBEXexcCritical5 2 2 9 2" xfId="9337" xr:uid="{817424A2-52F5-4A68-9184-9BB8B3A111D6}"/>
    <cellStyle name="SAPBEXexcCritical5 2 3" xfId="9338" xr:uid="{D00AD756-B058-4BF0-8734-A3DFDD12AF43}"/>
    <cellStyle name="SAPBEXexcCritical5 2 3 10" xfId="9339" xr:uid="{036FAD8C-F8DF-4E26-B058-A4E693EF5430}"/>
    <cellStyle name="SAPBEXexcCritical5 2 3 10 2" xfId="9340" xr:uid="{DFFC4AB2-BCDD-4671-B359-3CD3C288DF32}"/>
    <cellStyle name="SAPBEXexcCritical5 2 3 11" xfId="9341" xr:uid="{811AE24A-E6A5-4E9F-B7D6-E47180CA00D1}"/>
    <cellStyle name="SAPBEXexcCritical5 2 3 11 2" xfId="9342" xr:uid="{B577F6BE-8CBB-442B-BB5E-9A5FF4639AED}"/>
    <cellStyle name="SAPBEXexcCritical5 2 3 12" xfId="9343" xr:uid="{5F8926A0-D531-40BD-9EDB-A93779D2760D}"/>
    <cellStyle name="SAPBEXexcCritical5 2 3 12 2" xfId="9344" xr:uid="{341925F4-106B-45AB-B396-8D3402243561}"/>
    <cellStyle name="SAPBEXexcCritical5 2 3 13" xfId="9345" xr:uid="{EAFA5B84-4C2F-4921-B82B-31EAAEF15E79}"/>
    <cellStyle name="SAPBEXexcCritical5 2 3 13 2" xfId="9346" xr:uid="{A782C8DB-5862-465F-8A91-6179772020B1}"/>
    <cellStyle name="SAPBEXexcCritical5 2 3 14" xfId="9347" xr:uid="{61A87DD7-B884-4CD2-8ADD-4B109519855F}"/>
    <cellStyle name="SAPBEXexcCritical5 2 3 14 2" xfId="9348" xr:uid="{DC1AB1D1-5427-47AC-B294-BAF71BC988AC}"/>
    <cellStyle name="SAPBEXexcCritical5 2 3 15" xfId="9349" xr:uid="{FF5DBEA5-081A-433A-801A-EF8107B88207}"/>
    <cellStyle name="SAPBEXexcCritical5 2 3 15 2" xfId="9350" xr:uid="{4A3B9A5B-402E-48F0-9C57-8BD93EDFB83D}"/>
    <cellStyle name="SAPBEXexcCritical5 2 3 16" xfId="9351" xr:uid="{F3394736-B2DA-4563-849F-8425CA614E6D}"/>
    <cellStyle name="SAPBEXexcCritical5 2 3 16 2" xfId="9352" xr:uid="{BA7BCE19-AD74-42F1-8D82-0F0EC37A0709}"/>
    <cellStyle name="SAPBEXexcCritical5 2 3 17" xfId="9353" xr:uid="{39962064-F138-4BBB-A26B-6103F2DC081C}"/>
    <cellStyle name="SAPBEXexcCritical5 2 3 17 2" xfId="9354" xr:uid="{23629C64-84BE-4DA8-AFC6-386EFEDEBD4C}"/>
    <cellStyle name="SAPBEXexcCritical5 2 3 2" xfId="9355" xr:uid="{60A662ED-146C-4C2D-B60E-79BB559E7DC7}"/>
    <cellStyle name="SAPBEXexcCritical5 2 3 2 10" xfId="9356" xr:uid="{E45C9A94-F1A5-4103-BA62-107BFB763399}"/>
    <cellStyle name="SAPBEXexcCritical5 2 3 2 10 2" xfId="9357" xr:uid="{021CCF87-163E-4BF3-87F6-539F54B3105E}"/>
    <cellStyle name="SAPBEXexcCritical5 2 3 2 11" xfId="9358" xr:uid="{A691FBFF-D23A-4051-B49F-DC21E3915924}"/>
    <cellStyle name="SAPBEXexcCritical5 2 3 2 11 2" xfId="9359" xr:uid="{C74E1C8B-ADA9-40AF-9719-03F08D36ADF7}"/>
    <cellStyle name="SAPBEXexcCritical5 2 3 2 12" xfId="9360" xr:uid="{C0A7C224-9217-4FA1-BE5F-A1343DCB9ECD}"/>
    <cellStyle name="SAPBEXexcCritical5 2 3 2 12 2" xfId="9361" xr:uid="{6AA56387-F654-44BE-BD1C-509875FB41F0}"/>
    <cellStyle name="SAPBEXexcCritical5 2 3 2 13" xfId="9362" xr:uid="{A6FBC3D5-DCFA-4F8D-9E3C-2D3AD21FADCC}"/>
    <cellStyle name="SAPBEXexcCritical5 2 3 2 13 2" xfId="9363" xr:uid="{F387FF8B-6601-415F-ADEE-B701AAC5DC51}"/>
    <cellStyle name="SAPBEXexcCritical5 2 3 2 14" xfId="9364" xr:uid="{2CB25638-71EA-499B-9053-34E403A110BD}"/>
    <cellStyle name="SAPBEXexcCritical5 2 3 2 14 2" xfId="9365" xr:uid="{3C1B3F33-5B75-4FD1-A2D6-1BAE4E936A7F}"/>
    <cellStyle name="SAPBEXexcCritical5 2 3 2 15" xfId="9366" xr:uid="{580B3757-244D-4E60-ABA5-5F5AFA80CE74}"/>
    <cellStyle name="SAPBEXexcCritical5 2 3 2 15 2" xfId="9367" xr:uid="{62D053CE-358D-45E0-A03B-199F1B87A00D}"/>
    <cellStyle name="SAPBEXexcCritical5 2 3 2 2" xfId="9368" xr:uid="{4AA198BC-39E5-4A44-9244-A4EB9CCFFDC9}"/>
    <cellStyle name="SAPBEXexcCritical5 2 3 2 2 2" xfId="9369" xr:uid="{130BF963-0305-495E-998B-69614F7C705A}"/>
    <cellStyle name="SAPBEXexcCritical5 2 3 2 3" xfId="9370" xr:uid="{563912B5-9EC2-4238-BC94-15A18CC5A7BC}"/>
    <cellStyle name="SAPBEXexcCritical5 2 3 2 3 2" xfId="9371" xr:uid="{62D37CF9-4853-4FE8-A7B8-C9B5013BA0DB}"/>
    <cellStyle name="SAPBEXexcCritical5 2 3 2 4" xfId="9372" xr:uid="{E8ED8256-E7E7-44E5-BDB6-AA00C12D6E12}"/>
    <cellStyle name="SAPBEXexcCritical5 2 3 2 4 2" xfId="9373" xr:uid="{017159E8-CFF8-408D-8093-12B4B0489551}"/>
    <cellStyle name="SAPBEXexcCritical5 2 3 2 5" xfId="9374" xr:uid="{7D612305-1B42-4BD1-856B-DA8E7B8873DE}"/>
    <cellStyle name="SAPBEXexcCritical5 2 3 2 5 2" xfId="9375" xr:uid="{0054389A-8731-4512-B0EB-DEA15B88468B}"/>
    <cellStyle name="SAPBEXexcCritical5 2 3 2 6" xfId="9376" xr:uid="{54CA9A8F-A4D3-4D18-9DCB-F28874400B13}"/>
    <cellStyle name="SAPBEXexcCritical5 2 3 2 6 2" xfId="9377" xr:uid="{0D0F9CB5-3548-49D8-9209-10DC85FED659}"/>
    <cellStyle name="SAPBEXexcCritical5 2 3 2 7" xfId="9378" xr:uid="{8C0C0048-31AC-4BCA-9C83-FBBC1E4EAB63}"/>
    <cellStyle name="SAPBEXexcCritical5 2 3 2 7 2" xfId="9379" xr:uid="{D31B16AB-A169-4747-A69A-8175E0B5069B}"/>
    <cellStyle name="SAPBEXexcCritical5 2 3 2 8" xfId="9380" xr:uid="{F6A3D1C6-7126-4AC8-8016-B6CEEF4C5E3D}"/>
    <cellStyle name="SAPBEXexcCritical5 2 3 2 8 2" xfId="9381" xr:uid="{80F14B4E-6F2E-4938-AA13-429D59618E4A}"/>
    <cellStyle name="SAPBEXexcCritical5 2 3 2 9" xfId="9382" xr:uid="{DB89FF98-0FE7-481E-B1DE-B1631F664788}"/>
    <cellStyle name="SAPBEXexcCritical5 2 3 2 9 2" xfId="9383" xr:uid="{7AE7E03A-F866-438C-A4EE-C5805E5931A8}"/>
    <cellStyle name="SAPBEXexcCritical5 2 3 3" xfId="9384" xr:uid="{A6902906-2964-4E17-8692-EDFD80EE1361}"/>
    <cellStyle name="SAPBEXexcCritical5 2 3 3 10" xfId="9385" xr:uid="{A919B787-2229-4888-B066-CA4DA741EF5A}"/>
    <cellStyle name="SAPBEXexcCritical5 2 3 3 10 2" xfId="9386" xr:uid="{EAED6EC4-BB59-4862-A1EA-EEFB9AC6C430}"/>
    <cellStyle name="SAPBEXexcCritical5 2 3 3 11" xfId="9387" xr:uid="{4DE1025D-9CA2-4449-893A-9424A131E4B4}"/>
    <cellStyle name="SAPBEXexcCritical5 2 3 3 11 2" xfId="9388" xr:uid="{D7680D02-253D-4BB3-B51E-FF6760FADF42}"/>
    <cellStyle name="SAPBEXexcCritical5 2 3 3 12" xfId="9389" xr:uid="{4258D2E8-772E-496B-8784-6E1840E5A5EF}"/>
    <cellStyle name="SAPBEXexcCritical5 2 3 3 12 2" xfId="9390" xr:uid="{B894B5F7-D8F5-466C-88AC-8A8A453E004A}"/>
    <cellStyle name="SAPBEXexcCritical5 2 3 3 13" xfId="9391" xr:uid="{B0AA1DA7-53C1-4690-82B7-AC0D28B17881}"/>
    <cellStyle name="SAPBEXexcCritical5 2 3 3 13 2" xfId="9392" xr:uid="{109DD65E-DB15-416F-BA1C-C05B7F3F2648}"/>
    <cellStyle name="SAPBEXexcCritical5 2 3 3 14" xfId="9393" xr:uid="{F6BFA1C1-CC7D-4D40-8092-F570879ECC0A}"/>
    <cellStyle name="SAPBEXexcCritical5 2 3 3 14 2" xfId="9394" xr:uid="{D7DDA96A-6EF9-44C9-B252-4A2FC5F19BBE}"/>
    <cellStyle name="SAPBEXexcCritical5 2 3 3 15" xfId="9395" xr:uid="{A1577E84-88FE-458F-A7C0-BC656172B066}"/>
    <cellStyle name="SAPBEXexcCritical5 2 3 3 15 2" xfId="9396" xr:uid="{B9D9C867-FAFE-4904-9BF5-6661CB69FEB1}"/>
    <cellStyle name="SAPBEXexcCritical5 2 3 3 2" xfId="9397" xr:uid="{DCB7ABB2-8BDE-4490-9873-AB99C2AEE42C}"/>
    <cellStyle name="SAPBEXexcCritical5 2 3 3 2 2" xfId="9398" xr:uid="{B3A9D1F6-3D57-41A3-AAB8-3E4726977E4C}"/>
    <cellStyle name="SAPBEXexcCritical5 2 3 3 3" xfId="9399" xr:uid="{7ED21D86-7DE7-4874-B3F0-29374DB931D0}"/>
    <cellStyle name="SAPBEXexcCritical5 2 3 3 3 2" xfId="9400" xr:uid="{A8B84526-1F13-4784-B681-282D04B4A054}"/>
    <cellStyle name="SAPBEXexcCritical5 2 3 3 4" xfId="9401" xr:uid="{1807949F-7CCB-41F5-BEC3-F724518B5DDF}"/>
    <cellStyle name="SAPBEXexcCritical5 2 3 3 4 2" xfId="9402" xr:uid="{1582B9D5-7815-464E-AB67-C1572AB94BD5}"/>
    <cellStyle name="SAPBEXexcCritical5 2 3 3 5" xfId="9403" xr:uid="{647F469E-F605-4752-8740-AA6E9E24A958}"/>
    <cellStyle name="SAPBEXexcCritical5 2 3 3 5 2" xfId="9404" xr:uid="{35C865B7-179E-437F-8C9F-672B17CF69C6}"/>
    <cellStyle name="SAPBEXexcCritical5 2 3 3 6" xfId="9405" xr:uid="{6E007FD0-9E14-4F19-ABC8-3332AFADC814}"/>
    <cellStyle name="SAPBEXexcCritical5 2 3 3 6 2" xfId="9406" xr:uid="{6EB3B84E-42FA-47F1-8DFC-F34C94DBE9E3}"/>
    <cellStyle name="SAPBEXexcCritical5 2 3 3 7" xfId="9407" xr:uid="{198EFAAA-7DEF-4A93-B643-2CCC814BF3C5}"/>
    <cellStyle name="SAPBEXexcCritical5 2 3 3 7 2" xfId="9408" xr:uid="{B066E53C-EFC4-42EC-938A-4956A24ACCEF}"/>
    <cellStyle name="SAPBEXexcCritical5 2 3 3 8" xfId="9409" xr:uid="{64F4CF8B-5864-4A4D-A349-2F47B5AC5D86}"/>
    <cellStyle name="SAPBEXexcCritical5 2 3 3 8 2" xfId="9410" xr:uid="{8D88E1D8-0004-49B3-9BD8-5EE8B41698E4}"/>
    <cellStyle name="SAPBEXexcCritical5 2 3 3 9" xfId="9411" xr:uid="{4BB81A50-30D8-455C-9ADA-8283FA772FC6}"/>
    <cellStyle name="SAPBEXexcCritical5 2 3 3 9 2" xfId="9412" xr:uid="{7B359F7C-8266-48DC-929C-16D681806053}"/>
    <cellStyle name="SAPBEXexcCritical5 2 3 4" xfId="9413" xr:uid="{8513A52A-A2F9-4894-B9E4-ACB13E7048D4}"/>
    <cellStyle name="SAPBEXexcCritical5 2 3 4 2" xfId="9414" xr:uid="{80ED37E6-7B44-43F0-8DBB-AC11B8ABBEB2}"/>
    <cellStyle name="SAPBEXexcCritical5 2 3 5" xfId="9415" xr:uid="{CEF9FA93-40F1-4BAA-9196-EBC9E05325EF}"/>
    <cellStyle name="SAPBEXexcCritical5 2 3 5 2" xfId="9416" xr:uid="{9D85DC4A-6921-4265-89D0-A23FCD47081C}"/>
    <cellStyle name="SAPBEXexcCritical5 2 3 6" xfId="9417" xr:uid="{CB94D49D-5EC4-40D9-8B27-536EAC90C3E3}"/>
    <cellStyle name="SAPBEXexcCritical5 2 3 6 2" xfId="9418" xr:uid="{374F8034-E0C8-4A4B-A348-A0E45916FC02}"/>
    <cellStyle name="SAPBEXexcCritical5 2 3 7" xfId="9419" xr:uid="{FAD23EFE-286C-466D-BDCB-D64F9158C66D}"/>
    <cellStyle name="SAPBEXexcCritical5 2 3 7 2" xfId="9420" xr:uid="{65C876AB-0E2B-465B-BF1E-7AD3E5E7EE61}"/>
    <cellStyle name="SAPBEXexcCritical5 2 3 8" xfId="9421" xr:uid="{C63204C1-70E7-448D-A27E-118C6858F83E}"/>
    <cellStyle name="SAPBEXexcCritical5 2 3 8 2" xfId="9422" xr:uid="{9DDFD127-6F13-4E0E-AADC-4910530243CC}"/>
    <cellStyle name="SAPBEXexcCritical5 2 3 9" xfId="9423" xr:uid="{F065B357-5D5B-4EB1-AF4A-AC133767B0E9}"/>
    <cellStyle name="SAPBEXexcCritical5 2 3 9 2" xfId="9424" xr:uid="{B042D204-36FD-4D90-A4F5-9F0FD3621A51}"/>
    <cellStyle name="SAPBEXexcCritical5 2 4" xfId="9425" xr:uid="{6FD1F11A-3D44-497B-9CCA-1C8D47055927}"/>
    <cellStyle name="SAPBEXexcCritical5 2 4 10" xfId="9426" xr:uid="{1AC54D4B-88E3-49FB-BA1A-B1576C297EC6}"/>
    <cellStyle name="SAPBEXexcCritical5 2 4 10 2" xfId="9427" xr:uid="{D12C5E66-F98C-462C-9245-64C833841B90}"/>
    <cellStyle name="SAPBEXexcCritical5 2 4 11" xfId="9428" xr:uid="{4096A882-EB35-455B-9DBC-2948E7022090}"/>
    <cellStyle name="SAPBEXexcCritical5 2 4 11 2" xfId="9429" xr:uid="{22A3FFC6-7C3A-4AE9-94DB-07D0E1EA3CBF}"/>
    <cellStyle name="SAPBEXexcCritical5 2 4 12" xfId="9430" xr:uid="{8E513DBE-D86E-46AB-B532-8A6BC63770D4}"/>
    <cellStyle name="SAPBEXexcCritical5 2 4 12 2" xfId="9431" xr:uid="{61E4B5D5-9910-4E7F-8F6F-B655D45152C9}"/>
    <cellStyle name="SAPBEXexcCritical5 2 4 13" xfId="9432" xr:uid="{F83F706A-2E34-4989-92AA-42C2A8EFB420}"/>
    <cellStyle name="SAPBEXexcCritical5 2 4 13 2" xfId="9433" xr:uid="{B6FA97CE-43EA-470A-B279-736DFDAC993A}"/>
    <cellStyle name="SAPBEXexcCritical5 2 4 14" xfId="9434" xr:uid="{AB53B849-C58B-426E-8521-EAE18F9EFCA9}"/>
    <cellStyle name="SAPBEXexcCritical5 2 4 14 2" xfId="9435" xr:uid="{2B7188A2-DC67-4A7A-8F85-A53554F9C012}"/>
    <cellStyle name="SAPBEXexcCritical5 2 4 15" xfId="9436" xr:uid="{C9C01F3B-A938-4CA2-B433-617E1E6D6C6B}"/>
    <cellStyle name="SAPBEXexcCritical5 2 4 15 2" xfId="9437" xr:uid="{8E51708C-32BA-4DCD-86E1-05847ABE9EC3}"/>
    <cellStyle name="SAPBEXexcCritical5 2 4 16" xfId="9438" xr:uid="{C3C4BE6A-A7F0-4F45-988B-E0273EF88487}"/>
    <cellStyle name="SAPBEXexcCritical5 2 4 16 2" xfId="9439" xr:uid="{C1DF2F1A-7A58-4DA4-ABD2-6A104A42BE72}"/>
    <cellStyle name="SAPBEXexcCritical5 2 4 17" xfId="9440" xr:uid="{FF130390-9350-4E9F-8A30-E6704CCE0A7A}"/>
    <cellStyle name="SAPBEXexcCritical5 2 4 17 2" xfId="9441" xr:uid="{DBAE2C06-C61E-40BD-B854-B2C447BC6212}"/>
    <cellStyle name="SAPBEXexcCritical5 2 4 2" xfId="9442" xr:uid="{23D72916-82C1-4BDC-9D78-DB7B30F67396}"/>
    <cellStyle name="SAPBEXexcCritical5 2 4 2 10" xfId="9443" xr:uid="{EFE1AED7-007E-40B9-A955-46D6918FF9A3}"/>
    <cellStyle name="SAPBEXexcCritical5 2 4 2 10 2" xfId="9444" xr:uid="{9C97B81A-5555-4788-AA70-BCE682E94026}"/>
    <cellStyle name="SAPBEXexcCritical5 2 4 2 11" xfId="9445" xr:uid="{131EFE00-C48F-4480-B2AF-F14EF41D5095}"/>
    <cellStyle name="SAPBEXexcCritical5 2 4 2 11 2" xfId="9446" xr:uid="{48936F03-4C8B-4E75-BB0D-172F41FB9B47}"/>
    <cellStyle name="SAPBEXexcCritical5 2 4 2 12" xfId="9447" xr:uid="{35B6E9AE-A1F3-4B74-BBCB-235A992E7296}"/>
    <cellStyle name="SAPBEXexcCritical5 2 4 2 12 2" xfId="9448" xr:uid="{AB9B558D-384C-4659-A4C4-230464B9D9BE}"/>
    <cellStyle name="SAPBEXexcCritical5 2 4 2 13" xfId="9449" xr:uid="{D5A8471A-DAE7-4A9B-95F9-24DD77F757B2}"/>
    <cellStyle name="SAPBEXexcCritical5 2 4 2 13 2" xfId="9450" xr:uid="{3EAB56C3-8FD0-4FF7-AEFC-898E042C516C}"/>
    <cellStyle name="SAPBEXexcCritical5 2 4 2 14" xfId="9451" xr:uid="{62AA7C23-F704-426B-895F-7ECEBBEB5CB7}"/>
    <cellStyle name="SAPBEXexcCritical5 2 4 2 14 2" xfId="9452" xr:uid="{8CE71B0E-4904-49D9-B2D0-02742896D36A}"/>
    <cellStyle name="SAPBEXexcCritical5 2 4 2 15" xfId="9453" xr:uid="{E8259495-2BC7-43AB-911C-66DA30EF989D}"/>
    <cellStyle name="SAPBEXexcCritical5 2 4 2 15 2" xfId="9454" xr:uid="{5F92CA06-CD48-4EC0-BDEE-671ACB5E1412}"/>
    <cellStyle name="SAPBEXexcCritical5 2 4 2 2" xfId="9455" xr:uid="{C7CD389E-24C6-47A8-97C0-46F58AA5D4EF}"/>
    <cellStyle name="SAPBEXexcCritical5 2 4 2 2 2" xfId="9456" xr:uid="{83788EDB-6B9F-432F-A5F7-F9ADBCA0ADE3}"/>
    <cellStyle name="SAPBEXexcCritical5 2 4 2 3" xfId="9457" xr:uid="{BF7088AB-C68A-45C4-8C75-A16937543094}"/>
    <cellStyle name="SAPBEXexcCritical5 2 4 2 3 2" xfId="9458" xr:uid="{2F26C6E3-2C8A-479C-B321-B1BBD16DE1E0}"/>
    <cellStyle name="SAPBEXexcCritical5 2 4 2 4" xfId="9459" xr:uid="{20993005-C996-4735-A420-B08E71A88C4C}"/>
    <cellStyle name="SAPBEXexcCritical5 2 4 2 4 2" xfId="9460" xr:uid="{1AB660AB-DF14-4DA9-8727-516B30FBA874}"/>
    <cellStyle name="SAPBEXexcCritical5 2 4 2 5" xfId="9461" xr:uid="{4E4095A1-A31E-46DB-9A27-A03B80783E98}"/>
    <cellStyle name="SAPBEXexcCritical5 2 4 2 5 2" xfId="9462" xr:uid="{DD37A2FF-4221-48B0-96F8-CE9EC0366772}"/>
    <cellStyle name="SAPBEXexcCritical5 2 4 2 6" xfId="9463" xr:uid="{8A2B1229-3B88-4B74-A261-98A392C0444E}"/>
    <cellStyle name="SAPBEXexcCritical5 2 4 2 6 2" xfId="9464" xr:uid="{176DD418-2B94-4DF0-813A-08937706D448}"/>
    <cellStyle name="SAPBEXexcCritical5 2 4 2 7" xfId="9465" xr:uid="{D0C691B8-9793-4F9B-906D-27C52B58F1F5}"/>
    <cellStyle name="SAPBEXexcCritical5 2 4 2 7 2" xfId="9466" xr:uid="{10032EEF-C97E-40D9-B899-C2F28CAA4B02}"/>
    <cellStyle name="SAPBEXexcCritical5 2 4 2 8" xfId="9467" xr:uid="{909B403D-B15D-4803-B8B7-CB141DE910AC}"/>
    <cellStyle name="SAPBEXexcCritical5 2 4 2 8 2" xfId="9468" xr:uid="{38A54178-EDD6-43D8-9825-5167DA23556D}"/>
    <cellStyle name="SAPBEXexcCritical5 2 4 2 9" xfId="9469" xr:uid="{28546BB0-1451-4B0D-BF02-60278FD2E89F}"/>
    <cellStyle name="SAPBEXexcCritical5 2 4 2 9 2" xfId="9470" xr:uid="{975A37AF-1EE9-46E4-88F6-02FA985AAF66}"/>
    <cellStyle name="SAPBEXexcCritical5 2 4 3" xfId="9471" xr:uid="{F48D6D1F-94D0-4596-A77E-A778CD76A49D}"/>
    <cellStyle name="SAPBEXexcCritical5 2 4 3 10" xfId="9472" xr:uid="{3C52796A-E982-4516-BF3F-6B7CAFFC544C}"/>
    <cellStyle name="SAPBEXexcCritical5 2 4 3 10 2" xfId="9473" xr:uid="{8BAA6E1F-108F-49A1-9E04-0389B0524C84}"/>
    <cellStyle name="SAPBEXexcCritical5 2 4 3 11" xfId="9474" xr:uid="{860AECC1-1E7D-40F5-98CD-7F262DCE5555}"/>
    <cellStyle name="SAPBEXexcCritical5 2 4 3 11 2" xfId="9475" xr:uid="{E38F5AA3-0A59-4DB9-ABCB-5AD50341FFA4}"/>
    <cellStyle name="SAPBEXexcCritical5 2 4 3 12" xfId="9476" xr:uid="{A2460639-B750-4BCD-BBE5-39234CA09993}"/>
    <cellStyle name="SAPBEXexcCritical5 2 4 3 12 2" xfId="9477" xr:uid="{11675BE9-250E-44A5-BC44-3149CEAD9E31}"/>
    <cellStyle name="SAPBEXexcCritical5 2 4 3 13" xfId="9478" xr:uid="{79F1559A-6756-49A1-915B-0C423B4F377F}"/>
    <cellStyle name="SAPBEXexcCritical5 2 4 3 13 2" xfId="9479" xr:uid="{9DAAE34E-AE92-47C0-8790-94C6663D28D2}"/>
    <cellStyle name="SAPBEXexcCritical5 2 4 3 14" xfId="9480" xr:uid="{77F4935E-9BE1-4968-8FC8-960E37BA80F1}"/>
    <cellStyle name="SAPBEXexcCritical5 2 4 3 14 2" xfId="9481" xr:uid="{80CAC7C7-B22C-418F-BE34-089A91B8F66A}"/>
    <cellStyle name="SAPBEXexcCritical5 2 4 3 15" xfId="9482" xr:uid="{58794A81-8D9B-4D7B-A132-354902ED0102}"/>
    <cellStyle name="SAPBEXexcCritical5 2 4 3 15 2" xfId="9483" xr:uid="{50416D5F-558E-4EE0-AB7C-1D7294DD1B57}"/>
    <cellStyle name="SAPBEXexcCritical5 2 4 3 2" xfId="9484" xr:uid="{65D32283-F269-41F1-8F4F-F1A750EF693E}"/>
    <cellStyle name="SAPBEXexcCritical5 2 4 3 2 2" xfId="9485" xr:uid="{DFC6E6A7-300F-4906-9D10-C5D07E2AE9DF}"/>
    <cellStyle name="SAPBEXexcCritical5 2 4 3 3" xfId="9486" xr:uid="{13937D57-71CC-4A9C-AC08-1D13C8138399}"/>
    <cellStyle name="SAPBEXexcCritical5 2 4 3 3 2" xfId="9487" xr:uid="{813D6590-886F-4670-9C42-84C58DEA6266}"/>
    <cellStyle name="SAPBEXexcCritical5 2 4 3 4" xfId="9488" xr:uid="{9713829B-874D-4336-93FF-8A785D0EF2F2}"/>
    <cellStyle name="SAPBEXexcCritical5 2 4 3 4 2" xfId="9489" xr:uid="{8100927E-B816-409F-B3FE-17AD561331B2}"/>
    <cellStyle name="SAPBEXexcCritical5 2 4 3 5" xfId="9490" xr:uid="{729A211B-5E75-4DFB-952A-CE270C20254B}"/>
    <cellStyle name="SAPBEXexcCritical5 2 4 3 5 2" xfId="9491" xr:uid="{0C299554-FA89-4F21-9ABE-6058218BC12F}"/>
    <cellStyle name="SAPBEXexcCritical5 2 4 3 6" xfId="9492" xr:uid="{4822B8C9-3C5A-4F94-949F-78797A874561}"/>
    <cellStyle name="SAPBEXexcCritical5 2 4 3 6 2" xfId="9493" xr:uid="{C18A374D-C646-4409-9774-59514A01AC54}"/>
    <cellStyle name="SAPBEXexcCritical5 2 4 3 7" xfId="9494" xr:uid="{4EC014CA-03EA-49B3-95B5-ABD4F298845D}"/>
    <cellStyle name="SAPBEXexcCritical5 2 4 3 7 2" xfId="9495" xr:uid="{06C009D7-E395-4147-92FE-C5D3E10A0257}"/>
    <cellStyle name="SAPBEXexcCritical5 2 4 3 8" xfId="9496" xr:uid="{3E80A464-FF61-4AD2-A2E4-F7676AD76539}"/>
    <cellStyle name="SAPBEXexcCritical5 2 4 3 8 2" xfId="9497" xr:uid="{812E6A1B-3B38-4D52-8DB5-9E667E0751F1}"/>
    <cellStyle name="SAPBEXexcCritical5 2 4 3 9" xfId="9498" xr:uid="{06E65171-45AC-4EE7-BBB5-6E714B6F3C29}"/>
    <cellStyle name="SAPBEXexcCritical5 2 4 3 9 2" xfId="9499" xr:uid="{112F3BD3-120E-4C36-B352-C56CCADFBBC4}"/>
    <cellStyle name="SAPBEXexcCritical5 2 4 4" xfId="9500" xr:uid="{1FE0FACE-9DF1-4302-BF5A-ECA5F7143B60}"/>
    <cellStyle name="SAPBEXexcCritical5 2 4 4 2" xfId="9501" xr:uid="{832C60FD-28D2-4228-A99C-4293DC556F3A}"/>
    <cellStyle name="SAPBEXexcCritical5 2 4 5" xfId="9502" xr:uid="{75BECF10-1EA3-4ABE-BD79-E9C9B1C8ECE3}"/>
    <cellStyle name="SAPBEXexcCritical5 2 4 5 2" xfId="9503" xr:uid="{4489E30B-8266-4F06-A615-08CE086F50EF}"/>
    <cellStyle name="SAPBEXexcCritical5 2 4 6" xfId="9504" xr:uid="{227857B8-EBB3-4EAA-89B9-AF1DF41AEB06}"/>
    <cellStyle name="SAPBEXexcCritical5 2 4 6 2" xfId="9505" xr:uid="{11A2B8E8-9721-4A20-AFC5-BAC0169017FB}"/>
    <cellStyle name="SAPBEXexcCritical5 2 4 7" xfId="9506" xr:uid="{3DB1FFBC-6D5C-4B48-8761-4695FB553BC3}"/>
    <cellStyle name="SAPBEXexcCritical5 2 4 7 2" xfId="9507" xr:uid="{6A19C94B-159F-4EAF-8C39-FBEB597B9597}"/>
    <cellStyle name="SAPBEXexcCritical5 2 4 8" xfId="9508" xr:uid="{D48FB93E-8AFF-43AC-989D-D4B5675BBB8E}"/>
    <cellStyle name="SAPBEXexcCritical5 2 4 8 2" xfId="9509" xr:uid="{76413A66-09D0-4602-847B-5E610442D466}"/>
    <cellStyle name="SAPBEXexcCritical5 2 4 9" xfId="9510" xr:uid="{E79F37A9-66EF-478B-934E-C6E4398E718E}"/>
    <cellStyle name="SAPBEXexcCritical5 2 4 9 2" xfId="9511" xr:uid="{0EE50244-24D1-43C3-B1F1-D574E92406AB}"/>
    <cellStyle name="SAPBEXexcCritical5 2 5" xfId="9512" xr:uid="{D253364C-4028-43A3-BEEC-D1F1D35BB9D3}"/>
    <cellStyle name="SAPBEXexcCritical5 2 5 2" xfId="9513" xr:uid="{08A2CCA7-7B28-4A3E-A7E9-3A795A5330D8}"/>
    <cellStyle name="SAPBEXexcCritical5 2 6" xfId="9514" xr:uid="{29747C55-FADC-4241-BEE6-77700F4BB54F}"/>
    <cellStyle name="SAPBEXexcCritical5 2 6 2" xfId="9515" xr:uid="{CED81F97-1B16-40A7-A7BC-CAF0C7EE3D6E}"/>
    <cellStyle name="SAPBEXexcCritical5 2 7" xfId="9516" xr:uid="{97B4503C-FE11-4D3F-A347-2D4876FE8943}"/>
    <cellStyle name="SAPBEXexcCritical5 2 7 2" xfId="9517" xr:uid="{7AE89F71-27C8-4493-A512-942AB0E6F41E}"/>
    <cellStyle name="SAPBEXexcCritical5 2 8" xfId="9518" xr:uid="{98937CFC-53C7-4DDD-B6C7-0D216FD558EE}"/>
    <cellStyle name="SAPBEXexcCritical5 2 8 2" xfId="9519" xr:uid="{DAB9EB49-0597-41C9-BC62-7A7758BF6C90}"/>
    <cellStyle name="SAPBEXexcCritical5 2 9" xfId="9520" xr:uid="{F8B92F5A-59C5-4D32-96A1-18C957F965C3}"/>
    <cellStyle name="SAPBEXexcCritical5 2 9 2" xfId="9521" xr:uid="{713F6DCA-E1B4-421B-864E-1CABD894B62E}"/>
    <cellStyle name="SAPBEXexcCritical5 2_T1 ANSP" xfId="9232" xr:uid="{CC9D4B25-7E2C-4E6D-A28D-732E27A5A322}"/>
    <cellStyle name="SAPBEXexcCritical5 20" xfId="9522" xr:uid="{749F51B3-C00E-49A2-87D0-7C93386B100F}"/>
    <cellStyle name="SAPBEXexcCritical5 3" xfId="1508" xr:uid="{00000000-0005-0000-0000-00006E050000}"/>
    <cellStyle name="SAPBEXexcCritical5 3 10" xfId="9524" xr:uid="{C4FA7224-E090-4AA5-A7C9-21BE7D37D13F}"/>
    <cellStyle name="SAPBEXexcCritical5 3 10 2" xfId="9525" xr:uid="{075FEB62-F7E0-4BB7-8AC1-65DA537EB11E}"/>
    <cellStyle name="SAPBEXexcCritical5 3 11" xfId="9526" xr:uid="{106ADC23-9279-4BF0-A1AA-D361754E6FBF}"/>
    <cellStyle name="SAPBEXexcCritical5 3 11 2" xfId="9527" xr:uid="{2048C173-06BD-4D2B-8628-4E327C7A677B}"/>
    <cellStyle name="SAPBEXexcCritical5 3 12" xfId="9528" xr:uid="{6B18E4CE-8A45-42E1-9EF5-D1F1533C5E4D}"/>
    <cellStyle name="SAPBEXexcCritical5 3 12 2" xfId="9529" xr:uid="{1D56CC51-4E73-4631-965D-5CBC2939CD43}"/>
    <cellStyle name="SAPBEXexcCritical5 3 13" xfId="9530" xr:uid="{C0CE1EC2-8E43-40C6-8376-582C9A28C41B}"/>
    <cellStyle name="SAPBEXexcCritical5 3 13 2" xfId="9531" xr:uid="{FAFE9A7E-B336-4249-87AC-3E43CCFEE05F}"/>
    <cellStyle name="SAPBEXexcCritical5 3 14" xfId="9532" xr:uid="{2E37B06D-9270-4186-BC19-06BB85CEC25F}"/>
    <cellStyle name="SAPBEXexcCritical5 3 14 2" xfId="9533" xr:uid="{A2777190-259E-4A40-9684-998036A53236}"/>
    <cellStyle name="SAPBEXexcCritical5 3 15" xfId="9534" xr:uid="{2EE26F65-DDD0-48CB-B492-F9188FFAF1CB}"/>
    <cellStyle name="SAPBEXexcCritical5 3 15 2" xfId="9535" xr:uid="{2614FDE7-2BBD-4049-95B3-2A6A37849BE2}"/>
    <cellStyle name="SAPBEXexcCritical5 3 16" xfId="9536" xr:uid="{4EC8408B-96C4-4154-B1B7-DCC82D734AC2}"/>
    <cellStyle name="SAPBEXexcCritical5 3 16 2" xfId="9537" xr:uid="{C59DCBD5-7231-4839-AB93-32E04C7EC920}"/>
    <cellStyle name="SAPBEXexcCritical5 3 17" xfId="9538" xr:uid="{E753E4AB-1DCA-4B78-8EAC-4DC697C765E6}"/>
    <cellStyle name="SAPBEXexcCritical5 3 17 2" xfId="9539" xr:uid="{E34FB2B6-EDF7-4979-938A-5D94EBB6F850}"/>
    <cellStyle name="SAPBEXexcCritical5 3 18" xfId="9540" xr:uid="{CC279C4C-9121-4B58-AFB8-307153D17932}"/>
    <cellStyle name="SAPBEXexcCritical5 3 2" xfId="9541" xr:uid="{2185B6E3-F024-46DC-879C-029FE56E8A19}"/>
    <cellStyle name="SAPBEXexcCritical5 3 2 10" xfId="9542" xr:uid="{37B16701-6791-4BAF-BA1F-00A6F1BA113A}"/>
    <cellStyle name="SAPBEXexcCritical5 3 2 10 2" xfId="9543" xr:uid="{49087B3A-4AE1-473E-949C-83AB882F85D6}"/>
    <cellStyle name="SAPBEXexcCritical5 3 2 11" xfId="9544" xr:uid="{63825FE9-FDAA-4D1E-806B-DCD2D0970E80}"/>
    <cellStyle name="SAPBEXexcCritical5 3 2 11 2" xfId="9545" xr:uid="{DBE3C30E-2D7E-4900-87F8-9BA7A5F2CB30}"/>
    <cellStyle name="SAPBEXexcCritical5 3 2 12" xfId="9546" xr:uid="{9676F196-99BB-4F59-B9DE-5B5AE8987F55}"/>
    <cellStyle name="SAPBEXexcCritical5 3 2 12 2" xfId="9547" xr:uid="{90DBC3BD-B613-482B-B32C-119BC9E1D6AC}"/>
    <cellStyle name="SAPBEXexcCritical5 3 2 13" xfId="9548" xr:uid="{899F7392-97AD-4557-9B75-E073DACB77DB}"/>
    <cellStyle name="SAPBEXexcCritical5 3 2 13 2" xfId="9549" xr:uid="{E9F9AD7D-ECEB-434C-A331-86DFA74B05E1}"/>
    <cellStyle name="SAPBEXexcCritical5 3 2 14" xfId="9550" xr:uid="{8F119F30-A563-492C-B2B0-14C35CD82725}"/>
    <cellStyle name="SAPBEXexcCritical5 3 2 14 2" xfId="9551" xr:uid="{84E857FE-A637-478F-8F02-504CFAD2C4C0}"/>
    <cellStyle name="SAPBEXexcCritical5 3 2 15" xfId="9552" xr:uid="{96E75210-5BA9-4EB2-BDA2-D4C6ADE96718}"/>
    <cellStyle name="SAPBEXexcCritical5 3 2 15 2" xfId="9553" xr:uid="{FBDD175F-87D6-4C85-B964-59383EAFA9BC}"/>
    <cellStyle name="SAPBEXexcCritical5 3 2 16" xfId="9554" xr:uid="{E4752B0E-B11B-4B66-B131-4E4E47940DB2}"/>
    <cellStyle name="SAPBEXexcCritical5 3 2 2" xfId="9555" xr:uid="{3BBC2DD0-B1BA-43D6-AFEA-65BC3FAB4659}"/>
    <cellStyle name="SAPBEXexcCritical5 3 2 2 2" xfId="9556" xr:uid="{44309F88-0B85-4154-9B38-21FCA10BDBD0}"/>
    <cellStyle name="SAPBEXexcCritical5 3 2 3" xfId="9557" xr:uid="{8E45D68B-C816-4A54-B419-C1570C341506}"/>
    <cellStyle name="SAPBEXexcCritical5 3 2 3 2" xfId="9558" xr:uid="{D412BF19-289C-4BE3-B9FD-D5A44ACDA911}"/>
    <cellStyle name="SAPBEXexcCritical5 3 2 4" xfId="9559" xr:uid="{02A4AF8F-E54D-495D-BED5-7CA7CD20DECB}"/>
    <cellStyle name="SAPBEXexcCritical5 3 2 4 2" xfId="9560" xr:uid="{21988E04-3327-449C-A9B0-4B776761EBA4}"/>
    <cellStyle name="SAPBEXexcCritical5 3 2 5" xfId="9561" xr:uid="{2E5AB955-32E0-48DB-9459-8DDC62968672}"/>
    <cellStyle name="SAPBEXexcCritical5 3 2 5 2" xfId="9562" xr:uid="{98A6F61D-4306-407F-941E-A6F09EAFEF76}"/>
    <cellStyle name="SAPBEXexcCritical5 3 2 6" xfId="9563" xr:uid="{3F4F9870-0149-454D-9F8D-AF8E0272B6AE}"/>
    <cellStyle name="SAPBEXexcCritical5 3 2 6 2" xfId="9564" xr:uid="{1A9DED7E-8AA8-49F3-BE82-BA1FD57E5798}"/>
    <cellStyle name="SAPBEXexcCritical5 3 2 7" xfId="9565" xr:uid="{2B5BD919-C381-4E1C-8C24-7854F2269588}"/>
    <cellStyle name="SAPBEXexcCritical5 3 2 7 2" xfId="9566" xr:uid="{57591247-5BBA-4BCC-A18A-8976442007E3}"/>
    <cellStyle name="SAPBEXexcCritical5 3 2 8" xfId="9567" xr:uid="{46559306-1CD5-4A42-BA4D-7F6940DCCDD8}"/>
    <cellStyle name="SAPBEXexcCritical5 3 2 8 2" xfId="9568" xr:uid="{85AD58F2-C846-419E-9741-F8E4A5E9A816}"/>
    <cellStyle name="SAPBEXexcCritical5 3 2 9" xfId="9569" xr:uid="{432A35F1-D51A-4671-98B8-8D4A3BD43B2B}"/>
    <cellStyle name="SAPBEXexcCritical5 3 2 9 2" xfId="9570" xr:uid="{7D415593-FD64-40A0-BD83-18CC009DAF38}"/>
    <cellStyle name="SAPBEXexcCritical5 3 3" xfId="9571" xr:uid="{720862A2-779C-4FF0-84F5-D254FFE55121}"/>
    <cellStyle name="SAPBEXexcCritical5 3 3 10" xfId="9572" xr:uid="{40D10AC1-35E7-4F40-B36D-BE68E3FC9573}"/>
    <cellStyle name="SAPBEXexcCritical5 3 3 10 2" xfId="9573" xr:uid="{8CF8CD6E-6A67-46E0-A6D6-C29ED9AE2AA1}"/>
    <cellStyle name="SAPBEXexcCritical5 3 3 11" xfId="9574" xr:uid="{A02FD97F-3950-4818-8D06-11931B0DD046}"/>
    <cellStyle name="SAPBEXexcCritical5 3 3 11 2" xfId="9575" xr:uid="{637352B9-803F-4023-87A1-D8C479E6DB0F}"/>
    <cellStyle name="SAPBEXexcCritical5 3 3 12" xfId="9576" xr:uid="{B8AE2EAA-2523-4657-AACE-55A2F0229B79}"/>
    <cellStyle name="SAPBEXexcCritical5 3 3 12 2" xfId="9577" xr:uid="{2B394237-8FAF-47AE-A659-AB62510850BD}"/>
    <cellStyle name="SAPBEXexcCritical5 3 3 13" xfId="9578" xr:uid="{1EF960BC-EBFB-4E98-A2C7-5FD3FD5C3372}"/>
    <cellStyle name="SAPBEXexcCritical5 3 3 13 2" xfId="9579" xr:uid="{6E741921-B300-4934-93A6-DB2226514AA8}"/>
    <cellStyle name="SAPBEXexcCritical5 3 3 14" xfId="9580" xr:uid="{7366CF55-D535-46E4-91D6-169C3BC53CFA}"/>
    <cellStyle name="SAPBEXexcCritical5 3 3 14 2" xfId="9581" xr:uid="{58FBF4D9-DF0A-4B03-B58F-3A1883DFCBB9}"/>
    <cellStyle name="SAPBEXexcCritical5 3 3 15" xfId="9582" xr:uid="{B2E807E5-6E28-4A3A-91CA-7DA1659F4F73}"/>
    <cellStyle name="SAPBEXexcCritical5 3 3 15 2" xfId="9583" xr:uid="{EA38F2BA-6B97-4BCA-9F18-5C80DF16B495}"/>
    <cellStyle name="SAPBEXexcCritical5 3 3 16" xfId="9584" xr:uid="{C2E7086A-0F09-41B0-9231-A6FC4EEDA4F4}"/>
    <cellStyle name="SAPBEXexcCritical5 3 3 2" xfId="9585" xr:uid="{C8E2D4ED-04D0-4CA8-ACB7-FB3AB492A622}"/>
    <cellStyle name="SAPBEXexcCritical5 3 3 2 2" xfId="9586" xr:uid="{8FDD27B8-A6CA-4AF8-803F-562C4E75219E}"/>
    <cellStyle name="SAPBEXexcCritical5 3 3 3" xfId="9587" xr:uid="{752F052C-5630-47F9-BA54-F82554946FA2}"/>
    <cellStyle name="SAPBEXexcCritical5 3 3 3 2" xfId="9588" xr:uid="{A974783E-952D-4240-8D10-8D22B81AA4CD}"/>
    <cellStyle name="SAPBEXexcCritical5 3 3 4" xfId="9589" xr:uid="{27BC27B3-F36E-4B22-80BB-4A82B48E38FF}"/>
    <cellStyle name="SAPBEXexcCritical5 3 3 4 2" xfId="9590" xr:uid="{AA918A31-127B-4382-B27D-D000CF99B07B}"/>
    <cellStyle name="SAPBEXexcCritical5 3 3 5" xfId="9591" xr:uid="{6B69FDAE-7423-40E7-A023-5C4EE7765AB8}"/>
    <cellStyle name="SAPBEXexcCritical5 3 3 5 2" xfId="9592" xr:uid="{87155D89-8448-4672-83CB-548669487391}"/>
    <cellStyle name="SAPBEXexcCritical5 3 3 6" xfId="9593" xr:uid="{0EF6BCB1-4B16-4ADD-B7C5-7611E89ACA4C}"/>
    <cellStyle name="SAPBEXexcCritical5 3 3 6 2" xfId="9594" xr:uid="{88E86104-06A5-4E9A-A0EB-9E4E0EE5E886}"/>
    <cellStyle name="SAPBEXexcCritical5 3 3 7" xfId="9595" xr:uid="{16CD8619-F74C-4125-81B3-D4FE65849D3A}"/>
    <cellStyle name="SAPBEXexcCritical5 3 3 7 2" xfId="9596" xr:uid="{92AD0146-A806-42D5-A146-C29E2D61798C}"/>
    <cellStyle name="SAPBEXexcCritical5 3 3 8" xfId="9597" xr:uid="{49969D15-0A94-439B-9825-90B92BC88733}"/>
    <cellStyle name="SAPBEXexcCritical5 3 3 8 2" xfId="9598" xr:uid="{6FB4AF52-E86E-4D83-957B-4C4DB26A02CD}"/>
    <cellStyle name="SAPBEXexcCritical5 3 3 9" xfId="9599" xr:uid="{174BE903-DD6F-4BFC-85B1-5214A69EB3A0}"/>
    <cellStyle name="SAPBEXexcCritical5 3 3 9 2" xfId="9600" xr:uid="{EEDEAF26-1F10-4996-8CCD-51E57A7ABD3B}"/>
    <cellStyle name="SAPBEXexcCritical5 3 4" xfId="9601" xr:uid="{7980DB32-280F-4512-B2AA-050B6091E1B4}"/>
    <cellStyle name="SAPBEXexcCritical5 3 4 2" xfId="9602" xr:uid="{CF87EDE3-E320-4D56-88C3-57F72AB87CE0}"/>
    <cellStyle name="SAPBEXexcCritical5 3 5" xfId="9603" xr:uid="{013B7874-38B4-4921-9E16-0304E6DC5F52}"/>
    <cellStyle name="SAPBEXexcCritical5 3 5 2" xfId="9604" xr:uid="{4ED7EAF6-0BE7-4EB3-B148-14A9DA2A20A9}"/>
    <cellStyle name="SAPBEXexcCritical5 3 6" xfId="9605" xr:uid="{C66FAE4F-C633-4511-BA00-2F0D19FC89A9}"/>
    <cellStyle name="SAPBEXexcCritical5 3 6 2" xfId="9606" xr:uid="{B3B94646-742F-4766-A4C5-3CDCF7DC249B}"/>
    <cellStyle name="SAPBEXexcCritical5 3 7" xfId="9607" xr:uid="{B5A577E1-3721-4C34-9B07-C223C87A5B0F}"/>
    <cellStyle name="SAPBEXexcCritical5 3 7 2" xfId="9608" xr:uid="{3A845B1F-F4BA-40AE-8B25-071E182249C4}"/>
    <cellStyle name="SAPBEXexcCritical5 3 8" xfId="9609" xr:uid="{8884B1B5-C2B9-4D13-A6E3-4415BCB97A6E}"/>
    <cellStyle name="SAPBEXexcCritical5 3 8 2" xfId="9610" xr:uid="{0C612C61-F28A-4FF7-8C36-F33FC1E4FB4D}"/>
    <cellStyle name="SAPBEXexcCritical5 3 9" xfId="9611" xr:uid="{7CFF4D30-C830-4D68-92AF-91AD2A2C177A}"/>
    <cellStyle name="SAPBEXexcCritical5 3 9 2" xfId="9612" xr:uid="{EDD02B2C-9BDC-4F55-9807-EC336640FDFD}"/>
    <cellStyle name="SAPBEXexcCritical5 3_T1 ANSP" xfId="9523" xr:uid="{D61C974A-B8A6-4F03-8698-F2C47EFBA2A2}"/>
    <cellStyle name="SAPBEXexcCritical5 4" xfId="9613" xr:uid="{D58B7CF9-4EA6-4C2D-8A18-2A1C053F8AA6}"/>
    <cellStyle name="SAPBEXexcCritical5 4 10" xfId="9614" xr:uid="{ECC01FCF-305C-4F9B-9F8F-B260BBAD72DA}"/>
    <cellStyle name="SAPBEXexcCritical5 4 10 2" xfId="9615" xr:uid="{E07E95F9-8B90-43BA-B9BF-05272C885F8D}"/>
    <cellStyle name="SAPBEXexcCritical5 4 11" xfId="9616" xr:uid="{4286C527-4019-40B3-88AA-5739660D5E91}"/>
    <cellStyle name="SAPBEXexcCritical5 4 11 2" xfId="9617" xr:uid="{A53FAB3E-6DDD-473A-A35A-59B0125B6A3B}"/>
    <cellStyle name="SAPBEXexcCritical5 4 12" xfId="9618" xr:uid="{A311DA84-D83F-47A3-982A-8A753B7287CF}"/>
    <cellStyle name="SAPBEXexcCritical5 4 12 2" xfId="9619" xr:uid="{90E640C5-41D9-4AE6-903F-516BBC51FCCA}"/>
    <cellStyle name="SAPBEXexcCritical5 4 13" xfId="9620" xr:uid="{A72014FC-A28B-40F4-8084-C6300267B362}"/>
    <cellStyle name="SAPBEXexcCritical5 4 13 2" xfId="9621" xr:uid="{51531B84-69E5-4DEE-8A6F-82EDE9476AEB}"/>
    <cellStyle name="SAPBEXexcCritical5 4 14" xfId="9622" xr:uid="{2FA06DA1-4BA1-4F9B-BF92-FE649A488210}"/>
    <cellStyle name="SAPBEXexcCritical5 4 14 2" xfId="9623" xr:uid="{80D7D7B7-F352-4511-A86E-4322DFA651C1}"/>
    <cellStyle name="SAPBEXexcCritical5 4 15" xfId="9624" xr:uid="{708E1B30-3DC0-4283-8C22-4350BE54A5E1}"/>
    <cellStyle name="SAPBEXexcCritical5 4 15 2" xfId="9625" xr:uid="{C4EB9F50-1D3A-4303-BFA9-78CA76F6C22F}"/>
    <cellStyle name="SAPBEXexcCritical5 4 16" xfId="9626" xr:uid="{28EBD4BA-DE3B-4428-8BA7-78EAF16A9C65}"/>
    <cellStyle name="SAPBEXexcCritical5 4 16 2" xfId="9627" xr:uid="{1C01DA12-34A3-4C18-A970-231FA97E9EA2}"/>
    <cellStyle name="SAPBEXexcCritical5 4 17" xfId="9628" xr:uid="{016F76C5-4EF8-4E40-93CE-2280097E3935}"/>
    <cellStyle name="SAPBEXexcCritical5 4 17 2" xfId="9629" xr:uid="{E39B00E2-B1EC-46EB-A0FB-FAFDA3E384D8}"/>
    <cellStyle name="SAPBEXexcCritical5 4 18" xfId="9630" xr:uid="{A59C52FD-DFD5-4FDF-B9EF-24800FED081A}"/>
    <cellStyle name="SAPBEXexcCritical5 4 2" xfId="9631" xr:uid="{DF5C3ABE-9096-47D4-A7BD-E64BB0717269}"/>
    <cellStyle name="SAPBEXexcCritical5 4 2 10" xfId="9632" xr:uid="{CF7CC376-BA30-4FB9-87B1-DDE34B2075D9}"/>
    <cellStyle name="SAPBEXexcCritical5 4 2 10 2" xfId="9633" xr:uid="{FB5BBEB2-FA73-476C-ADC4-7FD58E52B2A0}"/>
    <cellStyle name="SAPBEXexcCritical5 4 2 11" xfId="9634" xr:uid="{B59F8436-B5B3-4003-8B82-D295E1BF3BB9}"/>
    <cellStyle name="SAPBEXexcCritical5 4 2 11 2" xfId="9635" xr:uid="{6D5F0157-5DE5-4933-9715-D07B7846F8FD}"/>
    <cellStyle name="SAPBEXexcCritical5 4 2 12" xfId="9636" xr:uid="{A8681C91-C5CA-410D-A30E-D76AEF520132}"/>
    <cellStyle name="SAPBEXexcCritical5 4 2 12 2" xfId="9637" xr:uid="{41E9840D-C1DB-49C9-8BB5-EECC9310E4BB}"/>
    <cellStyle name="SAPBEXexcCritical5 4 2 13" xfId="9638" xr:uid="{111E176E-D991-4788-A7FA-31E7E2EEB707}"/>
    <cellStyle name="SAPBEXexcCritical5 4 2 13 2" xfId="9639" xr:uid="{A763AB63-C08E-4FA2-81C7-F81680E7B325}"/>
    <cellStyle name="SAPBEXexcCritical5 4 2 14" xfId="9640" xr:uid="{3696BE11-6BA0-46A6-B04B-CBA209A8B525}"/>
    <cellStyle name="SAPBEXexcCritical5 4 2 14 2" xfId="9641" xr:uid="{042064C4-1AF9-4D63-99FA-5B9869CDFB85}"/>
    <cellStyle name="SAPBEXexcCritical5 4 2 15" xfId="9642" xr:uid="{684F7DD5-8F7B-446D-A3CD-21C8C85491C1}"/>
    <cellStyle name="SAPBEXexcCritical5 4 2 15 2" xfId="9643" xr:uid="{137F9CFF-4AB1-40DB-AEAE-8EF62257AFDC}"/>
    <cellStyle name="SAPBEXexcCritical5 4 2 16" xfId="9644" xr:uid="{CA849BC1-EE1B-4CF0-A45C-B50F7E5A2CEC}"/>
    <cellStyle name="SAPBEXexcCritical5 4 2 2" xfId="9645" xr:uid="{A5398F03-F57D-440E-A1AA-19E8931FE133}"/>
    <cellStyle name="SAPBEXexcCritical5 4 2 2 2" xfId="9646" xr:uid="{39D99675-64B0-47C5-B56A-08F74B382A00}"/>
    <cellStyle name="SAPBEXexcCritical5 4 2 3" xfId="9647" xr:uid="{7592DE1D-4B63-41E7-B993-241172ED0BCA}"/>
    <cellStyle name="SAPBEXexcCritical5 4 2 3 2" xfId="9648" xr:uid="{3ECC51B2-BCAC-4F55-80BB-107EC4167562}"/>
    <cellStyle name="SAPBEXexcCritical5 4 2 4" xfId="9649" xr:uid="{412B9457-3E6F-464A-B41B-4A1F475000C4}"/>
    <cellStyle name="SAPBEXexcCritical5 4 2 4 2" xfId="9650" xr:uid="{A95A0300-120B-47D8-A4A5-5EA81ACC3B59}"/>
    <cellStyle name="SAPBEXexcCritical5 4 2 5" xfId="9651" xr:uid="{175F5669-8F5B-41E5-9A86-60EF79F067E8}"/>
    <cellStyle name="SAPBEXexcCritical5 4 2 5 2" xfId="9652" xr:uid="{8D0B11E4-5AB2-4B9C-B03F-3F567002F5AF}"/>
    <cellStyle name="SAPBEXexcCritical5 4 2 6" xfId="9653" xr:uid="{44C45B90-F4F4-453C-A21A-179AD48474B8}"/>
    <cellStyle name="SAPBEXexcCritical5 4 2 6 2" xfId="9654" xr:uid="{E4D9F375-F7C8-4257-AD2A-6213D1C6A8D7}"/>
    <cellStyle name="SAPBEXexcCritical5 4 2 7" xfId="9655" xr:uid="{47092FB0-3498-48FC-A2B4-E59DFEA38A60}"/>
    <cellStyle name="SAPBEXexcCritical5 4 2 7 2" xfId="9656" xr:uid="{2B858429-D202-4396-8C58-CA32C69F6506}"/>
    <cellStyle name="SAPBEXexcCritical5 4 2 8" xfId="9657" xr:uid="{221B8668-DCCF-4E9E-BC7F-21AAA65DAA62}"/>
    <cellStyle name="SAPBEXexcCritical5 4 2 8 2" xfId="9658" xr:uid="{2347916F-2616-44CC-9C97-91AA99BDD0F2}"/>
    <cellStyle name="SAPBEXexcCritical5 4 2 9" xfId="9659" xr:uid="{0BC41121-C726-4E51-BB54-8D95FCE5AE82}"/>
    <cellStyle name="SAPBEXexcCritical5 4 2 9 2" xfId="9660" xr:uid="{FB5C7AFB-AD61-4D73-979C-FA3C20A25C94}"/>
    <cellStyle name="SAPBEXexcCritical5 4 3" xfId="9661" xr:uid="{3BB085BF-B732-4DFC-AFF8-E93A759ABB87}"/>
    <cellStyle name="SAPBEXexcCritical5 4 3 10" xfId="9662" xr:uid="{CF2D5D70-7C55-403F-8F9F-7D34842DA5DD}"/>
    <cellStyle name="SAPBEXexcCritical5 4 3 10 2" xfId="9663" xr:uid="{D24F2836-8CA5-4913-9DE3-5F3792077A73}"/>
    <cellStyle name="SAPBEXexcCritical5 4 3 11" xfId="9664" xr:uid="{2D1981F3-D083-4749-9D72-3CFBC7F83E51}"/>
    <cellStyle name="SAPBEXexcCritical5 4 3 11 2" xfId="9665" xr:uid="{0F290E58-5B81-4675-ABC8-1426DECA3390}"/>
    <cellStyle name="SAPBEXexcCritical5 4 3 12" xfId="9666" xr:uid="{39635FCA-4B40-4574-BD11-35312CB23B2B}"/>
    <cellStyle name="SAPBEXexcCritical5 4 3 12 2" xfId="9667" xr:uid="{E3B53225-2B36-43E8-B3FE-BAF69831CF46}"/>
    <cellStyle name="SAPBEXexcCritical5 4 3 13" xfId="9668" xr:uid="{3C265673-EC5F-45CD-91A1-F0F1E7300E88}"/>
    <cellStyle name="SAPBEXexcCritical5 4 3 13 2" xfId="9669" xr:uid="{EF09E993-4E38-432B-9C5C-DCB83BBDCC21}"/>
    <cellStyle name="SAPBEXexcCritical5 4 3 14" xfId="9670" xr:uid="{02742E68-98C9-46C9-90A2-36EA8B837A4B}"/>
    <cellStyle name="SAPBEXexcCritical5 4 3 14 2" xfId="9671" xr:uid="{E10F7F25-6CE3-453E-8AA9-728BECE6E536}"/>
    <cellStyle name="SAPBEXexcCritical5 4 3 15" xfId="9672" xr:uid="{8E9999F2-6863-4E72-9199-DA57D55A3BE4}"/>
    <cellStyle name="SAPBEXexcCritical5 4 3 15 2" xfId="9673" xr:uid="{E34325B4-9C95-4A27-A036-FC717392394B}"/>
    <cellStyle name="SAPBEXexcCritical5 4 3 16" xfId="9674" xr:uid="{1A26F978-49E2-488E-8187-432758E1064C}"/>
    <cellStyle name="SAPBEXexcCritical5 4 3 2" xfId="9675" xr:uid="{F4C8DFAD-7A43-41C4-BB52-E91F01D69FA4}"/>
    <cellStyle name="SAPBEXexcCritical5 4 3 2 2" xfId="9676" xr:uid="{7658E695-E3CE-4B97-A13C-F69A45545F0A}"/>
    <cellStyle name="SAPBEXexcCritical5 4 3 3" xfId="9677" xr:uid="{27104DB1-33C9-48D4-97F8-A410ADFA42FA}"/>
    <cellStyle name="SAPBEXexcCritical5 4 3 3 2" xfId="9678" xr:uid="{4F637DEC-61FE-41B8-8AFA-C14CCC3954C2}"/>
    <cellStyle name="SAPBEXexcCritical5 4 3 4" xfId="9679" xr:uid="{06B2AFF3-5EC1-4BB9-A708-39450E7F79DF}"/>
    <cellStyle name="SAPBEXexcCritical5 4 3 4 2" xfId="9680" xr:uid="{4D685B71-9D37-43F8-81ED-E7B1538FCAA5}"/>
    <cellStyle name="SAPBEXexcCritical5 4 3 5" xfId="9681" xr:uid="{1705CEC9-A635-4382-A248-656D5A201018}"/>
    <cellStyle name="SAPBEXexcCritical5 4 3 5 2" xfId="9682" xr:uid="{F5636445-86B1-4A55-8D7A-1AEAD34844BF}"/>
    <cellStyle name="SAPBEXexcCritical5 4 3 6" xfId="9683" xr:uid="{17118242-96AF-463A-B61D-7C59B37FBF32}"/>
    <cellStyle name="SAPBEXexcCritical5 4 3 6 2" xfId="9684" xr:uid="{5CD92C44-B77E-4E6A-88D0-4B1B60248D2D}"/>
    <cellStyle name="SAPBEXexcCritical5 4 3 7" xfId="9685" xr:uid="{5A89426F-4509-43C3-BBE9-A3911BD3515B}"/>
    <cellStyle name="SAPBEXexcCritical5 4 3 7 2" xfId="9686" xr:uid="{38E5F6BA-713E-4846-8CBE-69B8BDC7FFCB}"/>
    <cellStyle name="SAPBEXexcCritical5 4 3 8" xfId="9687" xr:uid="{AA44FD3E-D288-47EA-BFED-8115C2A96545}"/>
    <cellStyle name="SAPBEXexcCritical5 4 3 8 2" xfId="9688" xr:uid="{D6C62782-70BA-4A3C-B1F4-AAD1F5467F3B}"/>
    <cellStyle name="SAPBEXexcCritical5 4 3 9" xfId="9689" xr:uid="{911C02B9-3E80-4675-A3D5-296FAF893908}"/>
    <cellStyle name="SAPBEXexcCritical5 4 3 9 2" xfId="9690" xr:uid="{A822AD4A-FECB-4AB4-A52E-4F2651B9A01F}"/>
    <cellStyle name="SAPBEXexcCritical5 4 4" xfId="9691" xr:uid="{D671D4C8-640D-4E59-B646-4EC27EE7D7EA}"/>
    <cellStyle name="SAPBEXexcCritical5 4 4 2" xfId="9692" xr:uid="{70BAC643-F40F-4794-89D6-16C96054F2DD}"/>
    <cellStyle name="SAPBEXexcCritical5 4 5" xfId="9693" xr:uid="{A7BEC316-AB0F-4A26-8E85-CD62DC06B50B}"/>
    <cellStyle name="SAPBEXexcCritical5 4 5 2" xfId="9694" xr:uid="{C61ABA84-E1B4-40FA-AB8B-C35D5F0A468F}"/>
    <cellStyle name="SAPBEXexcCritical5 4 6" xfId="9695" xr:uid="{1A38EF3F-DF02-40B4-A994-73BBB38CAACF}"/>
    <cellStyle name="SAPBEXexcCritical5 4 6 2" xfId="9696" xr:uid="{B0B6B05D-C5CF-4B18-84BC-DCA1FB9C419A}"/>
    <cellStyle name="SAPBEXexcCritical5 4 7" xfId="9697" xr:uid="{57A66301-FB28-4939-B144-BB0549D42501}"/>
    <cellStyle name="SAPBEXexcCritical5 4 7 2" xfId="9698" xr:uid="{D9F47766-34F9-4D2E-BB2D-E7B4A00A202A}"/>
    <cellStyle name="SAPBEXexcCritical5 4 8" xfId="9699" xr:uid="{8A23AF05-5BC4-49FF-A734-B813C8EBF6E4}"/>
    <cellStyle name="SAPBEXexcCritical5 4 8 2" xfId="9700" xr:uid="{D34FE89E-14A9-4D67-ADEB-2F9EB4BAAAD6}"/>
    <cellStyle name="SAPBEXexcCritical5 4 9" xfId="9701" xr:uid="{CF071E6A-A582-4921-8DC4-F5D1C6643D68}"/>
    <cellStyle name="SAPBEXexcCritical5 4 9 2" xfId="9702" xr:uid="{58725E9F-2935-4AF1-A331-4D82D369F650}"/>
    <cellStyle name="SAPBEXexcCritical5 5" xfId="9703" xr:uid="{B38A551F-BA7F-4A7B-A2F7-7DA72DD167F2}"/>
    <cellStyle name="SAPBEXexcCritical5 5 10" xfId="9704" xr:uid="{7759DA47-7E8D-4253-BDAE-F9657EF4B113}"/>
    <cellStyle name="SAPBEXexcCritical5 5 10 2" xfId="9705" xr:uid="{2BB21B8D-75B4-4D1B-8BC1-4749F9EC1F7D}"/>
    <cellStyle name="SAPBEXexcCritical5 5 11" xfId="9706" xr:uid="{6A2E996F-2CB7-4E20-9D7E-4F53DCE1B1F8}"/>
    <cellStyle name="SAPBEXexcCritical5 5 11 2" xfId="9707" xr:uid="{57F2C487-7E79-49B3-9DDF-AFE8D3789EBE}"/>
    <cellStyle name="SAPBEXexcCritical5 5 12" xfId="9708" xr:uid="{9778C49C-43D7-46B5-8DCF-A06A6BBC9F89}"/>
    <cellStyle name="SAPBEXexcCritical5 5 12 2" xfId="9709" xr:uid="{9AEE841E-098D-4DAD-BFF0-5052D550529D}"/>
    <cellStyle name="SAPBEXexcCritical5 5 13" xfId="9710" xr:uid="{5E202990-2403-4229-9A40-8E90D585B7AD}"/>
    <cellStyle name="SAPBEXexcCritical5 5 13 2" xfId="9711" xr:uid="{00F616B2-EDA9-4EFC-A76A-93DC920ADFEF}"/>
    <cellStyle name="SAPBEXexcCritical5 5 14" xfId="9712" xr:uid="{732961D1-7C73-469D-8CF5-9BFB8C66494A}"/>
    <cellStyle name="SAPBEXexcCritical5 5 14 2" xfId="9713" xr:uid="{F356EA69-75DD-4D56-8174-37192B330275}"/>
    <cellStyle name="SAPBEXexcCritical5 5 15" xfId="9714" xr:uid="{2B86E46C-97B9-4BBF-8622-7DECF3C70A5E}"/>
    <cellStyle name="SAPBEXexcCritical5 5 15 2" xfId="9715" xr:uid="{A0B50560-83C5-4076-8B02-FF8A566CFF66}"/>
    <cellStyle name="SAPBEXexcCritical5 5 16" xfId="9716" xr:uid="{D0667DDC-B7D9-4C27-9B5D-9C3C612C54BB}"/>
    <cellStyle name="SAPBEXexcCritical5 5 2" xfId="9717" xr:uid="{0BF8D1BA-38A5-47E5-93D2-5CECAE1DA83F}"/>
    <cellStyle name="SAPBEXexcCritical5 5 2 2" xfId="9718" xr:uid="{D0FA8EDB-90F9-454B-B9CB-EDE4FE1EDADD}"/>
    <cellStyle name="SAPBEXexcCritical5 5 3" xfId="9719" xr:uid="{A2C28756-7B0C-409E-9914-BD47992FCE91}"/>
    <cellStyle name="SAPBEXexcCritical5 5 3 2" xfId="9720" xr:uid="{556A6BD2-DC52-4B7A-97FE-C45C4D6BBAE6}"/>
    <cellStyle name="SAPBEXexcCritical5 5 4" xfId="9721" xr:uid="{288C8296-185D-41A0-9275-16D57061126C}"/>
    <cellStyle name="SAPBEXexcCritical5 5 4 2" xfId="9722" xr:uid="{90C32EAA-9C82-438D-BD1C-9DCAE27797E5}"/>
    <cellStyle name="SAPBEXexcCritical5 5 5" xfId="9723" xr:uid="{7FEF6E2D-7363-462F-813E-4BE8FE67DCC5}"/>
    <cellStyle name="SAPBEXexcCritical5 5 5 2" xfId="9724" xr:uid="{A16437C2-E609-4414-A363-369122A697FE}"/>
    <cellStyle name="SAPBEXexcCritical5 5 6" xfId="9725" xr:uid="{8E7CBCC1-3F11-47B9-8BD7-EB5E7091D104}"/>
    <cellStyle name="SAPBEXexcCritical5 5 6 2" xfId="9726" xr:uid="{C76ED3AB-1D35-46CB-97C7-79296FC700C4}"/>
    <cellStyle name="SAPBEXexcCritical5 5 7" xfId="9727" xr:uid="{1174F5B1-282F-4A29-BEDB-6D1A03872E68}"/>
    <cellStyle name="SAPBEXexcCritical5 5 7 2" xfId="9728" xr:uid="{325D6E9B-46AD-43E0-A98F-D87E7A465430}"/>
    <cellStyle name="SAPBEXexcCritical5 5 8" xfId="9729" xr:uid="{177E7CD9-3707-4E40-8C85-88063B5FF4AF}"/>
    <cellStyle name="SAPBEXexcCritical5 5 8 2" xfId="9730" xr:uid="{8121ADDA-3E1B-436F-8056-816A418137D7}"/>
    <cellStyle name="SAPBEXexcCritical5 5 9" xfId="9731" xr:uid="{9BEE3573-1165-484E-82C9-2B48699664CA}"/>
    <cellStyle name="SAPBEXexcCritical5 5 9 2" xfId="9732" xr:uid="{00D348D5-D0AC-4302-B36D-0A7CAFEC2FB6}"/>
    <cellStyle name="SAPBEXexcCritical5 6" xfId="9733" xr:uid="{0346183F-1637-4F1C-9E77-76A72805AF8C}"/>
    <cellStyle name="SAPBEXexcCritical5 6 2" xfId="9734" xr:uid="{E61FA086-D8F1-4EB8-8ADE-E3B5B1AC6424}"/>
    <cellStyle name="SAPBEXexcCritical5 7" xfId="9735" xr:uid="{9F03663D-4673-4838-9443-B20C8274E5D8}"/>
    <cellStyle name="SAPBEXexcCritical5 7 2" xfId="9736" xr:uid="{0BB736AE-1077-42BA-AB10-57FE2859B328}"/>
    <cellStyle name="SAPBEXexcCritical5 8" xfId="9737" xr:uid="{C2975CA3-A6F4-49D8-8319-09AD4A90683F}"/>
    <cellStyle name="SAPBEXexcCritical5 8 2" xfId="9738" xr:uid="{298EC880-8845-4EB7-A13C-A43E0E4E6A33}"/>
    <cellStyle name="SAPBEXexcCritical5 9" xfId="9739" xr:uid="{EDF3979B-9810-4B99-A436-2CAE1B72F345}"/>
    <cellStyle name="SAPBEXexcCritical5 9 2" xfId="9740" xr:uid="{A367B327-0154-4E00-8A0A-9965EB1292AE}"/>
    <cellStyle name="SAPBEXexcCritical5_T1 ANSP" xfId="9211" xr:uid="{38729F8B-07A5-4C86-A5E2-D504D20B630C}"/>
    <cellStyle name="SAPBEXexcCritical6" xfId="736" xr:uid="{00000000-0005-0000-0000-00006F050000}"/>
    <cellStyle name="SAPBEXexcCritical6 10" xfId="9742" xr:uid="{48AF057F-FCD9-4E48-A75E-81771C47E476}"/>
    <cellStyle name="SAPBEXexcCritical6 10 2" xfId="9743" xr:uid="{B29E22FB-8428-4BF8-96F9-3F2C02EC9C3D}"/>
    <cellStyle name="SAPBEXexcCritical6 11" xfId="9744" xr:uid="{4B9E80A6-104E-46E4-8716-3878A8073607}"/>
    <cellStyle name="SAPBEXexcCritical6 11 2" xfId="9745" xr:uid="{55A83E41-4744-40A0-9C41-478C71C9CED5}"/>
    <cellStyle name="SAPBEXexcCritical6 12" xfId="9746" xr:uid="{4746F4F8-60F9-406C-8BDE-20821CA802BA}"/>
    <cellStyle name="SAPBEXexcCritical6 12 2" xfId="9747" xr:uid="{5A58F43F-D9EE-49E7-981D-45FE585A2F0D}"/>
    <cellStyle name="SAPBEXexcCritical6 13" xfId="9748" xr:uid="{B448408A-7CBC-4B2D-B7D0-7315A1A3E7B6}"/>
    <cellStyle name="SAPBEXexcCritical6 13 2" xfId="9749" xr:uid="{144E9529-E442-41D8-9FBC-9F42BA95FBE8}"/>
    <cellStyle name="SAPBEXexcCritical6 14" xfId="9750" xr:uid="{DA2846D9-89D0-4EFB-BA38-970A1277D03C}"/>
    <cellStyle name="SAPBEXexcCritical6 14 2" xfId="9751" xr:uid="{EB8E8C5C-5A82-43BA-A5B2-F5FA8F2DD513}"/>
    <cellStyle name="SAPBEXexcCritical6 15" xfId="9752" xr:uid="{A13F71A9-CF02-4FFD-86B7-8AB1EF92C685}"/>
    <cellStyle name="SAPBEXexcCritical6 15 2" xfId="9753" xr:uid="{D8C6F563-D143-43AE-9071-2A12F4C17BA7}"/>
    <cellStyle name="SAPBEXexcCritical6 16" xfId="9754" xr:uid="{378AC95B-5191-40AF-809A-6D46D73CE0AA}"/>
    <cellStyle name="SAPBEXexcCritical6 16 2" xfId="9755" xr:uid="{27783B88-250D-443B-A64E-2D9F0E247EF4}"/>
    <cellStyle name="SAPBEXexcCritical6 17" xfId="9756" xr:uid="{5756A212-9AA4-4F22-B4C1-5660FB4B8642}"/>
    <cellStyle name="SAPBEXexcCritical6 17 2" xfId="9757" xr:uid="{53B53264-8FE6-4426-8192-985D348B8499}"/>
    <cellStyle name="SAPBEXexcCritical6 18" xfId="9758" xr:uid="{D5DF8DBC-F9D4-4083-A8A5-9EFF330BE368}"/>
    <cellStyle name="SAPBEXexcCritical6 18 2" xfId="9759" xr:uid="{DA302A9F-739B-42F5-AC8C-F8DD95CF2BBF}"/>
    <cellStyle name="SAPBEXexcCritical6 19" xfId="9760" xr:uid="{B894A9F2-B03C-43F9-9946-E56337828A71}"/>
    <cellStyle name="SAPBEXexcCritical6 19 2" xfId="9761" xr:uid="{6A84C480-64AD-408F-8369-B57BDF753249}"/>
    <cellStyle name="SAPBEXexcCritical6 2" xfId="1551" xr:uid="{00000000-0005-0000-0000-000070050000}"/>
    <cellStyle name="SAPBEXexcCritical6 2 10" xfId="9763" xr:uid="{4F3D3AEB-839E-4C2C-9ECA-CBED97C1E43F}"/>
    <cellStyle name="SAPBEXexcCritical6 2 10 2" xfId="9764" xr:uid="{DEC5CEEC-70FB-464E-AE5D-A6D303849EB1}"/>
    <cellStyle name="SAPBEXexcCritical6 2 11" xfId="9765" xr:uid="{016FEF10-31A9-48EC-ABAE-05D18BAE8F19}"/>
    <cellStyle name="SAPBEXexcCritical6 2 11 2" xfId="9766" xr:uid="{7FA58530-428B-41F9-8A8D-5AF0A6B3D638}"/>
    <cellStyle name="SAPBEXexcCritical6 2 12" xfId="9767" xr:uid="{1084CAF0-6552-40AA-BA57-8621E7BADD59}"/>
    <cellStyle name="SAPBEXexcCritical6 2 12 2" xfId="9768" xr:uid="{0A361B52-6968-4B43-B149-6709FDC5BD6C}"/>
    <cellStyle name="SAPBEXexcCritical6 2 13" xfId="9769" xr:uid="{502D81B4-F128-4EC4-8D99-F10A55DBBE90}"/>
    <cellStyle name="SAPBEXexcCritical6 2 13 2" xfId="9770" xr:uid="{271F8289-9F36-43C9-A4D8-8CB7281FB9F6}"/>
    <cellStyle name="SAPBEXexcCritical6 2 14" xfId="9771" xr:uid="{B5122CE7-8D84-4E17-A8B0-923B21D49C2A}"/>
    <cellStyle name="SAPBEXexcCritical6 2 14 2" xfId="9772" xr:uid="{454201E4-BE62-47DD-884A-CB4A8892357D}"/>
    <cellStyle name="SAPBEXexcCritical6 2 15" xfId="9773" xr:uid="{3D5FE3E2-612A-4DF8-876C-56FDE4DDA3BA}"/>
    <cellStyle name="SAPBEXexcCritical6 2 15 2" xfId="9774" xr:uid="{2F91C69D-9FC7-4236-A73F-1DAC1FF09C40}"/>
    <cellStyle name="SAPBEXexcCritical6 2 16" xfId="9775" xr:uid="{DB0CEBB7-7DE4-4126-8362-AEC77D98B05A}"/>
    <cellStyle name="SAPBEXexcCritical6 2 16 2" xfId="9776" xr:uid="{EF36BB74-F306-4843-AD5D-95EE73C52191}"/>
    <cellStyle name="SAPBEXexcCritical6 2 17" xfId="9777" xr:uid="{51BAA940-0E40-4C65-B261-C1CD6A0A74BE}"/>
    <cellStyle name="SAPBEXexcCritical6 2 17 2" xfId="9778" xr:uid="{9670F81B-1F06-4D6C-B925-07659E3FB119}"/>
    <cellStyle name="SAPBEXexcCritical6 2 18" xfId="9779" xr:uid="{C79E21DA-71F1-48EE-B68D-5E9348EFD425}"/>
    <cellStyle name="SAPBEXexcCritical6 2 18 2" xfId="9780" xr:uid="{EF45A89A-B753-40AD-8A96-4C181AD8A067}"/>
    <cellStyle name="SAPBEXexcCritical6 2 2" xfId="9781" xr:uid="{2895ABF3-4D29-49DF-8A09-F5AFB56CBC2C}"/>
    <cellStyle name="SAPBEXexcCritical6 2 2 10" xfId="9782" xr:uid="{155EA2AD-71B2-41BE-B46D-E9EBE38DBD14}"/>
    <cellStyle name="SAPBEXexcCritical6 2 2 10 2" xfId="9783" xr:uid="{1B5DA47F-AE84-4A94-A42D-EF38D77C8768}"/>
    <cellStyle name="SAPBEXexcCritical6 2 2 11" xfId="9784" xr:uid="{C3E77310-5FC2-40AC-B886-C1C16DD4FA10}"/>
    <cellStyle name="SAPBEXexcCritical6 2 2 11 2" xfId="9785" xr:uid="{35E1B590-6D3B-4B1D-B60E-B96A9DBDEDA5}"/>
    <cellStyle name="SAPBEXexcCritical6 2 2 12" xfId="9786" xr:uid="{0AC92B46-EAC4-4B88-8E7C-25BCC7A8D789}"/>
    <cellStyle name="SAPBEXexcCritical6 2 2 12 2" xfId="9787" xr:uid="{ED99446A-67DB-444D-BDEA-C2AB097EA39D}"/>
    <cellStyle name="SAPBEXexcCritical6 2 2 13" xfId="9788" xr:uid="{5C1B2BD8-3AD2-40E3-B207-05F259941FA4}"/>
    <cellStyle name="SAPBEXexcCritical6 2 2 13 2" xfId="9789" xr:uid="{AB33BBF3-7167-4FB1-8B2D-32E307452B7F}"/>
    <cellStyle name="SAPBEXexcCritical6 2 2 14" xfId="9790" xr:uid="{B730E3E6-10C1-4B07-9D80-8190BB42031B}"/>
    <cellStyle name="SAPBEXexcCritical6 2 2 14 2" xfId="9791" xr:uid="{CB677A88-7370-4F57-BB4D-6213D680E09A}"/>
    <cellStyle name="SAPBEXexcCritical6 2 2 15" xfId="9792" xr:uid="{C13176F9-C45A-405E-A8EB-AB72C35CCED1}"/>
    <cellStyle name="SAPBEXexcCritical6 2 2 15 2" xfId="9793" xr:uid="{7F08D7F4-F61B-4998-B031-E82B8FA65CA3}"/>
    <cellStyle name="SAPBEXexcCritical6 2 2 16" xfId="9794" xr:uid="{9A5DF359-0376-4A58-AE5D-53B8450B88E1}"/>
    <cellStyle name="SAPBEXexcCritical6 2 2 16 2" xfId="9795" xr:uid="{FF5AA218-CCD3-40AE-B30C-538655DB1BD2}"/>
    <cellStyle name="SAPBEXexcCritical6 2 2 17" xfId="9796" xr:uid="{A0B71C88-D6ED-4E81-A471-6200A6EF7E56}"/>
    <cellStyle name="SAPBEXexcCritical6 2 2 17 2" xfId="9797" xr:uid="{C7926489-C1B2-4C77-BA9E-8BE601035B12}"/>
    <cellStyle name="SAPBEXexcCritical6 2 2 2" xfId="9798" xr:uid="{D7654891-AEAD-4B48-AB3B-371A12030992}"/>
    <cellStyle name="SAPBEXexcCritical6 2 2 2 10" xfId="9799" xr:uid="{AFFB3D67-1D21-42B4-B4BF-B5ACFC3436AE}"/>
    <cellStyle name="SAPBEXexcCritical6 2 2 2 10 2" xfId="9800" xr:uid="{7C16C5D9-E889-4224-96C2-8ABE5455ACAD}"/>
    <cellStyle name="SAPBEXexcCritical6 2 2 2 11" xfId="9801" xr:uid="{A965B172-E2F0-4134-8B53-9743EB647F55}"/>
    <cellStyle name="SAPBEXexcCritical6 2 2 2 11 2" xfId="9802" xr:uid="{499429EB-87F6-4DDD-8665-C7CE1190764B}"/>
    <cellStyle name="SAPBEXexcCritical6 2 2 2 12" xfId="9803" xr:uid="{8C9B9FA2-2DA4-407B-81BB-E6F44FD5BF8C}"/>
    <cellStyle name="SAPBEXexcCritical6 2 2 2 12 2" xfId="9804" xr:uid="{84FCA446-1E09-4ED2-9496-31215D9AFF60}"/>
    <cellStyle name="SAPBEXexcCritical6 2 2 2 13" xfId="9805" xr:uid="{0631E9B6-B7D9-4A45-9975-8771F3198845}"/>
    <cellStyle name="SAPBEXexcCritical6 2 2 2 13 2" xfId="9806" xr:uid="{4F46B802-4DDF-4DFB-ADF2-909E3CFFFCF1}"/>
    <cellStyle name="SAPBEXexcCritical6 2 2 2 14" xfId="9807" xr:uid="{6FEC47D8-8476-4D7D-B390-F49A72549FC3}"/>
    <cellStyle name="SAPBEXexcCritical6 2 2 2 14 2" xfId="9808" xr:uid="{158951EC-8178-4355-BCD4-6B7376B2FD53}"/>
    <cellStyle name="SAPBEXexcCritical6 2 2 2 15" xfId="9809" xr:uid="{5BDBC331-D0ED-4715-906B-26F61DE16450}"/>
    <cellStyle name="SAPBEXexcCritical6 2 2 2 15 2" xfId="9810" xr:uid="{7D1BE6E1-D206-41F4-8396-B412E146AEB1}"/>
    <cellStyle name="SAPBEXexcCritical6 2 2 2 2" xfId="9811" xr:uid="{7F914D4B-17C6-411A-9FFB-B8CDAACC85A7}"/>
    <cellStyle name="SAPBEXexcCritical6 2 2 2 2 2" xfId="9812" xr:uid="{10F50DD3-51C1-4CB6-9DD8-70876C95B0FE}"/>
    <cellStyle name="SAPBEXexcCritical6 2 2 2 3" xfId="9813" xr:uid="{48FBB021-5E8A-4BC2-9792-E59748923F3C}"/>
    <cellStyle name="SAPBEXexcCritical6 2 2 2 3 2" xfId="9814" xr:uid="{C8722B6E-7407-4180-AE0A-72B7C6B5D43F}"/>
    <cellStyle name="SAPBEXexcCritical6 2 2 2 4" xfId="9815" xr:uid="{36CF7A78-738B-4932-B489-63D6F0D16145}"/>
    <cellStyle name="SAPBEXexcCritical6 2 2 2 4 2" xfId="9816" xr:uid="{46189E8A-CBD6-4CCE-A833-704C4ADE04DF}"/>
    <cellStyle name="SAPBEXexcCritical6 2 2 2 5" xfId="9817" xr:uid="{2F8532A3-33EB-454F-B2EE-9CA45DB95C43}"/>
    <cellStyle name="SAPBEXexcCritical6 2 2 2 5 2" xfId="9818" xr:uid="{99C422B6-853C-4F57-AF46-8C59ECCA03CF}"/>
    <cellStyle name="SAPBEXexcCritical6 2 2 2 6" xfId="9819" xr:uid="{B9CC8737-5484-4615-914E-AF7B91DAB579}"/>
    <cellStyle name="SAPBEXexcCritical6 2 2 2 6 2" xfId="9820" xr:uid="{260D54FB-3EC8-4F23-B2DE-87A90F589886}"/>
    <cellStyle name="SAPBEXexcCritical6 2 2 2 7" xfId="9821" xr:uid="{9F7B9168-EC09-4A6B-8411-0D4A5E268886}"/>
    <cellStyle name="SAPBEXexcCritical6 2 2 2 7 2" xfId="9822" xr:uid="{31E43D56-E4EA-44D5-AB07-C9611471E1F4}"/>
    <cellStyle name="SAPBEXexcCritical6 2 2 2 8" xfId="9823" xr:uid="{A1016B57-A7D8-4F9E-9AD3-0E0F434A5C66}"/>
    <cellStyle name="SAPBEXexcCritical6 2 2 2 8 2" xfId="9824" xr:uid="{82D25C5D-0AC2-40CD-AE0E-214DAFB7F9DB}"/>
    <cellStyle name="SAPBEXexcCritical6 2 2 2 9" xfId="9825" xr:uid="{A9156666-AAA2-42B0-8206-11801E2E1DA6}"/>
    <cellStyle name="SAPBEXexcCritical6 2 2 2 9 2" xfId="9826" xr:uid="{DFAD55C1-0CDE-4F94-AD94-999676966BE3}"/>
    <cellStyle name="SAPBEXexcCritical6 2 2 3" xfId="9827" xr:uid="{E03A2BA3-EE51-4941-8766-7E9B88B3859A}"/>
    <cellStyle name="SAPBEXexcCritical6 2 2 3 10" xfId="9828" xr:uid="{FB95D3DA-AEA3-40D9-B18E-8004F355FA1E}"/>
    <cellStyle name="SAPBEXexcCritical6 2 2 3 10 2" xfId="9829" xr:uid="{73C33CE0-0F96-42AF-884C-0A9DE8D1C0A8}"/>
    <cellStyle name="SAPBEXexcCritical6 2 2 3 11" xfId="9830" xr:uid="{CE39742F-80B2-4538-A290-32BD7020AB78}"/>
    <cellStyle name="SAPBEXexcCritical6 2 2 3 11 2" xfId="9831" xr:uid="{60E80FFB-D082-4732-B865-8ECDAA431631}"/>
    <cellStyle name="SAPBEXexcCritical6 2 2 3 12" xfId="9832" xr:uid="{30959F74-69B7-4CD6-A84C-03A066B73D2E}"/>
    <cellStyle name="SAPBEXexcCritical6 2 2 3 12 2" xfId="9833" xr:uid="{36ECF9A1-77CE-4C62-B287-D71195486AF3}"/>
    <cellStyle name="SAPBEXexcCritical6 2 2 3 13" xfId="9834" xr:uid="{6F63AC1A-D9D3-4187-8D14-E93183E689B8}"/>
    <cellStyle name="SAPBEXexcCritical6 2 2 3 13 2" xfId="9835" xr:uid="{B7F7E8F4-AD2D-482B-A183-30E08E27FF68}"/>
    <cellStyle name="SAPBEXexcCritical6 2 2 3 14" xfId="9836" xr:uid="{B6EB8BFF-1887-4D09-90C7-538898C8D11D}"/>
    <cellStyle name="SAPBEXexcCritical6 2 2 3 14 2" xfId="9837" xr:uid="{D00E76E6-0EFD-49D4-9920-8E6CE36198A3}"/>
    <cellStyle name="SAPBEXexcCritical6 2 2 3 15" xfId="9838" xr:uid="{0A487FA1-171E-4334-A9E1-772F31AD6866}"/>
    <cellStyle name="SAPBEXexcCritical6 2 2 3 15 2" xfId="9839" xr:uid="{53589540-3670-43A4-A134-E241CAB78F3F}"/>
    <cellStyle name="SAPBEXexcCritical6 2 2 3 2" xfId="9840" xr:uid="{A0F4A645-0608-449B-8A72-C9539B9235B6}"/>
    <cellStyle name="SAPBEXexcCritical6 2 2 3 2 2" xfId="9841" xr:uid="{CC070516-9469-49BD-AADB-EBB02B238AB3}"/>
    <cellStyle name="SAPBEXexcCritical6 2 2 3 3" xfId="9842" xr:uid="{7B8B93B5-C484-49BF-9EC5-DD9701F83F6A}"/>
    <cellStyle name="SAPBEXexcCritical6 2 2 3 3 2" xfId="9843" xr:uid="{78CB9020-3AF0-4CB9-B23A-1A60F881C372}"/>
    <cellStyle name="SAPBEXexcCritical6 2 2 3 4" xfId="9844" xr:uid="{29EDBBB2-A0DC-4A69-BEA9-B9F1F13C1158}"/>
    <cellStyle name="SAPBEXexcCritical6 2 2 3 4 2" xfId="9845" xr:uid="{8E5EF48A-4752-4E34-B029-86F93CF6D6DE}"/>
    <cellStyle name="SAPBEXexcCritical6 2 2 3 5" xfId="9846" xr:uid="{FCC4D815-57F5-4FDD-98F9-0CC139EF2C6C}"/>
    <cellStyle name="SAPBEXexcCritical6 2 2 3 5 2" xfId="9847" xr:uid="{9C27C88A-60FE-4FE3-A1B3-ADCAA72A6E81}"/>
    <cellStyle name="SAPBEXexcCritical6 2 2 3 6" xfId="9848" xr:uid="{16B24B93-7A4D-411D-B1FF-274C982302EE}"/>
    <cellStyle name="SAPBEXexcCritical6 2 2 3 6 2" xfId="9849" xr:uid="{7F05447E-3D87-4B5C-84B0-108DA3050D54}"/>
    <cellStyle name="SAPBEXexcCritical6 2 2 3 7" xfId="9850" xr:uid="{1D1E0601-4AAE-4446-ABB5-DB84F578764C}"/>
    <cellStyle name="SAPBEXexcCritical6 2 2 3 7 2" xfId="9851" xr:uid="{CD399BFE-A7DE-4706-A140-E8FF1234688B}"/>
    <cellStyle name="SAPBEXexcCritical6 2 2 3 8" xfId="9852" xr:uid="{81C244B9-87C5-42A5-BB0B-721FED20DC9A}"/>
    <cellStyle name="SAPBEXexcCritical6 2 2 3 8 2" xfId="9853" xr:uid="{85C92292-8C14-4CC4-87A3-CB3284DF6140}"/>
    <cellStyle name="SAPBEXexcCritical6 2 2 3 9" xfId="9854" xr:uid="{D7B7C017-4CCB-4960-9ACD-CC3C0D59768E}"/>
    <cellStyle name="SAPBEXexcCritical6 2 2 3 9 2" xfId="9855" xr:uid="{797829E5-8C65-4213-AA02-A062E59500E9}"/>
    <cellStyle name="SAPBEXexcCritical6 2 2 4" xfId="9856" xr:uid="{AEA56D6E-4281-4AB5-9F0E-D308DEE9C913}"/>
    <cellStyle name="SAPBEXexcCritical6 2 2 4 2" xfId="9857" xr:uid="{D8ED5EBB-0F7F-4066-A24A-783ABB6A4E3A}"/>
    <cellStyle name="SAPBEXexcCritical6 2 2 5" xfId="9858" xr:uid="{6DE0AA9F-4900-4707-93C1-2FBA8B28403D}"/>
    <cellStyle name="SAPBEXexcCritical6 2 2 5 2" xfId="9859" xr:uid="{2A9B1272-2859-4DF0-BA4F-995885936CAD}"/>
    <cellStyle name="SAPBEXexcCritical6 2 2 6" xfId="9860" xr:uid="{8CE0FD1A-6460-4857-9A87-C24D244AF9A9}"/>
    <cellStyle name="SAPBEXexcCritical6 2 2 6 2" xfId="9861" xr:uid="{93DCCD8C-E202-452D-834F-E271021D0B4C}"/>
    <cellStyle name="SAPBEXexcCritical6 2 2 7" xfId="9862" xr:uid="{58589E25-76E4-4EF9-9F4B-45DCE515FA0F}"/>
    <cellStyle name="SAPBEXexcCritical6 2 2 7 2" xfId="9863" xr:uid="{D8341351-8D43-4016-8CE3-AFBDC49F81CD}"/>
    <cellStyle name="SAPBEXexcCritical6 2 2 8" xfId="9864" xr:uid="{59A4C6CE-01C3-4F44-B343-82456AF9466D}"/>
    <cellStyle name="SAPBEXexcCritical6 2 2 8 2" xfId="9865" xr:uid="{E6B226AF-C31B-40F8-A84C-389F963A81F4}"/>
    <cellStyle name="SAPBEXexcCritical6 2 2 9" xfId="9866" xr:uid="{8324E7BB-5848-4E82-BA6D-6645FB0BF2E6}"/>
    <cellStyle name="SAPBEXexcCritical6 2 2 9 2" xfId="9867" xr:uid="{04295ED1-80AD-49F6-AB32-AFA5683B5166}"/>
    <cellStyle name="SAPBEXexcCritical6 2 3" xfId="9868" xr:uid="{25F0B7A3-BC18-4790-859D-703140D97191}"/>
    <cellStyle name="SAPBEXexcCritical6 2 3 10" xfId="9869" xr:uid="{F2084E5F-5668-4B49-960E-D39A4A68F513}"/>
    <cellStyle name="SAPBEXexcCritical6 2 3 10 2" xfId="9870" xr:uid="{011F831E-DB12-4E42-BDFB-9592DC145565}"/>
    <cellStyle name="SAPBEXexcCritical6 2 3 11" xfId="9871" xr:uid="{A83BC5F7-2D6E-4F9A-840C-9E234C533C1B}"/>
    <cellStyle name="SAPBEXexcCritical6 2 3 11 2" xfId="9872" xr:uid="{BE7D357D-2038-4878-9FEC-40E18B97850A}"/>
    <cellStyle name="SAPBEXexcCritical6 2 3 12" xfId="9873" xr:uid="{1CEF21D4-C08B-4B37-B143-3F5DB23144AB}"/>
    <cellStyle name="SAPBEXexcCritical6 2 3 12 2" xfId="9874" xr:uid="{77A1537B-D7F1-4157-BD67-30C9933215D3}"/>
    <cellStyle name="SAPBEXexcCritical6 2 3 13" xfId="9875" xr:uid="{85136142-C377-4BD3-98F1-EE896761F103}"/>
    <cellStyle name="SAPBEXexcCritical6 2 3 13 2" xfId="9876" xr:uid="{844DE8CB-303E-45B6-B7B6-5772685E5078}"/>
    <cellStyle name="SAPBEXexcCritical6 2 3 14" xfId="9877" xr:uid="{CF42503D-7300-4C39-A745-CE2A7D109285}"/>
    <cellStyle name="SAPBEXexcCritical6 2 3 14 2" xfId="9878" xr:uid="{DF96C7ED-6814-4D3B-A5D5-BD68D2A81CD2}"/>
    <cellStyle name="SAPBEXexcCritical6 2 3 15" xfId="9879" xr:uid="{9C4E6571-CE10-4E4D-964E-46BC40083027}"/>
    <cellStyle name="SAPBEXexcCritical6 2 3 15 2" xfId="9880" xr:uid="{EB14D8C8-CF87-40E8-BC69-08691EC394F4}"/>
    <cellStyle name="SAPBEXexcCritical6 2 3 16" xfId="9881" xr:uid="{ACD90318-DC7E-4B36-A213-F4156E772076}"/>
    <cellStyle name="SAPBEXexcCritical6 2 3 16 2" xfId="9882" xr:uid="{F4D19418-41B0-411C-A05C-1FF4CAEF2539}"/>
    <cellStyle name="SAPBEXexcCritical6 2 3 17" xfId="9883" xr:uid="{8176A347-B8EF-4E6C-8D74-2F766DCAC845}"/>
    <cellStyle name="SAPBEXexcCritical6 2 3 17 2" xfId="9884" xr:uid="{7A488DEE-BC3F-44BB-A803-0A69FC474C53}"/>
    <cellStyle name="SAPBEXexcCritical6 2 3 2" xfId="9885" xr:uid="{03729580-ED4A-48C8-872E-AB5AF09FE3D3}"/>
    <cellStyle name="SAPBEXexcCritical6 2 3 2 10" xfId="9886" xr:uid="{1DDA19DE-6584-4321-A7BB-68C6A0E36D26}"/>
    <cellStyle name="SAPBEXexcCritical6 2 3 2 10 2" xfId="9887" xr:uid="{657852F1-6BA5-42CE-A6A1-BFD9555FEF56}"/>
    <cellStyle name="SAPBEXexcCritical6 2 3 2 11" xfId="9888" xr:uid="{ADF0569D-E746-48A5-B6C7-C843A2EAE863}"/>
    <cellStyle name="SAPBEXexcCritical6 2 3 2 11 2" xfId="9889" xr:uid="{4473C90E-E022-4B81-A863-257CE9067D23}"/>
    <cellStyle name="SAPBEXexcCritical6 2 3 2 12" xfId="9890" xr:uid="{217E749F-A91D-44C8-B6BD-8670B0BB6B2C}"/>
    <cellStyle name="SAPBEXexcCritical6 2 3 2 12 2" xfId="9891" xr:uid="{82AC57FC-C606-47C1-A90B-2D88BE014065}"/>
    <cellStyle name="SAPBEXexcCritical6 2 3 2 13" xfId="9892" xr:uid="{CF02A369-923C-4419-8A6C-EE7055EA5935}"/>
    <cellStyle name="SAPBEXexcCritical6 2 3 2 13 2" xfId="9893" xr:uid="{CE137F7A-F621-41C3-AE4C-75F8CEABE3F8}"/>
    <cellStyle name="SAPBEXexcCritical6 2 3 2 14" xfId="9894" xr:uid="{BA181787-2863-4AF2-AF37-3F8EB8696A37}"/>
    <cellStyle name="SAPBEXexcCritical6 2 3 2 14 2" xfId="9895" xr:uid="{BCF98B39-BF05-464F-9885-80BE80BC7CFB}"/>
    <cellStyle name="SAPBEXexcCritical6 2 3 2 15" xfId="9896" xr:uid="{AA88E18D-5A1D-4346-9DA9-358BEA48E07C}"/>
    <cellStyle name="SAPBEXexcCritical6 2 3 2 15 2" xfId="9897" xr:uid="{45BC284D-871F-43ED-9DDE-71A4500E2AAA}"/>
    <cellStyle name="SAPBEXexcCritical6 2 3 2 2" xfId="9898" xr:uid="{5ACEF8E0-1E4C-4615-80EA-A68DF59DD533}"/>
    <cellStyle name="SAPBEXexcCritical6 2 3 2 2 2" xfId="9899" xr:uid="{FFACB4AB-8BCD-4B95-B174-18393D262F9A}"/>
    <cellStyle name="SAPBEXexcCritical6 2 3 2 3" xfId="9900" xr:uid="{8AF69A05-8477-423C-A7E6-9029AF9C682B}"/>
    <cellStyle name="SAPBEXexcCritical6 2 3 2 3 2" xfId="9901" xr:uid="{A3FD8827-3195-4B63-AD7C-2702587155B4}"/>
    <cellStyle name="SAPBEXexcCritical6 2 3 2 4" xfId="9902" xr:uid="{6FF35386-EAEF-4B4C-933C-E0437F66F674}"/>
    <cellStyle name="SAPBEXexcCritical6 2 3 2 4 2" xfId="9903" xr:uid="{5EC12B3A-1759-43F1-8D73-8DC8990556B7}"/>
    <cellStyle name="SAPBEXexcCritical6 2 3 2 5" xfId="9904" xr:uid="{8FB5B590-5E01-4949-B060-3FAE48297C89}"/>
    <cellStyle name="SAPBEXexcCritical6 2 3 2 5 2" xfId="9905" xr:uid="{323BA6F1-BCB6-4685-9BD7-07B0CB5A84A7}"/>
    <cellStyle name="SAPBEXexcCritical6 2 3 2 6" xfId="9906" xr:uid="{96A3908B-9364-440C-B7A0-8D675CC1ECC6}"/>
    <cellStyle name="SAPBEXexcCritical6 2 3 2 6 2" xfId="9907" xr:uid="{EC67C359-7295-49A3-AAF2-A88559C8DB1D}"/>
    <cellStyle name="SAPBEXexcCritical6 2 3 2 7" xfId="9908" xr:uid="{52F8957C-651A-4DF3-B5BA-8C8C7E9CABF3}"/>
    <cellStyle name="SAPBEXexcCritical6 2 3 2 7 2" xfId="9909" xr:uid="{87AA3B4C-CB72-4D9D-9AEC-2D2A4087501F}"/>
    <cellStyle name="SAPBEXexcCritical6 2 3 2 8" xfId="9910" xr:uid="{452C2E9A-5C20-4782-BB25-284565147FB2}"/>
    <cellStyle name="SAPBEXexcCritical6 2 3 2 8 2" xfId="9911" xr:uid="{D394FD08-E088-4EFA-8742-25E0C5A3EBD7}"/>
    <cellStyle name="SAPBEXexcCritical6 2 3 2 9" xfId="9912" xr:uid="{26FCAF4C-C9E7-4F48-9566-FFDA146F756E}"/>
    <cellStyle name="SAPBEXexcCritical6 2 3 2 9 2" xfId="9913" xr:uid="{518C4A1D-6031-4082-940B-FDB7B8A17F07}"/>
    <cellStyle name="SAPBEXexcCritical6 2 3 3" xfId="9914" xr:uid="{0FDBA3B4-1101-436C-B13D-C94B66CE8E68}"/>
    <cellStyle name="SAPBEXexcCritical6 2 3 3 10" xfId="9915" xr:uid="{76E0CCAD-E694-490F-920C-A440A84D32B1}"/>
    <cellStyle name="SAPBEXexcCritical6 2 3 3 10 2" xfId="9916" xr:uid="{D1651D85-EBE2-47E0-B4F6-C6693CCC9E0E}"/>
    <cellStyle name="SAPBEXexcCritical6 2 3 3 11" xfId="9917" xr:uid="{8D4FBA7E-4085-4D5F-AB61-512E0B481DED}"/>
    <cellStyle name="SAPBEXexcCritical6 2 3 3 11 2" xfId="9918" xr:uid="{249A8EB0-7E1D-400A-BF11-37BBA7E0F44F}"/>
    <cellStyle name="SAPBEXexcCritical6 2 3 3 12" xfId="9919" xr:uid="{94284075-613E-4DBD-B70C-238DF073624D}"/>
    <cellStyle name="SAPBEXexcCritical6 2 3 3 12 2" xfId="9920" xr:uid="{B5206C12-31B9-444F-96C4-38B58316C029}"/>
    <cellStyle name="SAPBEXexcCritical6 2 3 3 13" xfId="9921" xr:uid="{CD28A00A-D02A-4F88-9D88-D3C3C493DF51}"/>
    <cellStyle name="SAPBEXexcCritical6 2 3 3 13 2" xfId="9922" xr:uid="{61716AA7-B93E-494A-B7AB-EA373A9057EE}"/>
    <cellStyle name="SAPBEXexcCritical6 2 3 3 14" xfId="9923" xr:uid="{50C9B816-135B-4E3A-BC3D-80CF363BB338}"/>
    <cellStyle name="SAPBEXexcCritical6 2 3 3 14 2" xfId="9924" xr:uid="{292375AC-B9A8-4DD2-A2FF-37F7DDA8D7C8}"/>
    <cellStyle name="SAPBEXexcCritical6 2 3 3 15" xfId="9925" xr:uid="{C1166DC0-9D68-431A-9B78-E2DDCA17A9CA}"/>
    <cellStyle name="SAPBEXexcCritical6 2 3 3 15 2" xfId="9926" xr:uid="{CE3D224B-BD1B-41CE-B43D-746B95E83351}"/>
    <cellStyle name="SAPBEXexcCritical6 2 3 3 2" xfId="9927" xr:uid="{4CCAB74E-9316-452F-B0BF-BF594346D342}"/>
    <cellStyle name="SAPBEXexcCritical6 2 3 3 2 2" xfId="9928" xr:uid="{B153A061-BC6D-4D71-8E0B-52BF11DC6018}"/>
    <cellStyle name="SAPBEXexcCritical6 2 3 3 3" xfId="9929" xr:uid="{77CC40EA-EBC9-4E7E-BD1C-075093BC5767}"/>
    <cellStyle name="SAPBEXexcCritical6 2 3 3 3 2" xfId="9930" xr:uid="{EA380F36-62E0-4F89-9F5F-698BAAF05E1F}"/>
    <cellStyle name="SAPBEXexcCritical6 2 3 3 4" xfId="9931" xr:uid="{9F6E92B1-1242-43E5-9D99-B8BB8FD13BD7}"/>
    <cellStyle name="SAPBEXexcCritical6 2 3 3 4 2" xfId="9932" xr:uid="{617625BD-4AB5-45EB-A3B1-6B63D1179753}"/>
    <cellStyle name="SAPBEXexcCritical6 2 3 3 5" xfId="9933" xr:uid="{7B2F0A0E-8610-401B-9BBF-83DD28E784DD}"/>
    <cellStyle name="SAPBEXexcCritical6 2 3 3 5 2" xfId="9934" xr:uid="{A079867B-3012-43C4-9AA4-991EB67D2C09}"/>
    <cellStyle name="SAPBEXexcCritical6 2 3 3 6" xfId="9935" xr:uid="{8326C6B8-832A-402E-A303-2F8CE85D0FDB}"/>
    <cellStyle name="SAPBEXexcCritical6 2 3 3 6 2" xfId="9936" xr:uid="{2F9EEAE7-6502-47CB-AD14-56AA45B1E4EB}"/>
    <cellStyle name="SAPBEXexcCritical6 2 3 3 7" xfId="9937" xr:uid="{8FEEE459-7B35-46F8-AA20-EE3D921D8BFF}"/>
    <cellStyle name="SAPBEXexcCritical6 2 3 3 7 2" xfId="9938" xr:uid="{4220B375-38AF-4344-8EA9-4FC273D4D8D4}"/>
    <cellStyle name="SAPBEXexcCritical6 2 3 3 8" xfId="9939" xr:uid="{36C54B1A-5380-46B1-9EBE-2C8298AAC350}"/>
    <cellStyle name="SAPBEXexcCritical6 2 3 3 8 2" xfId="9940" xr:uid="{968D370B-FF9A-424C-ABE6-D6CD1CC83CBD}"/>
    <cellStyle name="SAPBEXexcCritical6 2 3 3 9" xfId="9941" xr:uid="{368B8795-1DC1-4482-A812-1276DC342347}"/>
    <cellStyle name="SAPBEXexcCritical6 2 3 3 9 2" xfId="9942" xr:uid="{EBDB7B22-6D2E-4ADB-95BF-926A178B18A7}"/>
    <cellStyle name="SAPBEXexcCritical6 2 3 4" xfId="9943" xr:uid="{853D8A72-538E-4F41-BB38-874BB9753536}"/>
    <cellStyle name="SAPBEXexcCritical6 2 3 4 2" xfId="9944" xr:uid="{1611DA49-C11A-4E2A-972F-59747E0A0C3F}"/>
    <cellStyle name="SAPBEXexcCritical6 2 3 5" xfId="9945" xr:uid="{C402C6F5-E6A4-441B-93E9-CAC621CFBFDF}"/>
    <cellStyle name="SAPBEXexcCritical6 2 3 5 2" xfId="9946" xr:uid="{95E2ADC1-3769-4512-A0A5-B5F479AE8FC6}"/>
    <cellStyle name="SAPBEXexcCritical6 2 3 6" xfId="9947" xr:uid="{EC231979-58B9-48CC-B5ED-A7DC366BB52D}"/>
    <cellStyle name="SAPBEXexcCritical6 2 3 6 2" xfId="9948" xr:uid="{F3084B37-2AD9-4FC9-9D54-BEFA0E1FF92E}"/>
    <cellStyle name="SAPBEXexcCritical6 2 3 7" xfId="9949" xr:uid="{7A8826E3-E12F-4DCF-8AD5-FF4585ABFC10}"/>
    <cellStyle name="SAPBEXexcCritical6 2 3 7 2" xfId="9950" xr:uid="{9AB20E08-7F80-4A84-8E06-3DA54DC9E803}"/>
    <cellStyle name="SAPBEXexcCritical6 2 3 8" xfId="9951" xr:uid="{1E03C85D-A58B-4A99-AA2C-4159B0701086}"/>
    <cellStyle name="SAPBEXexcCritical6 2 3 8 2" xfId="9952" xr:uid="{CCFE86CD-5070-433A-AC5B-0E81064B9FB3}"/>
    <cellStyle name="SAPBEXexcCritical6 2 3 9" xfId="9953" xr:uid="{3B3B162F-DFE0-4B07-BE97-327179315B88}"/>
    <cellStyle name="SAPBEXexcCritical6 2 3 9 2" xfId="9954" xr:uid="{61C30DEC-F429-450F-A7AE-E9942A19C2FB}"/>
    <cellStyle name="SAPBEXexcCritical6 2 4" xfId="9955" xr:uid="{8733DACC-938D-47C4-9A36-3608E5D2346C}"/>
    <cellStyle name="SAPBEXexcCritical6 2 4 10" xfId="9956" xr:uid="{5E95F0F9-EEDE-486E-B30D-A4A132695EB0}"/>
    <cellStyle name="SAPBEXexcCritical6 2 4 10 2" xfId="9957" xr:uid="{D2E74550-31A7-448E-B518-5F36E6F1FAF7}"/>
    <cellStyle name="SAPBEXexcCritical6 2 4 11" xfId="9958" xr:uid="{3D4AAB2E-3C68-4C91-9DAB-EE97C0586114}"/>
    <cellStyle name="SAPBEXexcCritical6 2 4 11 2" xfId="9959" xr:uid="{503BBB57-5B0C-4332-A145-AB486BF55AFE}"/>
    <cellStyle name="SAPBEXexcCritical6 2 4 12" xfId="9960" xr:uid="{5A1B19EC-3E0A-4373-806E-B07ED3AFC465}"/>
    <cellStyle name="SAPBEXexcCritical6 2 4 12 2" xfId="9961" xr:uid="{8F40FCF9-AB92-403C-B64C-E4FAE0C75EA9}"/>
    <cellStyle name="SAPBEXexcCritical6 2 4 13" xfId="9962" xr:uid="{8A683BE9-1AFE-4DF1-88B4-7BD8028D8DB4}"/>
    <cellStyle name="SAPBEXexcCritical6 2 4 13 2" xfId="9963" xr:uid="{A1A10EA7-65C6-45C9-B356-B803A65759EF}"/>
    <cellStyle name="SAPBEXexcCritical6 2 4 14" xfId="9964" xr:uid="{57FE4A5F-DDAD-4C8D-9637-1CA659929D55}"/>
    <cellStyle name="SAPBEXexcCritical6 2 4 14 2" xfId="9965" xr:uid="{B1A113C5-CFB9-4FA9-A3C5-98E58AF37DD4}"/>
    <cellStyle name="SAPBEXexcCritical6 2 4 15" xfId="9966" xr:uid="{548D08EC-22D5-4FF7-867A-0109C083937F}"/>
    <cellStyle name="SAPBEXexcCritical6 2 4 15 2" xfId="9967" xr:uid="{669E1440-3758-4F3C-B8B6-BE1DCBB57289}"/>
    <cellStyle name="SAPBEXexcCritical6 2 4 16" xfId="9968" xr:uid="{51A74A41-C099-4489-A4D2-B80BF3979936}"/>
    <cellStyle name="SAPBEXexcCritical6 2 4 16 2" xfId="9969" xr:uid="{F4E5E937-05EC-4EC5-97ED-EDE6AB4F37DD}"/>
    <cellStyle name="SAPBEXexcCritical6 2 4 17" xfId="9970" xr:uid="{03A8FF6E-9599-44F8-89D0-15EDC0A10499}"/>
    <cellStyle name="SAPBEXexcCritical6 2 4 17 2" xfId="9971" xr:uid="{D2384BEA-3B65-48E8-86FF-692D94537305}"/>
    <cellStyle name="SAPBEXexcCritical6 2 4 2" xfId="9972" xr:uid="{8A95CE38-9ABE-40DE-A4B7-538FC67A69F0}"/>
    <cellStyle name="SAPBEXexcCritical6 2 4 2 10" xfId="9973" xr:uid="{8CE769C3-E73E-456C-B6FF-8CDCA15C88DA}"/>
    <cellStyle name="SAPBEXexcCritical6 2 4 2 10 2" xfId="9974" xr:uid="{9D5C0FC0-BD81-4F1C-AE49-E8FF5766F28F}"/>
    <cellStyle name="SAPBEXexcCritical6 2 4 2 11" xfId="9975" xr:uid="{35BC42AA-17F0-4385-9E13-97BDC66216AE}"/>
    <cellStyle name="SAPBEXexcCritical6 2 4 2 11 2" xfId="9976" xr:uid="{6BC6A066-D750-4154-AE35-026F5B69EC5E}"/>
    <cellStyle name="SAPBEXexcCritical6 2 4 2 12" xfId="9977" xr:uid="{654E3CF2-293A-423F-9E73-A2BF83C40959}"/>
    <cellStyle name="SAPBEXexcCritical6 2 4 2 12 2" xfId="9978" xr:uid="{3E923112-BC96-4C6D-9A4D-5E2C186FDF6C}"/>
    <cellStyle name="SAPBEXexcCritical6 2 4 2 13" xfId="9979" xr:uid="{5E6B528F-3A2A-43A2-98B6-F5D5FD86BCB2}"/>
    <cellStyle name="SAPBEXexcCritical6 2 4 2 13 2" xfId="9980" xr:uid="{C133EBCF-E1DD-44E3-959A-F7064CD46C88}"/>
    <cellStyle name="SAPBEXexcCritical6 2 4 2 14" xfId="9981" xr:uid="{4A919CC0-A9A9-406B-9533-F973197577BA}"/>
    <cellStyle name="SAPBEXexcCritical6 2 4 2 14 2" xfId="9982" xr:uid="{B4FF7218-9559-4BEA-A315-BAE999CBCB60}"/>
    <cellStyle name="SAPBEXexcCritical6 2 4 2 15" xfId="9983" xr:uid="{EDD5249F-B59B-4626-82BC-AE2F95BC7086}"/>
    <cellStyle name="SAPBEXexcCritical6 2 4 2 15 2" xfId="9984" xr:uid="{5C338DA6-6E79-4F9E-A20D-4C1B187953F9}"/>
    <cellStyle name="SAPBEXexcCritical6 2 4 2 2" xfId="9985" xr:uid="{BC2D73A8-C9A7-42EF-91D0-1B89223B7B87}"/>
    <cellStyle name="SAPBEXexcCritical6 2 4 2 2 2" xfId="9986" xr:uid="{B7FCBD1E-D7F7-49E0-BDE9-6F0E22030543}"/>
    <cellStyle name="SAPBEXexcCritical6 2 4 2 3" xfId="9987" xr:uid="{DC1DC6E9-5761-49B7-8574-B08D5FEF045F}"/>
    <cellStyle name="SAPBEXexcCritical6 2 4 2 3 2" xfId="9988" xr:uid="{2E0858C0-29F3-4ED1-ADCA-9B0BB4377B23}"/>
    <cellStyle name="SAPBEXexcCritical6 2 4 2 4" xfId="9989" xr:uid="{317A20C7-40E3-4DE2-B4FE-432D55728CD0}"/>
    <cellStyle name="SAPBEXexcCritical6 2 4 2 4 2" xfId="9990" xr:uid="{F3CB5F25-6B7A-4CCA-8AB0-7293D6D3741B}"/>
    <cellStyle name="SAPBEXexcCritical6 2 4 2 5" xfId="9991" xr:uid="{E162829E-E5F4-4356-9914-874E318DC92A}"/>
    <cellStyle name="SAPBEXexcCritical6 2 4 2 5 2" xfId="9992" xr:uid="{14EC10FB-F23D-42DE-9B38-BD46A1401490}"/>
    <cellStyle name="SAPBEXexcCritical6 2 4 2 6" xfId="9993" xr:uid="{CBCE85F8-1313-41B0-BDBA-7AA5C77D0E50}"/>
    <cellStyle name="SAPBEXexcCritical6 2 4 2 6 2" xfId="9994" xr:uid="{5C72571C-1943-4B58-8402-B32859D8F5A9}"/>
    <cellStyle name="SAPBEXexcCritical6 2 4 2 7" xfId="9995" xr:uid="{5A5BAEBC-0017-4D60-99F2-4A9B4D0F85BB}"/>
    <cellStyle name="SAPBEXexcCritical6 2 4 2 7 2" xfId="9996" xr:uid="{AF586156-BC6D-4A9D-896D-B48FF2948251}"/>
    <cellStyle name="SAPBEXexcCritical6 2 4 2 8" xfId="9997" xr:uid="{B56C3B8D-3CA5-4986-AF24-5D74B6D29625}"/>
    <cellStyle name="SAPBEXexcCritical6 2 4 2 8 2" xfId="9998" xr:uid="{31765AEA-0626-4C5D-8EA3-1459983C42BD}"/>
    <cellStyle name="SAPBEXexcCritical6 2 4 2 9" xfId="9999" xr:uid="{FAC3562D-6727-44FB-9297-5B9C3030C88E}"/>
    <cellStyle name="SAPBEXexcCritical6 2 4 2 9 2" xfId="10000" xr:uid="{328066EF-7DEE-4FC9-ADBC-AEC0686FF16F}"/>
    <cellStyle name="SAPBEXexcCritical6 2 4 3" xfId="10001" xr:uid="{509EF6DE-C42F-4121-92C4-35E036740E22}"/>
    <cellStyle name="SAPBEXexcCritical6 2 4 3 10" xfId="10002" xr:uid="{75DBBB6D-0D88-4CA1-83F5-34B42CECAA74}"/>
    <cellStyle name="SAPBEXexcCritical6 2 4 3 10 2" xfId="10003" xr:uid="{F89BC4EF-EC4D-4A57-84A1-92DFA6CD2A26}"/>
    <cellStyle name="SAPBEXexcCritical6 2 4 3 11" xfId="10004" xr:uid="{013594E7-9931-492F-A865-AE52F4AFB9F7}"/>
    <cellStyle name="SAPBEXexcCritical6 2 4 3 11 2" xfId="10005" xr:uid="{10F9C67D-C11E-4650-B650-09169E47608E}"/>
    <cellStyle name="SAPBEXexcCritical6 2 4 3 12" xfId="10006" xr:uid="{033C389D-1D5F-40DC-B37F-B447D12E4C59}"/>
    <cellStyle name="SAPBEXexcCritical6 2 4 3 12 2" xfId="10007" xr:uid="{7A78B87E-BB80-4D70-8756-AC9B75FDB4D7}"/>
    <cellStyle name="SAPBEXexcCritical6 2 4 3 13" xfId="10008" xr:uid="{460947B9-12D8-4672-B703-90154F6E4FF5}"/>
    <cellStyle name="SAPBEXexcCritical6 2 4 3 13 2" xfId="10009" xr:uid="{4F532334-2DFD-4CD6-A486-FEF81420C6A0}"/>
    <cellStyle name="SAPBEXexcCritical6 2 4 3 14" xfId="10010" xr:uid="{167E2CF8-554A-4024-ABD7-2883FF2A9F29}"/>
    <cellStyle name="SAPBEXexcCritical6 2 4 3 14 2" xfId="10011" xr:uid="{8BB27DE8-4F91-4AE8-950F-3EAB1A03C7B6}"/>
    <cellStyle name="SAPBEXexcCritical6 2 4 3 15" xfId="10012" xr:uid="{CD2554FF-44D8-4D87-A17E-F699A0C3F0D0}"/>
    <cellStyle name="SAPBEXexcCritical6 2 4 3 15 2" xfId="10013" xr:uid="{FA2169DE-4BE0-415B-A270-27CA21D09C1B}"/>
    <cellStyle name="SAPBEXexcCritical6 2 4 3 2" xfId="10014" xr:uid="{3342A1AD-4A94-4982-A75A-517CB4824DDF}"/>
    <cellStyle name="SAPBEXexcCritical6 2 4 3 2 2" xfId="10015" xr:uid="{582B02BA-BC4F-4DFD-A920-6FDEBF3F96DC}"/>
    <cellStyle name="SAPBEXexcCritical6 2 4 3 3" xfId="10016" xr:uid="{443FCF1C-9891-4F4F-9DC1-66B36243818A}"/>
    <cellStyle name="SAPBEXexcCritical6 2 4 3 3 2" xfId="10017" xr:uid="{B6454EF8-44E7-4680-8E9F-1CF6FFA749D9}"/>
    <cellStyle name="SAPBEXexcCritical6 2 4 3 4" xfId="10018" xr:uid="{32CEF2BC-9E92-49FF-AF97-F7E053406770}"/>
    <cellStyle name="SAPBEXexcCritical6 2 4 3 4 2" xfId="10019" xr:uid="{5E091DB1-FAEE-47AA-9C9F-B334209E1251}"/>
    <cellStyle name="SAPBEXexcCritical6 2 4 3 5" xfId="10020" xr:uid="{5A2B2D21-0CD1-4E24-84B9-D8F5C14A11ED}"/>
    <cellStyle name="SAPBEXexcCritical6 2 4 3 5 2" xfId="10021" xr:uid="{B0C3BDEA-BC42-4911-9EFB-5A93F2B821E9}"/>
    <cellStyle name="SAPBEXexcCritical6 2 4 3 6" xfId="10022" xr:uid="{078CF5EA-DD24-4CD2-A719-CF11A53E6E46}"/>
    <cellStyle name="SAPBEXexcCritical6 2 4 3 6 2" xfId="10023" xr:uid="{63F177A6-48E3-48E1-8F36-B209E318511E}"/>
    <cellStyle name="SAPBEXexcCritical6 2 4 3 7" xfId="10024" xr:uid="{73C67DF7-5AAB-4018-AEA0-9F1C677A1D08}"/>
    <cellStyle name="SAPBEXexcCritical6 2 4 3 7 2" xfId="10025" xr:uid="{8269CA2E-3E49-48EA-AEFF-C2282D52B40A}"/>
    <cellStyle name="SAPBEXexcCritical6 2 4 3 8" xfId="10026" xr:uid="{75D0F00C-BA2D-4899-91E0-BE5DC697EB98}"/>
    <cellStyle name="SAPBEXexcCritical6 2 4 3 8 2" xfId="10027" xr:uid="{76326F1C-855C-49EE-8C6C-E43515F155B1}"/>
    <cellStyle name="SAPBEXexcCritical6 2 4 3 9" xfId="10028" xr:uid="{DADE885D-65A6-43BC-B1DD-5FC00CBD4843}"/>
    <cellStyle name="SAPBEXexcCritical6 2 4 3 9 2" xfId="10029" xr:uid="{12FF1C95-AC93-4A64-A921-D33CC749BE00}"/>
    <cellStyle name="SAPBEXexcCritical6 2 4 4" xfId="10030" xr:uid="{5872A329-5A98-4C34-B6C1-80FA72EF7A44}"/>
    <cellStyle name="SAPBEXexcCritical6 2 4 4 2" xfId="10031" xr:uid="{C27C8DC5-0701-4FDC-BD0B-D7DB1B544526}"/>
    <cellStyle name="SAPBEXexcCritical6 2 4 5" xfId="10032" xr:uid="{B20C68E0-4B0B-46F5-AA71-0DC283D4155B}"/>
    <cellStyle name="SAPBEXexcCritical6 2 4 5 2" xfId="10033" xr:uid="{D9EB98BA-9B11-4003-A38D-2ECEB6120B06}"/>
    <cellStyle name="SAPBEXexcCritical6 2 4 6" xfId="10034" xr:uid="{30DB77E0-C003-41DF-93F9-1E5EC39BCEB5}"/>
    <cellStyle name="SAPBEXexcCritical6 2 4 6 2" xfId="10035" xr:uid="{DB9881E0-0E1B-415B-92DE-D18D61F7FA7F}"/>
    <cellStyle name="SAPBEXexcCritical6 2 4 7" xfId="10036" xr:uid="{8217ADF5-D08F-4C9D-80F1-39FEF28980D9}"/>
    <cellStyle name="SAPBEXexcCritical6 2 4 7 2" xfId="10037" xr:uid="{DF2BDB48-3470-4DAB-92E8-5100836A13A6}"/>
    <cellStyle name="SAPBEXexcCritical6 2 4 8" xfId="10038" xr:uid="{6DA40D66-3F65-45C1-9F7D-C119C4624DA3}"/>
    <cellStyle name="SAPBEXexcCritical6 2 4 8 2" xfId="10039" xr:uid="{F2CD89E4-D8AA-4CB8-9741-193388DAC4FC}"/>
    <cellStyle name="SAPBEXexcCritical6 2 4 9" xfId="10040" xr:uid="{BC6F81A5-5049-4D8C-B8D5-0054FA94573C}"/>
    <cellStyle name="SAPBEXexcCritical6 2 4 9 2" xfId="10041" xr:uid="{B25109F2-60B5-4798-93D2-5A0BCC79964B}"/>
    <cellStyle name="SAPBEXexcCritical6 2 5" xfId="10042" xr:uid="{B25B3DAB-0573-4479-A9FD-39F16F51F9A5}"/>
    <cellStyle name="SAPBEXexcCritical6 2 5 2" xfId="10043" xr:uid="{37D57FF2-BE88-45B6-8C59-8202A10FC282}"/>
    <cellStyle name="SAPBEXexcCritical6 2 6" xfId="10044" xr:uid="{A2452EE9-E592-49EB-97B5-895F4591C683}"/>
    <cellStyle name="SAPBEXexcCritical6 2 6 2" xfId="10045" xr:uid="{1D137CDE-9B4C-47C1-9C1D-184330E44104}"/>
    <cellStyle name="SAPBEXexcCritical6 2 7" xfId="10046" xr:uid="{84A196E2-AE35-458B-AF8E-397AB3E4A051}"/>
    <cellStyle name="SAPBEXexcCritical6 2 7 2" xfId="10047" xr:uid="{57453C0D-1F34-4DE5-8272-7B0D7D6DE753}"/>
    <cellStyle name="SAPBEXexcCritical6 2 8" xfId="10048" xr:uid="{5E342B39-25F0-4D6E-B324-1EC6FF1BEC48}"/>
    <cellStyle name="SAPBEXexcCritical6 2 8 2" xfId="10049" xr:uid="{6E631327-11C9-45F8-9BDD-33FAEBE71E02}"/>
    <cellStyle name="SAPBEXexcCritical6 2 9" xfId="10050" xr:uid="{750A0FFE-FD66-46BC-9A98-51B5D8FA77B5}"/>
    <cellStyle name="SAPBEXexcCritical6 2 9 2" xfId="10051" xr:uid="{73ECE48B-A803-48FC-9506-729B92717D71}"/>
    <cellStyle name="SAPBEXexcCritical6 2_T1 ANSP" xfId="9762" xr:uid="{236CA5EF-AB88-4912-9513-5CF00F65FD1E}"/>
    <cellStyle name="SAPBEXexcCritical6 20" xfId="10052" xr:uid="{00ECF0DD-B8FC-477F-8488-18105B004D2B}"/>
    <cellStyle name="SAPBEXexcCritical6 3" xfId="1509" xr:uid="{00000000-0005-0000-0000-000071050000}"/>
    <cellStyle name="SAPBEXexcCritical6 3 10" xfId="10054" xr:uid="{102432AA-D374-4582-951F-2593F759CA8C}"/>
    <cellStyle name="SAPBEXexcCritical6 3 10 2" xfId="10055" xr:uid="{23287ED1-8A95-48A9-9873-84EBA2189025}"/>
    <cellStyle name="SAPBEXexcCritical6 3 11" xfId="10056" xr:uid="{E4D4D397-8844-4234-953F-2A86E0E87720}"/>
    <cellStyle name="SAPBEXexcCritical6 3 11 2" xfId="10057" xr:uid="{D94DF72D-61F8-4E2A-BF98-1D2B11BDBB3A}"/>
    <cellStyle name="SAPBEXexcCritical6 3 12" xfId="10058" xr:uid="{5B5AC149-2D9C-4B0F-8149-E595500E49A8}"/>
    <cellStyle name="SAPBEXexcCritical6 3 12 2" xfId="10059" xr:uid="{1339FF9E-1804-4A44-B67F-63F09613D35A}"/>
    <cellStyle name="SAPBEXexcCritical6 3 13" xfId="10060" xr:uid="{9293E1A1-94ED-43AF-896E-790DBAF69B02}"/>
    <cellStyle name="SAPBEXexcCritical6 3 13 2" xfId="10061" xr:uid="{5B10659D-FD73-4469-8C7C-B1338343C89A}"/>
    <cellStyle name="SAPBEXexcCritical6 3 14" xfId="10062" xr:uid="{1A609976-05FD-4440-9F71-60206C2ADF20}"/>
    <cellStyle name="SAPBEXexcCritical6 3 14 2" xfId="10063" xr:uid="{18A88584-3CF3-4ABF-B4BF-ACA38D0C8732}"/>
    <cellStyle name="SAPBEXexcCritical6 3 15" xfId="10064" xr:uid="{5839BB12-9522-4842-9AAB-D2E33C09E2EE}"/>
    <cellStyle name="SAPBEXexcCritical6 3 15 2" xfId="10065" xr:uid="{A5A7B7F5-E28F-4F93-BF0C-3145CFB0F672}"/>
    <cellStyle name="SAPBEXexcCritical6 3 16" xfId="10066" xr:uid="{669EA7A8-C20B-41C5-A1A5-B99CC3AC13B0}"/>
    <cellStyle name="SAPBEXexcCritical6 3 16 2" xfId="10067" xr:uid="{91C78225-23FF-4734-BCF4-95594E0A2059}"/>
    <cellStyle name="SAPBEXexcCritical6 3 17" xfId="10068" xr:uid="{72FC059A-F634-484B-951B-76A03E049DC3}"/>
    <cellStyle name="SAPBEXexcCritical6 3 17 2" xfId="10069" xr:uid="{F3966D45-5484-46FC-80F8-833A2C8B48E4}"/>
    <cellStyle name="SAPBEXexcCritical6 3 18" xfId="10070" xr:uid="{A30BF850-DC06-49AE-B62C-AF4A66396186}"/>
    <cellStyle name="SAPBEXexcCritical6 3 2" xfId="10071" xr:uid="{0DDFA7B8-3189-41D3-9A8B-4E0F69112D72}"/>
    <cellStyle name="SAPBEXexcCritical6 3 2 10" xfId="10072" xr:uid="{E91EC4BD-4D75-406F-A2C1-35DAFA2C2CAE}"/>
    <cellStyle name="SAPBEXexcCritical6 3 2 10 2" xfId="10073" xr:uid="{801F5765-EF5A-4ECE-9025-D4807DC843C5}"/>
    <cellStyle name="SAPBEXexcCritical6 3 2 11" xfId="10074" xr:uid="{5A8AF5F4-FCCD-48DB-AB5E-192B11C23FCD}"/>
    <cellStyle name="SAPBEXexcCritical6 3 2 11 2" xfId="10075" xr:uid="{02CF159D-401A-4617-AE53-7528077E890D}"/>
    <cellStyle name="SAPBEXexcCritical6 3 2 12" xfId="10076" xr:uid="{8EB1929C-FF86-4F1B-AA2C-0CFE918C142A}"/>
    <cellStyle name="SAPBEXexcCritical6 3 2 12 2" xfId="10077" xr:uid="{D6338C6E-DA4B-40FB-85CB-C00312B79B11}"/>
    <cellStyle name="SAPBEXexcCritical6 3 2 13" xfId="10078" xr:uid="{DEE9D624-32AF-4634-BF1F-34EBD5F2E8C3}"/>
    <cellStyle name="SAPBEXexcCritical6 3 2 13 2" xfId="10079" xr:uid="{39EC4C15-ED9A-4699-BF4C-250A6B9DDEAC}"/>
    <cellStyle name="SAPBEXexcCritical6 3 2 14" xfId="10080" xr:uid="{4A9FBA9A-0EDE-4D42-A6FD-083449EA60A6}"/>
    <cellStyle name="SAPBEXexcCritical6 3 2 14 2" xfId="10081" xr:uid="{2AB609FD-C704-4D2A-85D8-8D72EE9CA084}"/>
    <cellStyle name="SAPBEXexcCritical6 3 2 15" xfId="10082" xr:uid="{FAEC2150-9F45-496D-9998-FDDA72E6A989}"/>
    <cellStyle name="SAPBEXexcCritical6 3 2 15 2" xfId="10083" xr:uid="{453758BB-4CDF-441D-984A-A176386BBB2D}"/>
    <cellStyle name="SAPBEXexcCritical6 3 2 16" xfId="10084" xr:uid="{B5413B89-E0E1-420B-8462-DD6C65CEDC2E}"/>
    <cellStyle name="SAPBEXexcCritical6 3 2 2" xfId="10085" xr:uid="{9B40658A-341D-4185-9F47-F09F33CE092B}"/>
    <cellStyle name="SAPBEXexcCritical6 3 2 2 2" xfId="10086" xr:uid="{72329F0B-36A0-4401-8685-7926EA9CE3CA}"/>
    <cellStyle name="SAPBEXexcCritical6 3 2 3" xfId="10087" xr:uid="{F33BF4F8-8AFD-409A-B930-71AF52ADEA1B}"/>
    <cellStyle name="SAPBEXexcCritical6 3 2 3 2" xfId="10088" xr:uid="{D5A6AFC1-343C-4D47-B921-D0D80B305427}"/>
    <cellStyle name="SAPBEXexcCritical6 3 2 4" xfId="10089" xr:uid="{1F3D3302-44EB-413E-9D0C-E778F2ECE13A}"/>
    <cellStyle name="SAPBEXexcCritical6 3 2 4 2" xfId="10090" xr:uid="{26C4D747-5F5E-4766-940B-349FE1D98E48}"/>
    <cellStyle name="SAPBEXexcCritical6 3 2 5" xfId="10091" xr:uid="{72B646E9-D7F0-4289-B36D-7EF034F6D2E5}"/>
    <cellStyle name="SAPBEXexcCritical6 3 2 5 2" xfId="10092" xr:uid="{607617C2-3198-478B-8700-143DB6D116FF}"/>
    <cellStyle name="SAPBEXexcCritical6 3 2 6" xfId="10093" xr:uid="{F23952B0-A1B4-467C-A899-3C27A935D90D}"/>
    <cellStyle name="SAPBEXexcCritical6 3 2 6 2" xfId="10094" xr:uid="{67E08467-6C70-40BA-9F4F-FAA3B4427676}"/>
    <cellStyle name="SAPBEXexcCritical6 3 2 7" xfId="10095" xr:uid="{03441AEE-18C3-4C36-B155-5CCC36822A57}"/>
    <cellStyle name="SAPBEXexcCritical6 3 2 7 2" xfId="10096" xr:uid="{4AF243DD-0276-482C-A06E-2B7CD1C6F050}"/>
    <cellStyle name="SAPBEXexcCritical6 3 2 8" xfId="10097" xr:uid="{6BE37230-6EC1-4185-873F-AF30357F7708}"/>
    <cellStyle name="SAPBEXexcCritical6 3 2 8 2" xfId="10098" xr:uid="{A5C8D46E-ACCF-49DB-8266-C5CD80E65873}"/>
    <cellStyle name="SAPBEXexcCritical6 3 2 9" xfId="10099" xr:uid="{94D786E6-17D2-426C-BD5D-4427459439CC}"/>
    <cellStyle name="SAPBEXexcCritical6 3 2 9 2" xfId="10100" xr:uid="{27D2E779-AF13-4EA6-9BCF-DAE5DFB2AA16}"/>
    <cellStyle name="SAPBEXexcCritical6 3 3" xfId="10101" xr:uid="{0B7C8B12-380D-4668-ADEC-C4779654EB12}"/>
    <cellStyle name="SAPBEXexcCritical6 3 3 10" xfId="10102" xr:uid="{77DE6E1B-3152-47BD-937E-80E44A8007C6}"/>
    <cellStyle name="SAPBEXexcCritical6 3 3 10 2" xfId="10103" xr:uid="{B4B613D4-DB8D-45F2-883B-1404149DBDE2}"/>
    <cellStyle name="SAPBEXexcCritical6 3 3 11" xfId="10104" xr:uid="{63B3BFFD-7675-4760-8A43-675587AB0694}"/>
    <cellStyle name="SAPBEXexcCritical6 3 3 11 2" xfId="10105" xr:uid="{72DDBDC9-E6E6-4F60-9E29-18596207C3B6}"/>
    <cellStyle name="SAPBEXexcCritical6 3 3 12" xfId="10106" xr:uid="{CA9B6065-00DD-478F-8D5C-6A2262BFFA2C}"/>
    <cellStyle name="SAPBEXexcCritical6 3 3 12 2" xfId="10107" xr:uid="{FE79C5B5-E76B-4F44-9B59-8F5F864C2CB4}"/>
    <cellStyle name="SAPBEXexcCritical6 3 3 13" xfId="10108" xr:uid="{C9D6283B-6D97-4E0E-A049-37338ACE1DE6}"/>
    <cellStyle name="SAPBEXexcCritical6 3 3 13 2" xfId="10109" xr:uid="{4E620161-7143-4ED5-B876-98A17481952E}"/>
    <cellStyle name="SAPBEXexcCritical6 3 3 14" xfId="10110" xr:uid="{7CCB2F6D-44DE-456F-B0A8-941150843F11}"/>
    <cellStyle name="SAPBEXexcCritical6 3 3 14 2" xfId="10111" xr:uid="{4D9B4EEB-3ED5-4E70-8E23-254DCD626A43}"/>
    <cellStyle name="SAPBEXexcCritical6 3 3 15" xfId="10112" xr:uid="{AB356128-F0D2-4C1A-A3EF-6CBBC255A4BD}"/>
    <cellStyle name="SAPBEXexcCritical6 3 3 15 2" xfId="10113" xr:uid="{AE4EC4FA-E42C-4A99-A0C8-1DE56487DAB8}"/>
    <cellStyle name="SAPBEXexcCritical6 3 3 16" xfId="10114" xr:uid="{A952CB85-D2F7-4ADD-BB28-BDC4A639C573}"/>
    <cellStyle name="SAPBEXexcCritical6 3 3 2" xfId="10115" xr:uid="{FB3AC52C-ADF0-4006-89D1-741B98698E06}"/>
    <cellStyle name="SAPBEXexcCritical6 3 3 2 2" xfId="10116" xr:uid="{93A1FA85-CF66-4762-B75E-E4F9EAE56389}"/>
    <cellStyle name="SAPBEXexcCritical6 3 3 3" xfId="10117" xr:uid="{171FC734-FBA2-4B4E-AC3C-391D74A6CD21}"/>
    <cellStyle name="SAPBEXexcCritical6 3 3 3 2" xfId="10118" xr:uid="{BCD62F45-A1AE-4B7E-8FBC-202160AD023C}"/>
    <cellStyle name="SAPBEXexcCritical6 3 3 4" xfId="10119" xr:uid="{32E97170-25AA-469A-870B-B47BD75887B8}"/>
    <cellStyle name="SAPBEXexcCritical6 3 3 4 2" xfId="10120" xr:uid="{BE5C938C-AF2C-41FE-B14A-34F810FAC284}"/>
    <cellStyle name="SAPBEXexcCritical6 3 3 5" xfId="10121" xr:uid="{2C2693A8-C9AF-413F-A190-868C7C5877F3}"/>
    <cellStyle name="SAPBEXexcCritical6 3 3 5 2" xfId="10122" xr:uid="{962B57D7-586F-4D18-B969-2F9F176B6A6B}"/>
    <cellStyle name="SAPBEXexcCritical6 3 3 6" xfId="10123" xr:uid="{CD90A00B-D227-4AC9-B477-56DA401DA7DF}"/>
    <cellStyle name="SAPBEXexcCritical6 3 3 6 2" xfId="10124" xr:uid="{96328FE7-FC3A-4F98-BB35-AA838240B77A}"/>
    <cellStyle name="SAPBEXexcCritical6 3 3 7" xfId="10125" xr:uid="{C480B9D3-06C9-44A0-8EC0-912DC97617EE}"/>
    <cellStyle name="SAPBEXexcCritical6 3 3 7 2" xfId="10126" xr:uid="{CCDBF699-757E-4210-B765-CE2837BB707B}"/>
    <cellStyle name="SAPBEXexcCritical6 3 3 8" xfId="10127" xr:uid="{0AA82BC9-6368-43AB-A660-649C7FE82F88}"/>
    <cellStyle name="SAPBEXexcCritical6 3 3 8 2" xfId="10128" xr:uid="{2EA4B481-C69B-4F1C-B0C0-D01A2F209633}"/>
    <cellStyle name="SAPBEXexcCritical6 3 3 9" xfId="10129" xr:uid="{98EEB4BE-8120-4F8E-B1B8-F1D8C17E6DF9}"/>
    <cellStyle name="SAPBEXexcCritical6 3 3 9 2" xfId="10130" xr:uid="{D623B976-6A3B-4E03-B880-EF48090FB447}"/>
    <cellStyle name="SAPBEXexcCritical6 3 4" xfId="10131" xr:uid="{D0A04AF4-B822-485D-85A7-F280D8DF179B}"/>
    <cellStyle name="SAPBEXexcCritical6 3 4 2" xfId="10132" xr:uid="{95A870E7-69AD-40CF-B72D-02D87DD29471}"/>
    <cellStyle name="SAPBEXexcCritical6 3 5" xfId="10133" xr:uid="{0F5B943B-CB06-430E-8488-41D3C74D4626}"/>
    <cellStyle name="SAPBEXexcCritical6 3 5 2" xfId="10134" xr:uid="{40C435CF-4A86-4ACD-96A8-9F11F9AF029E}"/>
    <cellStyle name="SAPBEXexcCritical6 3 6" xfId="10135" xr:uid="{C2BFA6EA-2CF0-49C3-B88F-057F162AB898}"/>
    <cellStyle name="SAPBEXexcCritical6 3 6 2" xfId="10136" xr:uid="{89D3545F-CDED-41FC-989F-28B52F8ED940}"/>
    <cellStyle name="SAPBEXexcCritical6 3 7" xfId="10137" xr:uid="{20BB8CCE-9955-408B-BD9A-35A591401982}"/>
    <cellStyle name="SAPBEXexcCritical6 3 7 2" xfId="10138" xr:uid="{70D1640A-9EE2-42B5-9A5E-52C6B19BE00F}"/>
    <cellStyle name="SAPBEXexcCritical6 3 8" xfId="10139" xr:uid="{C7520775-F484-4FFD-890C-83D534C27316}"/>
    <cellStyle name="SAPBEXexcCritical6 3 8 2" xfId="10140" xr:uid="{423ABB4E-1E09-4CD6-8CDE-AFF7E5EF1D5C}"/>
    <cellStyle name="SAPBEXexcCritical6 3 9" xfId="10141" xr:uid="{380DC526-4757-4605-84C7-12488E1B7073}"/>
    <cellStyle name="SAPBEXexcCritical6 3 9 2" xfId="10142" xr:uid="{201D0764-2514-4B1A-817F-008747754233}"/>
    <cellStyle name="SAPBEXexcCritical6 3_T1 ANSP" xfId="10053" xr:uid="{5BD51B39-A0C2-4E42-A9DE-CC7EE474EA43}"/>
    <cellStyle name="SAPBEXexcCritical6 4" xfId="10143" xr:uid="{0D3F3E97-10FC-4604-AE3E-18E682AE311D}"/>
    <cellStyle name="SAPBEXexcCritical6 4 10" xfId="10144" xr:uid="{95CD5A32-B36E-43FB-A39C-80430095C8DC}"/>
    <cellStyle name="SAPBEXexcCritical6 4 10 2" xfId="10145" xr:uid="{EBA6C737-8F22-4C63-8B51-35DF0217D04E}"/>
    <cellStyle name="SAPBEXexcCritical6 4 11" xfId="10146" xr:uid="{CE7095ED-E7FE-4EC2-991D-B60C4CDB7392}"/>
    <cellStyle name="SAPBEXexcCritical6 4 11 2" xfId="10147" xr:uid="{2F4BC9DD-9E1B-4685-8CF2-771C1C4418D3}"/>
    <cellStyle name="SAPBEXexcCritical6 4 12" xfId="10148" xr:uid="{832DC53E-BBC4-414A-9117-6DD0774E2C4F}"/>
    <cellStyle name="SAPBEXexcCritical6 4 12 2" xfId="10149" xr:uid="{F58D55E4-3497-4D85-96AE-34671E67E8AE}"/>
    <cellStyle name="SAPBEXexcCritical6 4 13" xfId="10150" xr:uid="{72217B73-60F2-4DAD-922B-E8BC5E56A236}"/>
    <cellStyle name="SAPBEXexcCritical6 4 13 2" xfId="10151" xr:uid="{F42D9E48-CF50-4C80-AF50-2D1B9348A61B}"/>
    <cellStyle name="SAPBEXexcCritical6 4 14" xfId="10152" xr:uid="{1C0E23C4-8BCB-42EC-BE23-A4F4592BEB9C}"/>
    <cellStyle name="SAPBEXexcCritical6 4 14 2" xfId="10153" xr:uid="{DF0B502E-4F98-49FC-A46F-92D783543D56}"/>
    <cellStyle name="SAPBEXexcCritical6 4 15" xfId="10154" xr:uid="{8B056AC4-91BD-42E7-9390-573161A87034}"/>
    <cellStyle name="SAPBEXexcCritical6 4 15 2" xfId="10155" xr:uid="{2C6013E0-898D-4D2A-A6F1-446CCF07F1AB}"/>
    <cellStyle name="SAPBEXexcCritical6 4 16" xfId="10156" xr:uid="{72F0F8D3-8099-485B-A54E-C22312274996}"/>
    <cellStyle name="SAPBEXexcCritical6 4 16 2" xfId="10157" xr:uid="{AC1133F8-70C8-4C76-8117-FB821D4403B3}"/>
    <cellStyle name="SAPBEXexcCritical6 4 17" xfId="10158" xr:uid="{C0568E6E-7A1B-4009-8895-68D33631B995}"/>
    <cellStyle name="SAPBEXexcCritical6 4 17 2" xfId="10159" xr:uid="{133459E6-2617-4BA7-91E5-B16614241160}"/>
    <cellStyle name="SAPBEXexcCritical6 4 18" xfId="10160" xr:uid="{E82843A8-B08F-4248-95DC-942E4EF1B010}"/>
    <cellStyle name="SAPBEXexcCritical6 4 2" xfId="10161" xr:uid="{32EC8625-4707-4200-8822-E8C56A37B99C}"/>
    <cellStyle name="SAPBEXexcCritical6 4 2 10" xfId="10162" xr:uid="{97FF404D-1977-442E-BCFA-B86A461F6338}"/>
    <cellStyle name="SAPBEXexcCritical6 4 2 10 2" xfId="10163" xr:uid="{C17B36A7-F043-49DA-86F4-DC46C83662B4}"/>
    <cellStyle name="SAPBEXexcCritical6 4 2 11" xfId="10164" xr:uid="{88E38F73-45AE-4398-B378-A84DD425EC40}"/>
    <cellStyle name="SAPBEXexcCritical6 4 2 11 2" xfId="10165" xr:uid="{42400229-4C05-47FA-B0C5-996B8C300139}"/>
    <cellStyle name="SAPBEXexcCritical6 4 2 12" xfId="10166" xr:uid="{76D3DD76-1FED-42C5-AD8A-A4A39B9F445D}"/>
    <cellStyle name="SAPBEXexcCritical6 4 2 12 2" xfId="10167" xr:uid="{2604F0AE-75BF-4700-9582-8B8C86DC706F}"/>
    <cellStyle name="SAPBEXexcCritical6 4 2 13" xfId="10168" xr:uid="{6F411DFC-CDCF-44B4-980E-C85768CF2797}"/>
    <cellStyle name="SAPBEXexcCritical6 4 2 13 2" xfId="10169" xr:uid="{0D3A9C9C-9C3D-4742-871C-88F516D8820E}"/>
    <cellStyle name="SAPBEXexcCritical6 4 2 14" xfId="10170" xr:uid="{49E2CD3A-DAE9-477E-A1A4-E928E815E999}"/>
    <cellStyle name="SAPBEXexcCritical6 4 2 14 2" xfId="10171" xr:uid="{51535887-60B9-405D-B279-91DF39810785}"/>
    <cellStyle name="SAPBEXexcCritical6 4 2 15" xfId="10172" xr:uid="{574CDAF3-6F05-424E-B628-B2F7F07194E1}"/>
    <cellStyle name="SAPBEXexcCritical6 4 2 15 2" xfId="10173" xr:uid="{035B7CD5-7002-4CE5-8984-218677DA70DC}"/>
    <cellStyle name="SAPBEXexcCritical6 4 2 16" xfId="10174" xr:uid="{5E846E2E-F47D-4604-B8E9-070A49054F0E}"/>
    <cellStyle name="SAPBEXexcCritical6 4 2 2" xfId="10175" xr:uid="{F1B5EB49-AD93-4D63-9DE0-287BC9C5CE27}"/>
    <cellStyle name="SAPBEXexcCritical6 4 2 2 2" xfId="10176" xr:uid="{379AFDB4-7911-4719-BD28-E3C44DEC813F}"/>
    <cellStyle name="SAPBEXexcCritical6 4 2 3" xfId="10177" xr:uid="{D8C51A5D-72E9-4479-A9DB-8E6F01006915}"/>
    <cellStyle name="SAPBEXexcCritical6 4 2 3 2" xfId="10178" xr:uid="{E5880C9A-BDC3-490B-B2DF-018256CD78C8}"/>
    <cellStyle name="SAPBEXexcCritical6 4 2 4" xfId="10179" xr:uid="{99A148A7-D313-4B80-BC77-68C26354344D}"/>
    <cellStyle name="SAPBEXexcCritical6 4 2 4 2" xfId="10180" xr:uid="{0FD8DE25-ACC1-4675-8F6C-2FE35D5C2D14}"/>
    <cellStyle name="SAPBEXexcCritical6 4 2 5" xfId="10181" xr:uid="{1775347A-CA4C-4B76-9DB1-D992A8969052}"/>
    <cellStyle name="SAPBEXexcCritical6 4 2 5 2" xfId="10182" xr:uid="{5E60D5DC-AFC1-4BBC-A13B-4E74A2FA721D}"/>
    <cellStyle name="SAPBEXexcCritical6 4 2 6" xfId="10183" xr:uid="{3F636801-5A50-46E7-815F-3B0D5FDD2330}"/>
    <cellStyle name="SAPBEXexcCritical6 4 2 6 2" xfId="10184" xr:uid="{88F95765-610A-4B72-AA22-8D126A8CA511}"/>
    <cellStyle name="SAPBEXexcCritical6 4 2 7" xfId="10185" xr:uid="{3E302A2D-6CB5-43A8-8AD9-B0D3CE6B27D0}"/>
    <cellStyle name="SAPBEXexcCritical6 4 2 7 2" xfId="10186" xr:uid="{0061C9E5-74E2-44D8-8E00-4D90F3AB3889}"/>
    <cellStyle name="SAPBEXexcCritical6 4 2 8" xfId="10187" xr:uid="{172CCB59-AA27-4172-8477-F444DAFC3EDB}"/>
    <cellStyle name="SAPBEXexcCritical6 4 2 8 2" xfId="10188" xr:uid="{99E7E18D-0869-4BF4-9286-4F079413F28C}"/>
    <cellStyle name="SAPBEXexcCritical6 4 2 9" xfId="10189" xr:uid="{4E998A58-CD1A-4CED-BA68-A4E154141F52}"/>
    <cellStyle name="SAPBEXexcCritical6 4 2 9 2" xfId="10190" xr:uid="{9782A668-1340-4312-BD43-46299551247B}"/>
    <cellStyle name="SAPBEXexcCritical6 4 3" xfId="10191" xr:uid="{6E00A02D-F23C-4ED3-AABA-1E0CC718BE9E}"/>
    <cellStyle name="SAPBEXexcCritical6 4 3 10" xfId="10192" xr:uid="{7CCAF355-226A-4400-B935-8CEB53F01124}"/>
    <cellStyle name="SAPBEXexcCritical6 4 3 10 2" xfId="10193" xr:uid="{5CC6AFA8-A65B-49DC-AA56-D0C3BE9D50D3}"/>
    <cellStyle name="SAPBEXexcCritical6 4 3 11" xfId="10194" xr:uid="{DA675DB2-10E7-4E9E-BF3B-C03B20A51284}"/>
    <cellStyle name="SAPBEXexcCritical6 4 3 11 2" xfId="10195" xr:uid="{EC0FE791-F900-4AEA-8D38-31F61C369695}"/>
    <cellStyle name="SAPBEXexcCritical6 4 3 12" xfId="10196" xr:uid="{6723AEE9-E2EB-43BF-8759-FE0A6EA37D7A}"/>
    <cellStyle name="SAPBEXexcCritical6 4 3 12 2" xfId="10197" xr:uid="{9BE21837-A4D7-48FF-845D-FA67E8DF6E23}"/>
    <cellStyle name="SAPBEXexcCritical6 4 3 13" xfId="10198" xr:uid="{A41DCC13-9001-4AE0-B005-9A474EA9E568}"/>
    <cellStyle name="SAPBEXexcCritical6 4 3 13 2" xfId="10199" xr:uid="{665F8C89-7FF3-4AE6-955C-26360ECB6404}"/>
    <cellStyle name="SAPBEXexcCritical6 4 3 14" xfId="10200" xr:uid="{C8256DA9-1CC3-4207-892A-4220EFE7D554}"/>
    <cellStyle name="SAPBEXexcCritical6 4 3 14 2" xfId="10201" xr:uid="{8CE7E33C-9557-4E94-8540-516786E561F3}"/>
    <cellStyle name="SAPBEXexcCritical6 4 3 15" xfId="10202" xr:uid="{49BEAAA5-DB5B-489B-ADB5-999FCF72314F}"/>
    <cellStyle name="SAPBEXexcCritical6 4 3 15 2" xfId="10203" xr:uid="{AF995013-1086-4E6A-BCC8-56928697A51F}"/>
    <cellStyle name="SAPBEXexcCritical6 4 3 16" xfId="10204" xr:uid="{DB072D1C-75A8-4DB3-82BB-C42C2B482AC2}"/>
    <cellStyle name="SAPBEXexcCritical6 4 3 2" xfId="10205" xr:uid="{3A0614A8-1C44-46E2-A013-36F9CB2668DF}"/>
    <cellStyle name="SAPBEXexcCritical6 4 3 2 2" xfId="10206" xr:uid="{BC771B2B-362C-4324-BD8D-DCA63384C393}"/>
    <cellStyle name="SAPBEXexcCritical6 4 3 3" xfId="10207" xr:uid="{2B3B9EE2-A737-4245-8A3F-D4B5BF513FC8}"/>
    <cellStyle name="SAPBEXexcCritical6 4 3 3 2" xfId="10208" xr:uid="{AC651CE1-8C81-44E7-8552-19EF70A9DEED}"/>
    <cellStyle name="SAPBEXexcCritical6 4 3 4" xfId="10209" xr:uid="{D590EE96-A69B-4AE9-977E-DA1A4D0BB921}"/>
    <cellStyle name="SAPBEXexcCritical6 4 3 4 2" xfId="10210" xr:uid="{88413C8B-6614-45A2-B971-2B6E1B85FB14}"/>
    <cellStyle name="SAPBEXexcCritical6 4 3 5" xfId="10211" xr:uid="{06AA1E0A-30A8-4289-B29A-EC9EAD1FE8EC}"/>
    <cellStyle name="SAPBEXexcCritical6 4 3 5 2" xfId="10212" xr:uid="{CE2BCF32-756D-4CFF-A95E-F7F9DF16CB3E}"/>
    <cellStyle name="SAPBEXexcCritical6 4 3 6" xfId="10213" xr:uid="{1D5BA104-2630-4DD2-A37E-9B19BA83EAD9}"/>
    <cellStyle name="SAPBEXexcCritical6 4 3 6 2" xfId="10214" xr:uid="{2D01DA1B-16C6-42B5-BAC1-73C615565A43}"/>
    <cellStyle name="SAPBEXexcCritical6 4 3 7" xfId="10215" xr:uid="{6FC9165B-3BDA-447C-A3D4-467D86BF7022}"/>
    <cellStyle name="SAPBEXexcCritical6 4 3 7 2" xfId="10216" xr:uid="{CC40D5AE-66EE-4FAA-BC4A-155801352E58}"/>
    <cellStyle name="SAPBEXexcCritical6 4 3 8" xfId="10217" xr:uid="{EBC3FBC9-7245-4EA0-A640-9A373FD6E52B}"/>
    <cellStyle name="SAPBEXexcCritical6 4 3 8 2" xfId="10218" xr:uid="{23309573-61AE-4B94-B08E-9B6B32DA7C24}"/>
    <cellStyle name="SAPBEXexcCritical6 4 3 9" xfId="10219" xr:uid="{6D77435F-CF41-4EE6-A19A-E921D218B2F9}"/>
    <cellStyle name="SAPBEXexcCritical6 4 3 9 2" xfId="10220" xr:uid="{B25123FB-9741-478B-9876-274FF342362D}"/>
    <cellStyle name="SAPBEXexcCritical6 4 4" xfId="10221" xr:uid="{4956BF78-21AF-482D-A0D0-AE5853BFB24B}"/>
    <cellStyle name="SAPBEXexcCritical6 4 4 2" xfId="10222" xr:uid="{3FD27D29-7145-4490-878F-CC6D965AEC60}"/>
    <cellStyle name="SAPBEXexcCritical6 4 5" xfId="10223" xr:uid="{AA5B1FD4-AF87-4CB9-B130-B68BB3F5E19A}"/>
    <cellStyle name="SAPBEXexcCritical6 4 5 2" xfId="10224" xr:uid="{BAB6FBBE-355A-409D-85C2-3BC04EC6635D}"/>
    <cellStyle name="SAPBEXexcCritical6 4 6" xfId="10225" xr:uid="{F1F7C958-97C9-4635-AE83-48D9DA1DF6EA}"/>
    <cellStyle name="SAPBEXexcCritical6 4 6 2" xfId="10226" xr:uid="{4EDC82AB-E9F7-4433-9ADA-3276966FA249}"/>
    <cellStyle name="SAPBEXexcCritical6 4 7" xfId="10227" xr:uid="{BBEAC03D-38CB-43E2-944A-7B6D8CED0565}"/>
    <cellStyle name="SAPBEXexcCritical6 4 7 2" xfId="10228" xr:uid="{620D3236-E74B-4B95-B378-D0FCF45F4B8A}"/>
    <cellStyle name="SAPBEXexcCritical6 4 8" xfId="10229" xr:uid="{FB4A75F0-A1C2-4E36-9CEF-E0A67EF46A05}"/>
    <cellStyle name="SAPBEXexcCritical6 4 8 2" xfId="10230" xr:uid="{785930D9-B642-424D-B2C6-408A7A89BC52}"/>
    <cellStyle name="SAPBEXexcCritical6 4 9" xfId="10231" xr:uid="{8F2C48AD-E7CC-4DB0-884A-4C31AA5E44BD}"/>
    <cellStyle name="SAPBEXexcCritical6 4 9 2" xfId="10232" xr:uid="{1B12B489-E404-4849-B6D2-F54B8D2A4BB8}"/>
    <cellStyle name="SAPBEXexcCritical6 5" xfId="10233" xr:uid="{4AAF9AD9-5BF1-4573-81F1-E039DFDC6731}"/>
    <cellStyle name="SAPBEXexcCritical6 5 10" xfId="10234" xr:uid="{4477E8B2-0CBD-4518-911E-D40B876B7698}"/>
    <cellStyle name="SAPBEXexcCritical6 5 10 2" xfId="10235" xr:uid="{D76536D8-65E8-4319-92CB-95851805AAE7}"/>
    <cellStyle name="SAPBEXexcCritical6 5 11" xfId="10236" xr:uid="{45DB33AE-FA47-415B-B621-6088EACFFDE0}"/>
    <cellStyle name="SAPBEXexcCritical6 5 11 2" xfId="10237" xr:uid="{A6B8DC5D-AAF6-4791-8AF8-D93326494FE2}"/>
    <cellStyle name="SAPBEXexcCritical6 5 12" xfId="10238" xr:uid="{2E7C4A22-8F83-467B-A77D-C3C1BF6EABCF}"/>
    <cellStyle name="SAPBEXexcCritical6 5 12 2" xfId="10239" xr:uid="{A6939601-2ACD-42BF-8C08-5F610B8414E6}"/>
    <cellStyle name="SAPBEXexcCritical6 5 13" xfId="10240" xr:uid="{AC7C505F-DBD1-453D-93D5-8A5CF33B4426}"/>
    <cellStyle name="SAPBEXexcCritical6 5 13 2" xfId="10241" xr:uid="{D9557259-4394-4411-B066-50C7639D4994}"/>
    <cellStyle name="SAPBEXexcCritical6 5 14" xfId="10242" xr:uid="{3B91017B-8111-4817-A09F-BC20723565DE}"/>
    <cellStyle name="SAPBEXexcCritical6 5 14 2" xfId="10243" xr:uid="{81ED4063-6B42-49CA-A81E-F2CC70E02F95}"/>
    <cellStyle name="SAPBEXexcCritical6 5 15" xfId="10244" xr:uid="{DB4E28B5-6985-4178-8224-2C89A686C05E}"/>
    <cellStyle name="SAPBEXexcCritical6 5 15 2" xfId="10245" xr:uid="{6D47CB10-3295-430B-A72C-4EC0B8DA6F99}"/>
    <cellStyle name="SAPBEXexcCritical6 5 16" xfId="10246" xr:uid="{B78D080E-F565-4E8B-8FBB-F833BDD8401B}"/>
    <cellStyle name="SAPBEXexcCritical6 5 2" xfId="10247" xr:uid="{F8931DCE-3259-4191-A0E9-B4A9525E284A}"/>
    <cellStyle name="SAPBEXexcCritical6 5 2 2" xfId="10248" xr:uid="{D57EA84D-C614-4F19-8F61-E3A7D8E0F3B1}"/>
    <cellStyle name="SAPBEXexcCritical6 5 3" xfId="10249" xr:uid="{8E5FC9D5-9566-485B-965B-EA7BD5E66A85}"/>
    <cellStyle name="SAPBEXexcCritical6 5 3 2" xfId="10250" xr:uid="{B2FA2629-B80D-4BE0-99CB-8CE1B96A360C}"/>
    <cellStyle name="SAPBEXexcCritical6 5 4" xfId="10251" xr:uid="{13C3C28C-AF1E-4A9A-9BBF-8AB6BE78DDE7}"/>
    <cellStyle name="SAPBEXexcCritical6 5 4 2" xfId="10252" xr:uid="{2F1A5952-31A1-4542-89A8-591D7782D643}"/>
    <cellStyle name="SAPBEXexcCritical6 5 5" xfId="10253" xr:uid="{8F6B8099-26FD-4CCC-89B5-93A856C90A81}"/>
    <cellStyle name="SAPBEXexcCritical6 5 5 2" xfId="10254" xr:uid="{90CF1B82-9294-4E11-9424-F2F02D6E0B6F}"/>
    <cellStyle name="SAPBEXexcCritical6 5 6" xfId="10255" xr:uid="{A2832BDB-0F15-43BC-9E50-70F3E3AF9BB9}"/>
    <cellStyle name="SAPBEXexcCritical6 5 6 2" xfId="10256" xr:uid="{482D70B0-6183-4C98-A9C9-AC4CB256F0AC}"/>
    <cellStyle name="SAPBEXexcCritical6 5 7" xfId="10257" xr:uid="{55B2BB44-31FD-41F0-B95C-BD53AA90BD11}"/>
    <cellStyle name="SAPBEXexcCritical6 5 7 2" xfId="10258" xr:uid="{3967B9F6-9B4A-4919-9AB8-E9DF9BB38C4C}"/>
    <cellStyle name="SAPBEXexcCritical6 5 8" xfId="10259" xr:uid="{42F429C4-4F57-46A7-AF17-C5BD22402A45}"/>
    <cellStyle name="SAPBEXexcCritical6 5 8 2" xfId="10260" xr:uid="{F307950D-E89F-41B8-9E89-C5543D11CAE4}"/>
    <cellStyle name="SAPBEXexcCritical6 5 9" xfId="10261" xr:uid="{56EBED0D-EE8A-42CF-9C19-D95784507690}"/>
    <cellStyle name="SAPBEXexcCritical6 5 9 2" xfId="10262" xr:uid="{AD59589F-EDC0-486D-AEBD-D84A7E5F2B7A}"/>
    <cellStyle name="SAPBEXexcCritical6 6" xfId="10263" xr:uid="{69AA852C-289E-45BF-B58D-08B72EDD664A}"/>
    <cellStyle name="SAPBEXexcCritical6 6 2" xfId="10264" xr:uid="{2533D556-CB29-4F2C-B608-1C62026330EA}"/>
    <cellStyle name="SAPBEXexcCritical6 7" xfId="10265" xr:uid="{02B09667-2DAC-4E73-B8BE-91DC460C7A0C}"/>
    <cellStyle name="SAPBEXexcCritical6 7 2" xfId="10266" xr:uid="{B18974C2-B341-4698-A1BB-BC70C2B20894}"/>
    <cellStyle name="SAPBEXexcCritical6 8" xfId="10267" xr:uid="{7CDF5B24-C860-4F15-B6AE-FDF3F1996A7C}"/>
    <cellStyle name="SAPBEXexcCritical6 8 2" xfId="10268" xr:uid="{92AF944A-14FE-49A5-8C07-ACACA6C839BE}"/>
    <cellStyle name="SAPBEXexcCritical6 9" xfId="10269" xr:uid="{12789D5A-2CE2-4843-A420-00137750D293}"/>
    <cellStyle name="SAPBEXexcCritical6 9 2" xfId="10270" xr:uid="{3CE8B52A-4843-40C8-938C-B06EC461BD93}"/>
    <cellStyle name="SAPBEXexcCritical6_T1 ANSP" xfId="9741" xr:uid="{B644A178-2A3F-48BA-8087-1C3A70CF2C70}"/>
    <cellStyle name="SAPBEXexcGood1" xfId="737" xr:uid="{00000000-0005-0000-0000-000072050000}"/>
    <cellStyle name="SAPBEXexcGood1 10" xfId="10272" xr:uid="{C47187B1-6B73-49B9-9DCA-B2BCB1CC94AD}"/>
    <cellStyle name="SAPBEXexcGood1 10 2" xfId="10273" xr:uid="{5D9B0C9D-34C7-4ABD-AAD9-DD4FE6A1A500}"/>
    <cellStyle name="SAPBEXexcGood1 11" xfId="10274" xr:uid="{3173C775-4688-4C5F-BDA0-B9E0DCA64511}"/>
    <cellStyle name="SAPBEXexcGood1 11 2" xfId="10275" xr:uid="{9134C8F5-1BC9-4A7F-A1D6-76DAC0E7F2E7}"/>
    <cellStyle name="SAPBEXexcGood1 12" xfId="10276" xr:uid="{7E4A96B9-D5E4-46D1-821A-54082BA8F844}"/>
    <cellStyle name="SAPBEXexcGood1 12 2" xfId="10277" xr:uid="{CA72499D-065B-4C53-83E1-7A952E938FF9}"/>
    <cellStyle name="SAPBEXexcGood1 13" xfId="10278" xr:uid="{5384734A-69E7-43A8-AE2A-BD8D940F288B}"/>
    <cellStyle name="SAPBEXexcGood1 13 2" xfId="10279" xr:uid="{30430B5F-4FCD-4021-BFA9-C8F5C7C203C7}"/>
    <cellStyle name="SAPBEXexcGood1 14" xfId="10280" xr:uid="{8B7CFA9D-CD88-4254-BC78-CB15C27BDE7F}"/>
    <cellStyle name="SAPBEXexcGood1 14 2" xfId="10281" xr:uid="{5EDFA9D3-D830-419C-B653-66A4D9E589DC}"/>
    <cellStyle name="SAPBEXexcGood1 15" xfId="10282" xr:uid="{D18C2153-C866-439D-BCCC-F6F16A055C22}"/>
    <cellStyle name="SAPBEXexcGood1 15 2" xfId="10283" xr:uid="{193CB281-8B8E-459F-92B6-0F0B432D9CCB}"/>
    <cellStyle name="SAPBEXexcGood1 16" xfId="10284" xr:uid="{EF24A65B-9806-480F-BF66-7118EC3B7960}"/>
    <cellStyle name="SAPBEXexcGood1 16 2" xfId="10285" xr:uid="{24F459F0-9264-4242-A49F-BACA310A4EE6}"/>
    <cellStyle name="SAPBEXexcGood1 17" xfId="10286" xr:uid="{A7A1D1BC-BC02-4C9A-B5FD-41BC55814CFF}"/>
    <cellStyle name="SAPBEXexcGood1 17 2" xfId="10287" xr:uid="{E7C51E7A-6F98-466B-B8C2-2EE457FE5633}"/>
    <cellStyle name="SAPBEXexcGood1 18" xfId="10288" xr:uid="{D05A4C54-2411-44E4-A83B-40F1616AD8D7}"/>
    <cellStyle name="SAPBEXexcGood1 18 2" xfId="10289" xr:uid="{AACCA83D-4EDD-4338-B28F-56450A24BB73}"/>
    <cellStyle name="SAPBEXexcGood1 19" xfId="10290" xr:uid="{5EC7274E-049D-47D8-BC79-81AE3EF90677}"/>
    <cellStyle name="SAPBEXexcGood1 19 2" xfId="10291" xr:uid="{CA8DFEFC-915A-4DF3-B74E-6189D205480B}"/>
    <cellStyle name="SAPBEXexcGood1 2" xfId="1552" xr:uid="{00000000-0005-0000-0000-000073050000}"/>
    <cellStyle name="SAPBEXexcGood1 2 10" xfId="10293" xr:uid="{F99D61AE-74BF-4D26-84D4-7C343BE0AE2D}"/>
    <cellStyle name="SAPBEXexcGood1 2 10 2" xfId="10294" xr:uid="{3444C3E8-72C8-4DA2-A2DB-E08E3FD720AD}"/>
    <cellStyle name="SAPBEXexcGood1 2 11" xfId="10295" xr:uid="{59C87CD6-3AB2-4133-9E4F-85DE8C1CD0F0}"/>
    <cellStyle name="SAPBEXexcGood1 2 11 2" xfId="10296" xr:uid="{58CBF2D5-823A-4A9D-B2F1-3154308364FA}"/>
    <cellStyle name="SAPBEXexcGood1 2 12" xfId="10297" xr:uid="{231A331D-3774-4FD1-A917-A68433C1F79C}"/>
    <cellStyle name="SAPBEXexcGood1 2 12 2" xfId="10298" xr:uid="{8EA9C623-B46A-4406-AE7B-6C660C23DEDB}"/>
    <cellStyle name="SAPBEXexcGood1 2 13" xfId="10299" xr:uid="{36476AB9-4EB2-407B-B2D9-015173D54386}"/>
    <cellStyle name="SAPBEXexcGood1 2 13 2" xfId="10300" xr:uid="{538DD81C-9C54-40CA-9107-0E539EF0705B}"/>
    <cellStyle name="SAPBEXexcGood1 2 14" xfId="10301" xr:uid="{2DC3755A-2B69-4483-B2C8-9BDD20179247}"/>
    <cellStyle name="SAPBEXexcGood1 2 14 2" xfId="10302" xr:uid="{DB6A2AD6-6D83-404E-AE51-CDDD9E97C17C}"/>
    <cellStyle name="SAPBEXexcGood1 2 15" xfId="10303" xr:uid="{BC43ACA6-A753-47C5-A24C-FCF2B25EA763}"/>
    <cellStyle name="SAPBEXexcGood1 2 15 2" xfId="10304" xr:uid="{30E4240C-AD43-4FD0-B7D4-A638973E5B8A}"/>
    <cellStyle name="SAPBEXexcGood1 2 16" xfId="10305" xr:uid="{CCE040BC-D6CA-431E-A96C-5E37996C3359}"/>
    <cellStyle name="SAPBEXexcGood1 2 16 2" xfId="10306" xr:uid="{1C962E10-F236-4742-A7AE-AB11E0610B58}"/>
    <cellStyle name="SAPBEXexcGood1 2 17" xfId="10307" xr:uid="{8FEE6C74-679E-4910-AF9D-BE2B4A513945}"/>
    <cellStyle name="SAPBEXexcGood1 2 17 2" xfId="10308" xr:uid="{ACFDBE7F-549B-4160-9F88-1BEBBFFBDD1E}"/>
    <cellStyle name="SAPBEXexcGood1 2 18" xfId="10309" xr:uid="{C918D321-32BC-4706-A644-25B49F315E02}"/>
    <cellStyle name="SAPBEXexcGood1 2 18 2" xfId="10310" xr:uid="{94204C93-2F75-4FCC-8D34-19376BE206FB}"/>
    <cellStyle name="SAPBEXexcGood1 2 2" xfId="10311" xr:uid="{F9EFCFAC-4E5B-444B-83A7-B145982A704F}"/>
    <cellStyle name="SAPBEXexcGood1 2 2 10" xfId="10312" xr:uid="{18890E87-D1E7-45E3-A6BB-F30BB69CF473}"/>
    <cellStyle name="SAPBEXexcGood1 2 2 10 2" xfId="10313" xr:uid="{B7CDEA7D-8296-4F0A-8F7F-8529BFA85CE2}"/>
    <cellStyle name="SAPBEXexcGood1 2 2 11" xfId="10314" xr:uid="{BF87E407-7CFF-448A-9696-D539DD83B500}"/>
    <cellStyle name="SAPBEXexcGood1 2 2 11 2" xfId="10315" xr:uid="{4D665811-9905-4B6C-9D2E-A09B906060ED}"/>
    <cellStyle name="SAPBEXexcGood1 2 2 12" xfId="10316" xr:uid="{34A596C5-6D9A-40F6-8337-483367FF9235}"/>
    <cellStyle name="SAPBEXexcGood1 2 2 12 2" xfId="10317" xr:uid="{722611E1-2ED4-4AF7-9C77-23548EA95157}"/>
    <cellStyle name="SAPBEXexcGood1 2 2 13" xfId="10318" xr:uid="{740D0380-404A-4A6F-9EC0-B64042AEC8B2}"/>
    <cellStyle name="SAPBEXexcGood1 2 2 13 2" xfId="10319" xr:uid="{388BF4BB-06CC-47A0-90FB-1508F340836B}"/>
    <cellStyle name="SAPBEXexcGood1 2 2 14" xfId="10320" xr:uid="{10DE6A0E-794F-4A7A-970F-42AFFDA31A17}"/>
    <cellStyle name="SAPBEXexcGood1 2 2 14 2" xfId="10321" xr:uid="{D0925354-4E26-451C-BF7C-BEC05EFEEA72}"/>
    <cellStyle name="SAPBEXexcGood1 2 2 15" xfId="10322" xr:uid="{6C21D1AC-96FA-42D4-BE12-7FC84CD67216}"/>
    <cellStyle name="SAPBEXexcGood1 2 2 15 2" xfId="10323" xr:uid="{F048A211-D2C1-4A31-A5B3-1037655B6047}"/>
    <cellStyle name="SAPBEXexcGood1 2 2 16" xfId="10324" xr:uid="{D55BE6D0-4E69-4D11-84A4-EE688BF2FFCA}"/>
    <cellStyle name="SAPBEXexcGood1 2 2 16 2" xfId="10325" xr:uid="{FA8C9EF4-CADB-4F79-B59A-5FF4FB536239}"/>
    <cellStyle name="SAPBEXexcGood1 2 2 17" xfId="10326" xr:uid="{41C58687-2379-469C-87FD-6D2E9AE837A9}"/>
    <cellStyle name="SAPBEXexcGood1 2 2 17 2" xfId="10327" xr:uid="{B6E2E987-E8B5-4097-A65D-2D66AB609DE1}"/>
    <cellStyle name="SAPBEXexcGood1 2 2 2" xfId="10328" xr:uid="{22519525-F17A-45B7-A311-6DE1E2F71CE6}"/>
    <cellStyle name="SAPBEXexcGood1 2 2 2 10" xfId="10329" xr:uid="{8A68BA6D-3244-4584-8504-1FA941BDDF34}"/>
    <cellStyle name="SAPBEXexcGood1 2 2 2 10 2" xfId="10330" xr:uid="{09D94A08-D145-4A4E-BC48-32F314E69E49}"/>
    <cellStyle name="SAPBEXexcGood1 2 2 2 11" xfId="10331" xr:uid="{4AAFB324-FA50-4CC7-8448-A642A5E7F658}"/>
    <cellStyle name="SAPBEXexcGood1 2 2 2 11 2" xfId="10332" xr:uid="{931CEB55-E23E-4483-B588-2D8CECB0941F}"/>
    <cellStyle name="SAPBEXexcGood1 2 2 2 12" xfId="10333" xr:uid="{1181481B-628B-49E9-BF52-767E51BDFDCB}"/>
    <cellStyle name="SAPBEXexcGood1 2 2 2 12 2" xfId="10334" xr:uid="{0AA0DD23-50E4-417D-9D73-1283229A4EB6}"/>
    <cellStyle name="SAPBEXexcGood1 2 2 2 13" xfId="10335" xr:uid="{599453C3-C635-41B6-804D-45169D9BE53B}"/>
    <cellStyle name="SAPBEXexcGood1 2 2 2 13 2" xfId="10336" xr:uid="{01A5A921-4EFF-4715-A138-DBDA055BDCAE}"/>
    <cellStyle name="SAPBEXexcGood1 2 2 2 14" xfId="10337" xr:uid="{59599F5B-83D7-45B9-8B2F-946F12BE4708}"/>
    <cellStyle name="SAPBEXexcGood1 2 2 2 14 2" xfId="10338" xr:uid="{82728A2B-22BD-4ECA-80A3-E60DDF6E2DD1}"/>
    <cellStyle name="SAPBEXexcGood1 2 2 2 15" xfId="10339" xr:uid="{AD261083-6362-418B-A9A5-ADEB93ED7B6D}"/>
    <cellStyle name="SAPBEXexcGood1 2 2 2 15 2" xfId="10340" xr:uid="{DD9A0778-FB74-4056-941C-148634C8A6A7}"/>
    <cellStyle name="SAPBEXexcGood1 2 2 2 2" xfId="10341" xr:uid="{A12947FA-1DB5-4BE6-A3A4-D53CBB859CE9}"/>
    <cellStyle name="SAPBEXexcGood1 2 2 2 2 2" xfId="10342" xr:uid="{563D3A27-25DE-4DC4-800C-75FC8F0CEA3A}"/>
    <cellStyle name="SAPBEXexcGood1 2 2 2 3" xfId="10343" xr:uid="{22182DFE-EE99-452F-AD8B-7B359E40ECCF}"/>
    <cellStyle name="SAPBEXexcGood1 2 2 2 3 2" xfId="10344" xr:uid="{A30A769C-BB1E-46FA-9F7A-16E7EE5E1B8F}"/>
    <cellStyle name="SAPBEXexcGood1 2 2 2 4" xfId="10345" xr:uid="{29F43453-F2C5-4FC9-A1BF-5BDE4CB5C6E3}"/>
    <cellStyle name="SAPBEXexcGood1 2 2 2 4 2" xfId="10346" xr:uid="{6678C4F4-6268-4D29-8422-DF224BE1D748}"/>
    <cellStyle name="SAPBEXexcGood1 2 2 2 5" xfId="10347" xr:uid="{20C022CD-8D71-4500-8FE7-2F09E57A3FBD}"/>
    <cellStyle name="SAPBEXexcGood1 2 2 2 5 2" xfId="10348" xr:uid="{A6629FE3-4B30-4C9D-9D10-A7B6D1C1FBA0}"/>
    <cellStyle name="SAPBEXexcGood1 2 2 2 6" xfId="10349" xr:uid="{B8BD2BDF-35BD-4D74-8102-F1B6A8C42884}"/>
    <cellStyle name="SAPBEXexcGood1 2 2 2 6 2" xfId="10350" xr:uid="{DEE3AF12-E6CA-4256-8B6A-AB73483B4571}"/>
    <cellStyle name="SAPBEXexcGood1 2 2 2 7" xfId="10351" xr:uid="{AF3A9F08-CB9E-4C49-BEAF-2B04707D6B37}"/>
    <cellStyle name="SAPBEXexcGood1 2 2 2 7 2" xfId="10352" xr:uid="{28B6B718-2632-4E86-AE99-3A49AB7A1157}"/>
    <cellStyle name="SAPBEXexcGood1 2 2 2 8" xfId="10353" xr:uid="{BF568718-C43D-4F43-B7E8-3078BA1DEE6B}"/>
    <cellStyle name="SAPBEXexcGood1 2 2 2 8 2" xfId="10354" xr:uid="{6C4D67A6-A515-4A8A-8E32-CE854172AB22}"/>
    <cellStyle name="SAPBEXexcGood1 2 2 2 9" xfId="10355" xr:uid="{52C58EC2-D84E-4A8C-8BC9-AED9E93D7B48}"/>
    <cellStyle name="SAPBEXexcGood1 2 2 2 9 2" xfId="10356" xr:uid="{1A1ACC67-A114-4FAD-8846-3FC9FD2813A1}"/>
    <cellStyle name="SAPBEXexcGood1 2 2 3" xfId="10357" xr:uid="{ADC1589C-5486-4232-AD1F-4A8946C47CF8}"/>
    <cellStyle name="SAPBEXexcGood1 2 2 3 10" xfId="10358" xr:uid="{179DC707-06F2-4D40-94D0-251BC40DA025}"/>
    <cellStyle name="SAPBEXexcGood1 2 2 3 10 2" xfId="10359" xr:uid="{0D282C69-5E9C-41DA-BB2B-7D3A63A5AFE9}"/>
    <cellStyle name="SAPBEXexcGood1 2 2 3 11" xfId="10360" xr:uid="{86D85788-C1B4-45F1-BECA-B43F7A553F6C}"/>
    <cellStyle name="SAPBEXexcGood1 2 2 3 11 2" xfId="10361" xr:uid="{92F63B1D-C47E-4123-882B-CAFBAA9FB3FA}"/>
    <cellStyle name="SAPBEXexcGood1 2 2 3 12" xfId="10362" xr:uid="{CF3554B9-792F-44DF-A699-3E8D57F0BDA8}"/>
    <cellStyle name="SAPBEXexcGood1 2 2 3 12 2" xfId="10363" xr:uid="{1C163D84-2C4A-4DE8-8FAC-AEFFEE3608F7}"/>
    <cellStyle name="SAPBEXexcGood1 2 2 3 13" xfId="10364" xr:uid="{6A6BC902-3DBA-42DA-93D2-DC9E7F1D3EB0}"/>
    <cellStyle name="SAPBEXexcGood1 2 2 3 13 2" xfId="10365" xr:uid="{02E6AC4D-26FF-41F7-B051-5FA7810A5A6F}"/>
    <cellStyle name="SAPBEXexcGood1 2 2 3 14" xfId="10366" xr:uid="{453F72BC-E5F8-40DC-81FB-F640A73BED39}"/>
    <cellStyle name="SAPBEXexcGood1 2 2 3 14 2" xfId="10367" xr:uid="{E7891A20-B122-4584-97B8-E57A33FE603D}"/>
    <cellStyle name="SAPBEXexcGood1 2 2 3 15" xfId="10368" xr:uid="{BCA2EA9D-EA92-4DF6-A04A-A0919576A3CE}"/>
    <cellStyle name="SAPBEXexcGood1 2 2 3 15 2" xfId="10369" xr:uid="{376F3718-E806-453D-996D-AB3FBECB18C9}"/>
    <cellStyle name="SAPBEXexcGood1 2 2 3 2" xfId="10370" xr:uid="{E6400053-3497-4AEC-8740-0FA40BC0BF4D}"/>
    <cellStyle name="SAPBEXexcGood1 2 2 3 2 2" xfId="10371" xr:uid="{B48C3D4C-65E1-45D3-9B07-56D7847B5B0D}"/>
    <cellStyle name="SAPBEXexcGood1 2 2 3 3" xfId="10372" xr:uid="{6F85EDA1-5230-4E0B-A2D1-3597912DA3F5}"/>
    <cellStyle name="SAPBEXexcGood1 2 2 3 3 2" xfId="10373" xr:uid="{808532A0-F8D2-47A2-8C49-84BFF0A529B8}"/>
    <cellStyle name="SAPBEXexcGood1 2 2 3 4" xfId="10374" xr:uid="{2307C0B6-D7DA-4EDE-BDF9-18051674B8C1}"/>
    <cellStyle name="SAPBEXexcGood1 2 2 3 4 2" xfId="10375" xr:uid="{0D1C2E87-6FF3-4193-847A-A3693C1A3856}"/>
    <cellStyle name="SAPBEXexcGood1 2 2 3 5" xfId="10376" xr:uid="{52191EE9-8BAC-4E0C-8551-99E48327A06E}"/>
    <cellStyle name="SAPBEXexcGood1 2 2 3 5 2" xfId="10377" xr:uid="{7AADEF0B-D310-42C1-B3A3-CC9BB3195EB7}"/>
    <cellStyle name="SAPBEXexcGood1 2 2 3 6" xfId="10378" xr:uid="{7809D4ED-E395-4CC8-9AE8-2DD12EE5CBC3}"/>
    <cellStyle name="SAPBEXexcGood1 2 2 3 6 2" xfId="10379" xr:uid="{D35457A9-EA89-4179-9DBA-A441B4B7D103}"/>
    <cellStyle name="SAPBEXexcGood1 2 2 3 7" xfId="10380" xr:uid="{FD0C6B99-9C14-4020-9543-22D85E479B97}"/>
    <cellStyle name="SAPBEXexcGood1 2 2 3 7 2" xfId="10381" xr:uid="{AD360656-32EC-44D1-8A03-F3FE50C6C891}"/>
    <cellStyle name="SAPBEXexcGood1 2 2 3 8" xfId="10382" xr:uid="{371B801D-8708-4F19-880A-BCDDE6F1F65B}"/>
    <cellStyle name="SAPBEXexcGood1 2 2 3 8 2" xfId="10383" xr:uid="{9B194C74-F291-434D-910D-3D0BCA8EA78B}"/>
    <cellStyle name="SAPBEXexcGood1 2 2 3 9" xfId="10384" xr:uid="{9C6FD5BF-D92C-43AE-B407-C94CED6879FE}"/>
    <cellStyle name="SAPBEXexcGood1 2 2 3 9 2" xfId="10385" xr:uid="{4EA0D580-28B5-43EF-BC8E-2FC2E5DD4BB2}"/>
    <cellStyle name="SAPBEXexcGood1 2 2 4" xfId="10386" xr:uid="{4EFFB95A-EEEA-4980-BA5A-56F5F0A2A360}"/>
    <cellStyle name="SAPBEXexcGood1 2 2 4 2" xfId="10387" xr:uid="{A9BDA85B-7685-49C5-9022-332A2172EA0C}"/>
    <cellStyle name="SAPBEXexcGood1 2 2 5" xfId="10388" xr:uid="{63DE7C30-ABC4-4C53-9050-E8208784988B}"/>
    <cellStyle name="SAPBEXexcGood1 2 2 5 2" xfId="10389" xr:uid="{79BC04C5-1F48-425E-916C-3ABA16338307}"/>
    <cellStyle name="SAPBEXexcGood1 2 2 6" xfId="10390" xr:uid="{E50C2DC0-6127-4C9D-9C58-49DE446863F8}"/>
    <cellStyle name="SAPBEXexcGood1 2 2 6 2" xfId="10391" xr:uid="{3345F32E-0791-4573-98F9-B3F1A678A22E}"/>
    <cellStyle name="SAPBEXexcGood1 2 2 7" xfId="10392" xr:uid="{5E2D5128-6EDF-4863-8F24-27C97FE74950}"/>
    <cellStyle name="SAPBEXexcGood1 2 2 7 2" xfId="10393" xr:uid="{A8015FC0-F324-40B9-8F46-21C0CB298B09}"/>
    <cellStyle name="SAPBEXexcGood1 2 2 8" xfId="10394" xr:uid="{A5C56E9D-61F4-40EC-9A81-202F34A2072C}"/>
    <cellStyle name="SAPBEXexcGood1 2 2 8 2" xfId="10395" xr:uid="{525B7306-7FBD-4BD5-8752-E1E141E98666}"/>
    <cellStyle name="SAPBEXexcGood1 2 2 9" xfId="10396" xr:uid="{1666E058-D1A3-4467-9F2F-D57E3167480D}"/>
    <cellStyle name="SAPBEXexcGood1 2 2 9 2" xfId="10397" xr:uid="{687D49A0-F7FF-4D1A-A10A-0964714838CB}"/>
    <cellStyle name="SAPBEXexcGood1 2 3" xfId="10398" xr:uid="{05F75ABC-CE37-4C9C-9EFD-4A8672B9528B}"/>
    <cellStyle name="SAPBEXexcGood1 2 3 10" xfId="10399" xr:uid="{AAB7C160-E321-4D81-91BE-DFCA744C0678}"/>
    <cellStyle name="SAPBEXexcGood1 2 3 10 2" xfId="10400" xr:uid="{ADC1FE90-2744-483D-8D24-C3CCA9CE1968}"/>
    <cellStyle name="SAPBEXexcGood1 2 3 11" xfId="10401" xr:uid="{0E592EE4-F9E2-4819-9D13-3B83F1758ADC}"/>
    <cellStyle name="SAPBEXexcGood1 2 3 11 2" xfId="10402" xr:uid="{32D81F40-C918-41B6-9A19-E6C3BAA08A1B}"/>
    <cellStyle name="SAPBEXexcGood1 2 3 12" xfId="10403" xr:uid="{91AE2A27-2B7F-4DA1-9A39-50E4AC72A2DF}"/>
    <cellStyle name="SAPBEXexcGood1 2 3 12 2" xfId="10404" xr:uid="{559A894D-A536-4B55-AF51-64994BAC5A4F}"/>
    <cellStyle name="SAPBEXexcGood1 2 3 13" xfId="10405" xr:uid="{02852768-CCE5-4D7E-A111-ACB1F42B0B5E}"/>
    <cellStyle name="SAPBEXexcGood1 2 3 13 2" xfId="10406" xr:uid="{C33C1D89-EB1A-4617-B4E5-F02E9ACB79BE}"/>
    <cellStyle name="SAPBEXexcGood1 2 3 14" xfId="10407" xr:uid="{D9842749-970C-4E79-A7B1-DFD066BA4D01}"/>
    <cellStyle name="SAPBEXexcGood1 2 3 14 2" xfId="10408" xr:uid="{FB0866BF-F4FE-487B-9CBD-624FC7155253}"/>
    <cellStyle name="SAPBEXexcGood1 2 3 15" xfId="10409" xr:uid="{13DCA3AB-88BB-412B-88B0-305F9753E5C0}"/>
    <cellStyle name="SAPBEXexcGood1 2 3 15 2" xfId="10410" xr:uid="{0A58891B-1831-450C-B713-D2D24E3511B3}"/>
    <cellStyle name="SAPBEXexcGood1 2 3 16" xfId="10411" xr:uid="{994A4F6A-7C5F-4AE5-B3AF-6745521DAAD0}"/>
    <cellStyle name="SAPBEXexcGood1 2 3 16 2" xfId="10412" xr:uid="{2A66CB1F-BCAB-4DF6-9A2F-CE9E7271A2F6}"/>
    <cellStyle name="SAPBEXexcGood1 2 3 17" xfId="10413" xr:uid="{4690D221-2F36-4D4B-BA17-E7E7EBAEC7DC}"/>
    <cellStyle name="SAPBEXexcGood1 2 3 17 2" xfId="10414" xr:uid="{800AF9DF-C7C2-47E4-8290-D505C9329395}"/>
    <cellStyle name="SAPBEXexcGood1 2 3 2" xfId="10415" xr:uid="{861ABFAD-F5FC-4E0F-AAA7-F4483ECAFB53}"/>
    <cellStyle name="SAPBEXexcGood1 2 3 2 10" xfId="10416" xr:uid="{2DDE233B-EA33-40F2-900A-A42FD1570C79}"/>
    <cellStyle name="SAPBEXexcGood1 2 3 2 10 2" xfId="10417" xr:uid="{FB9B8978-7F1E-4A94-8E9D-A744FABBDB73}"/>
    <cellStyle name="SAPBEXexcGood1 2 3 2 11" xfId="10418" xr:uid="{0F4EF022-DDEA-4D64-BA6C-44CD19D415E2}"/>
    <cellStyle name="SAPBEXexcGood1 2 3 2 11 2" xfId="10419" xr:uid="{17A97AA9-3C7F-454B-AD01-0CA13D2F2360}"/>
    <cellStyle name="SAPBEXexcGood1 2 3 2 12" xfId="10420" xr:uid="{4C5CDAC1-7E81-4B34-B5AC-E68D81568541}"/>
    <cellStyle name="SAPBEXexcGood1 2 3 2 12 2" xfId="10421" xr:uid="{04DBA19A-4F11-4D90-8B50-443DD55566A6}"/>
    <cellStyle name="SAPBEXexcGood1 2 3 2 13" xfId="10422" xr:uid="{7B01D160-B5A5-4620-9B75-F14A396172E9}"/>
    <cellStyle name="SAPBEXexcGood1 2 3 2 13 2" xfId="10423" xr:uid="{3DD7E84D-3E41-43BC-BD0C-E39597625AFA}"/>
    <cellStyle name="SAPBEXexcGood1 2 3 2 14" xfId="10424" xr:uid="{D7A96EE1-645A-418E-9F88-A8AFFA276BC7}"/>
    <cellStyle name="SAPBEXexcGood1 2 3 2 14 2" xfId="10425" xr:uid="{310E1582-89D6-4325-A664-C4AD539C659A}"/>
    <cellStyle name="SAPBEXexcGood1 2 3 2 15" xfId="10426" xr:uid="{A586A934-8215-4047-989D-781980608F01}"/>
    <cellStyle name="SAPBEXexcGood1 2 3 2 15 2" xfId="10427" xr:uid="{4176F20F-7260-4303-9EEB-71AB41873562}"/>
    <cellStyle name="SAPBEXexcGood1 2 3 2 2" xfId="10428" xr:uid="{132B6466-9C0E-4D8C-947B-A6C68DBA779E}"/>
    <cellStyle name="SAPBEXexcGood1 2 3 2 2 2" xfId="10429" xr:uid="{B66DDF87-CC21-41A4-98A7-68D128F647D6}"/>
    <cellStyle name="SAPBEXexcGood1 2 3 2 3" xfId="10430" xr:uid="{AE8F73DD-7AEF-4DB4-9E4D-8B9E6E9A70E6}"/>
    <cellStyle name="SAPBEXexcGood1 2 3 2 3 2" xfId="10431" xr:uid="{9F737031-391D-405A-88D2-3D1142A4AE0F}"/>
    <cellStyle name="SAPBEXexcGood1 2 3 2 4" xfId="10432" xr:uid="{5BC6F17C-8F0D-4502-98D5-608F3BE15B71}"/>
    <cellStyle name="SAPBEXexcGood1 2 3 2 4 2" xfId="10433" xr:uid="{B577B3A8-7B15-4A19-B6A8-8AE6760E5BE9}"/>
    <cellStyle name="SAPBEXexcGood1 2 3 2 5" xfId="10434" xr:uid="{23B755A4-064F-4BD3-94D9-752F454562B6}"/>
    <cellStyle name="SAPBEXexcGood1 2 3 2 5 2" xfId="10435" xr:uid="{866FA4ED-4A60-4B9D-B3F0-26E4BB599403}"/>
    <cellStyle name="SAPBEXexcGood1 2 3 2 6" xfId="10436" xr:uid="{56485A47-D087-4C9E-B5C9-CF62CC3A575A}"/>
    <cellStyle name="SAPBEXexcGood1 2 3 2 6 2" xfId="10437" xr:uid="{E97673ED-9479-46B6-841A-334BD1AC0ACD}"/>
    <cellStyle name="SAPBEXexcGood1 2 3 2 7" xfId="10438" xr:uid="{B1E94F5A-D274-4632-A4C4-510265E908D4}"/>
    <cellStyle name="SAPBEXexcGood1 2 3 2 7 2" xfId="10439" xr:uid="{FC1602ED-7305-480E-914E-FC3F131141BB}"/>
    <cellStyle name="SAPBEXexcGood1 2 3 2 8" xfId="10440" xr:uid="{8E13EACE-2523-4416-AD2D-9F8D1E798EC0}"/>
    <cellStyle name="SAPBEXexcGood1 2 3 2 8 2" xfId="10441" xr:uid="{75FEAEC3-437C-45F8-A7EC-422B68BE8652}"/>
    <cellStyle name="SAPBEXexcGood1 2 3 2 9" xfId="10442" xr:uid="{B181FA50-988D-4BEC-9B04-DC09BF0F14F0}"/>
    <cellStyle name="SAPBEXexcGood1 2 3 2 9 2" xfId="10443" xr:uid="{A26BDFBF-06AD-4E6E-AAD5-3D14343F61B0}"/>
    <cellStyle name="SAPBEXexcGood1 2 3 3" xfId="10444" xr:uid="{B597928F-F14D-4D32-8023-2A3906C6AF65}"/>
    <cellStyle name="SAPBEXexcGood1 2 3 3 10" xfId="10445" xr:uid="{4551E97A-9BBD-4434-B826-78293AC3F8F1}"/>
    <cellStyle name="SAPBEXexcGood1 2 3 3 10 2" xfId="10446" xr:uid="{788EEF52-4827-4CC8-A92F-5D37B7D2054C}"/>
    <cellStyle name="SAPBEXexcGood1 2 3 3 11" xfId="10447" xr:uid="{458A1417-95C8-4ABC-B791-DBA8149C593E}"/>
    <cellStyle name="SAPBEXexcGood1 2 3 3 11 2" xfId="10448" xr:uid="{56EB0C2E-3976-4FB7-9D7C-8562E60F56E0}"/>
    <cellStyle name="SAPBEXexcGood1 2 3 3 12" xfId="10449" xr:uid="{3CEC1D96-5C1B-4E7D-B2FF-C6DC4A8A855D}"/>
    <cellStyle name="SAPBEXexcGood1 2 3 3 12 2" xfId="10450" xr:uid="{137114F4-2064-4BF3-B5C1-783990A7D366}"/>
    <cellStyle name="SAPBEXexcGood1 2 3 3 13" xfId="10451" xr:uid="{DD9FB117-CFE8-4104-83C3-639AF6123058}"/>
    <cellStyle name="SAPBEXexcGood1 2 3 3 13 2" xfId="10452" xr:uid="{FEEABFC3-A189-4C39-AD4B-7EFFBC551C42}"/>
    <cellStyle name="SAPBEXexcGood1 2 3 3 14" xfId="10453" xr:uid="{D62A5005-E16E-443A-B324-6007CB7EBADB}"/>
    <cellStyle name="SAPBEXexcGood1 2 3 3 14 2" xfId="10454" xr:uid="{2406FA13-4FCF-4447-AAC8-F28E5EC0AE1C}"/>
    <cellStyle name="SAPBEXexcGood1 2 3 3 15" xfId="10455" xr:uid="{0AACC863-A1B2-4484-97E5-730E22D1DDDD}"/>
    <cellStyle name="SAPBEXexcGood1 2 3 3 15 2" xfId="10456" xr:uid="{7331D66D-2458-4356-BF8B-C3339EDE2244}"/>
    <cellStyle name="SAPBEXexcGood1 2 3 3 2" xfId="10457" xr:uid="{D670D34F-19AD-4784-AC7B-765FB75F27AE}"/>
    <cellStyle name="SAPBEXexcGood1 2 3 3 2 2" xfId="10458" xr:uid="{415F086C-EB3C-4833-9641-79977604C352}"/>
    <cellStyle name="SAPBEXexcGood1 2 3 3 3" xfId="10459" xr:uid="{665BFDF5-167F-45F6-9DC7-20291BB0DA05}"/>
    <cellStyle name="SAPBEXexcGood1 2 3 3 3 2" xfId="10460" xr:uid="{954E9F2E-4493-4357-9FCF-144F05AAFA6E}"/>
    <cellStyle name="SAPBEXexcGood1 2 3 3 4" xfId="10461" xr:uid="{1DE5DAD9-DADB-46FC-ADA0-44F309133A03}"/>
    <cellStyle name="SAPBEXexcGood1 2 3 3 4 2" xfId="10462" xr:uid="{FAF879A0-4EEC-4128-8A81-0E22337B6DA6}"/>
    <cellStyle name="SAPBEXexcGood1 2 3 3 5" xfId="10463" xr:uid="{3E49E6A9-57B8-4EC9-8483-7BDEFFB0EA14}"/>
    <cellStyle name="SAPBEXexcGood1 2 3 3 5 2" xfId="10464" xr:uid="{4F23BEE7-A4C9-46EF-80A5-93D79EBA8997}"/>
    <cellStyle name="SAPBEXexcGood1 2 3 3 6" xfId="10465" xr:uid="{C34B551A-D216-4CBB-A3C4-6095E3B65F90}"/>
    <cellStyle name="SAPBEXexcGood1 2 3 3 6 2" xfId="10466" xr:uid="{6BB5D113-CBC5-4C5E-93C9-25E031DBB494}"/>
    <cellStyle name="SAPBEXexcGood1 2 3 3 7" xfId="10467" xr:uid="{79BF892D-C941-4372-88DD-5E47F0D9E5BE}"/>
    <cellStyle name="SAPBEXexcGood1 2 3 3 7 2" xfId="10468" xr:uid="{0D3B51E2-547D-428D-9911-F78B127C33DB}"/>
    <cellStyle name="SAPBEXexcGood1 2 3 3 8" xfId="10469" xr:uid="{F6264996-C54E-4B46-94E4-1EC2F0EF05FE}"/>
    <cellStyle name="SAPBEXexcGood1 2 3 3 8 2" xfId="10470" xr:uid="{1AB2C0BC-898E-4D67-A297-4759E108465F}"/>
    <cellStyle name="SAPBEXexcGood1 2 3 3 9" xfId="10471" xr:uid="{43C971EE-EB6A-48F3-87A4-41993653EDCF}"/>
    <cellStyle name="SAPBEXexcGood1 2 3 3 9 2" xfId="10472" xr:uid="{1B07C480-F2DB-494E-8DC1-702A92E273C9}"/>
    <cellStyle name="SAPBEXexcGood1 2 3 4" xfId="10473" xr:uid="{6118DDDA-299D-403C-A0F7-735EA2994845}"/>
    <cellStyle name="SAPBEXexcGood1 2 3 4 2" xfId="10474" xr:uid="{4BC2E3CF-FA8A-410D-A537-58E7182A75DC}"/>
    <cellStyle name="SAPBEXexcGood1 2 3 5" xfId="10475" xr:uid="{181E25D2-3F6C-4C70-BC3C-5C145C597B57}"/>
    <cellStyle name="SAPBEXexcGood1 2 3 5 2" xfId="10476" xr:uid="{6E9440A0-AAD7-4671-A81B-670077D3B01F}"/>
    <cellStyle name="SAPBEXexcGood1 2 3 6" xfId="10477" xr:uid="{E7EBFDBF-0719-4FDB-B15C-0559F256EC11}"/>
    <cellStyle name="SAPBEXexcGood1 2 3 6 2" xfId="10478" xr:uid="{2ECBD768-E6F3-46CA-99DE-B0C876361640}"/>
    <cellStyle name="SAPBEXexcGood1 2 3 7" xfId="10479" xr:uid="{9A3AEB58-DDFA-46BF-B171-45A5D74258EF}"/>
    <cellStyle name="SAPBEXexcGood1 2 3 7 2" xfId="10480" xr:uid="{1EC236A2-3C84-49D1-BBB4-E4CB43A1C3DD}"/>
    <cellStyle name="SAPBEXexcGood1 2 3 8" xfId="10481" xr:uid="{AA3D0A5F-9AF4-4EB3-A485-667F2BF267EF}"/>
    <cellStyle name="SAPBEXexcGood1 2 3 8 2" xfId="10482" xr:uid="{3AB75A62-AF4F-4AC0-A99A-1AB2CC2F01E1}"/>
    <cellStyle name="SAPBEXexcGood1 2 3 9" xfId="10483" xr:uid="{53EC9839-5403-48B0-9856-B4C7095EBF1F}"/>
    <cellStyle name="SAPBEXexcGood1 2 3 9 2" xfId="10484" xr:uid="{77C479D2-F3B9-4712-A1D6-03301F477FAE}"/>
    <cellStyle name="SAPBEXexcGood1 2 4" xfId="10485" xr:uid="{0664290F-B569-4823-A931-9E66B768D90E}"/>
    <cellStyle name="SAPBEXexcGood1 2 4 10" xfId="10486" xr:uid="{D471F298-021C-4A25-A922-CB2FC3FCD7EB}"/>
    <cellStyle name="SAPBEXexcGood1 2 4 10 2" xfId="10487" xr:uid="{748E60A4-51C2-4FE2-942F-C86CA0013CF2}"/>
    <cellStyle name="SAPBEXexcGood1 2 4 11" xfId="10488" xr:uid="{AC82E144-EDB2-4210-B8EF-7ADAC6CAC5ED}"/>
    <cellStyle name="SAPBEXexcGood1 2 4 11 2" xfId="10489" xr:uid="{11CC1393-11A5-43C5-9124-3965155A9EC7}"/>
    <cellStyle name="SAPBEXexcGood1 2 4 12" xfId="10490" xr:uid="{2F0BEF9F-956E-415F-8F90-0FBD8BF3F70F}"/>
    <cellStyle name="SAPBEXexcGood1 2 4 12 2" xfId="10491" xr:uid="{30C3AA1B-C804-44FE-97DC-1D2D50F16A28}"/>
    <cellStyle name="SAPBEXexcGood1 2 4 13" xfId="10492" xr:uid="{A91967D8-6C13-483C-978A-A5603AF5971D}"/>
    <cellStyle name="SAPBEXexcGood1 2 4 13 2" xfId="10493" xr:uid="{4FA97C53-7444-4CAC-9535-362909BFC388}"/>
    <cellStyle name="SAPBEXexcGood1 2 4 14" xfId="10494" xr:uid="{71D05C76-34C5-4C2A-BD36-E08993091AF1}"/>
    <cellStyle name="SAPBEXexcGood1 2 4 14 2" xfId="10495" xr:uid="{C34156BD-1EA7-4D5F-8FC4-E78A92E0B1C5}"/>
    <cellStyle name="SAPBEXexcGood1 2 4 15" xfId="10496" xr:uid="{40D751E2-185F-4F2B-BE6B-C93A5C710791}"/>
    <cellStyle name="SAPBEXexcGood1 2 4 15 2" xfId="10497" xr:uid="{FFFB5F95-5F75-4275-A6C1-FCF713EC6D1A}"/>
    <cellStyle name="SAPBEXexcGood1 2 4 16" xfId="10498" xr:uid="{20A23F96-7C01-4CA1-B39B-5224841E89EA}"/>
    <cellStyle name="SAPBEXexcGood1 2 4 16 2" xfId="10499" xr:uid="{9587477E-6D11-45D8-9889-153CB309FB63}"/>
    <cellStyle name="SAPBEXexcGood1 2 4 17" xfId="10500" xr:uid="{12902376-3E33-495C-818B-30C0AED6581D}"/>
    <cellStyle name="SAPBEXexcGood1 2 4 17 2" xfId="10501" xr:uid="{4D60EB89-0457-4685-8EEB-347DE481D296}"/>
    <cellStyle name="SAPBEXexcGood1 2 4 2" xfId="10502" xr:uid="{C5593331-5087-484D-A217-B1F900A5F6DE}"/>
    <cellStyle name="SAPBEXexcGood1 2 4 2 10" xfId="10503" xr:uid="{F8BCBA1E-EC5D-4708-92EE-E82BE687C5DF}"/>
    <cellStyle name="SAPBEXexcGood1 2 4 2 10 2" xfId="10504" xr:uid="{08E550A2-B69C-40B3-8944-FDDAF09B4406}"/>
    <cellStyle name="SAPBEXexcGood1 2 4 2 11" xfId="10505" xr:uid="{4A0C9C75-FE55-4BAA-8185-05998F101A14}"/>
    <cellStyle name="SAPBEXexcGood1 2 4 2 11 2" xfId="10506" xr:uid="{AA7393F7-3E1C-4CC8-AD17-9EE7482A7544}"/>
    <cellStyle name="SAPBEXexcGood1 2 4 2 12" xfId="10507" xr:uid="{69E8073E-FBC6-4F6B-B791-AC7A88FAECC4}"/>
    <cellStyle name="SAPBEXexcGood1 2 4 2 12 2" xfId="10508" xr:uid="{668692F7-E6B3-41B8-BAC5-CC3E176955E8}"/>
    <cellStyle name="SAPBEXexcGood1 2 4 2 13" xfId="10509" xr:uid="{69E009A3-B695-4CBF-905E-72102CD6BDF5}"/>
    <cellStyle name="SAPBEXexcGood1 2 4 2 13 2" xfId="10510" xr:uid="{1E88D1C9-4A15-473B-BF0F-158C256B1B40}"/>
    <cellStyle name="SAPBEXexcGood1 2 4 2 14" xfId="10511" xr:uid="{3A6E5EE4-BD6D-417A-B2A1-533A83050F94}"/>
    <cellStyle name="SAPBEXexcGood1 2 4 2 14 2" xfId="10512" xr:uid="{12AC2C00-93C1-4F56-8632-FAE42A9274AB}"/>
    <cellStyle name="SAPBEXexcGood1 2 4 2 15" xfId="10513" xr:uid="{119ED3E9-4723-4A09-8BE6-5A78C0FF720E}"/>
    <cellStyle name="SAPBEXexcGood1 2 4 2 15 2" xfId="10514" xr:uid="{2FF5A3FE-6E02-4289-AFF3-0356105A4527}"/>
    <cellStyle name="SAPBEXexcGood1 2 4 2 2" xfId="10515" xr:uid="{EF01EF47-78CD-40BA-9215-81A3F8FAF13F}"/>
    <cellStyle name="SAPBEXexcGood1 2 4 2 2 2" xfId="10516" xr:uid="{7F800640-1A18-4107-8CCC-5A33DF216E1B}"/>
    <cellStyle name="SAPBEXexcGood1 2 4 2 3" xfId="10517" xr:uid="{AFE5D2ED-C156-460F-92EE-C8DF149D2C2F}"/>
    <cellStyle name="SAPBEXexcGood1 2 4 2 3 2" xfId="10518" xr:uid="{BA004C57-7AD6-440E-ACFB-804655798870}"/>
    <cellStyle name="SAPBEXexcGood1 2 4 2 4" xfId="10519" xr:uid="{12718D12-F45A-4F35-B309-FF50159B1DF1}"/>
    <cellStyle name="SAPBEXexcGood1 2 4 2 4 2" xfId="10520" xr:uid="{6C982658-CBA3-4120-8CD2-297851AD8D9D}"/>
    <cellStyle name="SAPBEXexcGood1 2 4 2 5" xfId="10521" xr:uid="{13C3005F-BBE9-4831-B114-A5729BAF5B21}"/>
    <cellStyle name="SAPBEXexcGood1 2 4 2 5 2" xfId="10522" xr:uid="{63FA5B37-B279-4816-9F66-33B13399DB67}"/>
    <cellStyle name="SAPBEXexcGood1 2 4 2 6" xfId="10523" xr:uid="{A191CAE1-EAEB-4902-936E-64C3B528BC28}"/>
    <cellStyle name="SAPBEXexcGood1 2 4 2 6 2" xfId="10524" xr:uid="{CB13AF15-F284-4D96-B06F-27A76DA7A29D}"/>
    <cellStyle name="SAPBEXexcGood1 2 4 2 7" xfId="10525" xr:uid="{956E9ECD-3FC6-4222-9D40-7E8440AEAE34}"/>
    <cellStyle name="SAPBEXexcGood1 2 4 2 7 2" xfId="10526" xr:uid="{EAD3E38A-ADD4-4AB4-84FA-D7CB6B5A9B7E}"/>
    <cellStyle name="SAPBEXexcGood1 2 4 2 8" xfId="10527" xr:uid="{A64D95F9-C9FA-41F5-B021-F2E973A53477}"/>
    <cellStyle name="SAPBEXexcGood1 2 4 2 8 2" xfId="10528" xr:uid="{15DA4914-2E32-4543-B5CD-BCEA1075A603}"/>
    <cellStyle name="SAPBEXexcGood1 2 4 2 9" xfId="10529" xr:uid="{BB58AB33-3B82-48EF-A8D6-DB0C267013A3}"/>
    <cellStyle name="SAPBEXexcGood1 2 4 2 9 2" xfId="10530" xr:uid="{8B6374EE-B07D-4C30-8A90-91976A9E9D11}"/>
    <cellStyle name="SAPBEXexcGood1 2 4 3" xfId="10531" xr:uid="{9CFE4B25-0911-4A88-8CF3-6FE9FA0D4030}"/>
    <cellStyle name="SAPBEXexcGood1 2 4 3 10" xfId="10532" xr:uid="{01F4C382-098F-49AD-A679-10D126D2D5B6}"/>
    <cellStyle name="SAPBEXexcGood1 2 4 3 10 2" xfId="10533" xr:uid="{ACF33680-76AC-4327-A791-67D1722CEE42}"/>
    <cellStyle name="SAPBEXexcGood1 2 4 3 11" xfId="10534" xr:uid="{E3BDDCE7-6B48-4298-9258-FB912A7790B5}"/>
    <cellStyle name="SAPBEXexcGood1 2 4 3 11 2" xfId="10535" xr:uid="{B876CA76-5F4D-460F-9505-502BD4030665}"/>
    <cellStyle name="SAPBEXexcGood1 2 4 3 12" xfId="10536" xr:uid="{67656340-5FD9-4904-B0B2-EB6A7D885ADF}"/>
    <cellStyle name="SAPBEXexcGood1 2 4 3 12 2" xfId="10537" xr:uid="{35BC1E6D-27D5-4FFA-8FAF-D442CF019825}"/>
    <cellStyle name="SAPBEXexcGood1 2 4 3 13" xfId="10538" xr:uid="{17B510F9-9382-4B3D-A544-115534C398E7}"/>
    <cellStyle name="SAPBEXexcGood1 2 4 3 13 2" xfId="10539" xr:uid="{6825B36C-1D4B-4CFE-9C7E-DD5D571E18ED}"/>
    <cellStyle name="SAPBEXexcGood1 2 4 3 14" xfId="10540" xr:uid="{02AB10A9-BDAA-4B84-B003-E108734F4F0F}"/>
    <cellStyle name="SAPBEXexcGood1 2 4 3 14 2" xfId="10541" xr:uid="{3650321A-866A-4B40-8349-A3F8500B226E}"/>
    <cellStyle name="SAPBEXexcGood1 2 4 3 15" xfId="10542" xr:uid="{67B3F95C-3D4C-4D08-9CF6-9A46E2DB6212}"/>
    <cellStyle name="SAPBEXexcGood1 2 4 3 15 2" xfId="10543" xr:uid="{A3388A8A-5FAB-41A1-B898-9235BA77AD88}"/>
    <cellStyle name="SAPBEXexcGood1 2 4 3 2" xfId="10544" xr:uid="{EDAC5B66-DBD0-403A-BF7D-312DC3DC9AC2}"/>
    <cellStyle name="SAPBEXexcGood1 2 4 3 2 2" xfId="10545" xr:uid="{F51C60BA-23A4-461B-995D-E3665F62C5AA}"/>
    <cellStyle name="SAPBEXexcGood1 2 4 3 3" xfId="10546" xr:uid="{107E08BA-5D76-4618-A5EA-140DBC3E8B74}"/>
    <cellStyle name="SAPBEXexcGood1 2 4 3 3 2" xfId="10547" xr:uid="{E6EC107C-8333-4E5A-A56B-3C39CFC9F555}"/>
    <cellStyle name="SAPBEXexcGood1 2 4 3 4" xfId="10548" xr:uid="{2A4A50FC-A80A-464A-805D-DC4513C78EA0}"/>
    <cellStyle name="SAPBEXexcGood1 2 4 3 4 2" xfId="10549" xr:uid="{E85EA01C-D6D4-4DFA-BB0B-3E40D7CB8E5E}"/>
    <cellStyle name="SAPBEXexcGood1 2 4 3 5" xfId="10550" xr:uid="{7CB1B713-AA16-4D98-AE3C-1D2B87DABCEE}"/>
    <cellStyle name="SAPBEXexcGood1 2 4 3 5 2" xfId="10551" xr:uid="{6608386B-B1BC-4B37-BC76-3D3861F5389A}"/>
    <cellStyle name="SAPBEXexcGood1 2 4 3 6" xfId="10552" xr:uid="{7BA6F9C4-760A-401C-90AA-6DF6AAA0E35E}"/>
    <cellStyle name="SAPBEXexcGood1 2 4 3 6 2" xfId="10553" xr:uid="{47DC1F2C-91BC-4103-8913-4A945BC99EA7}"/>
    <cellStyle name="SAPBEXexcGood1 2 4 3 7" xfId="10554" xr:uid="{511DD85E-965C-4745-8F75-F31BD06153A5}"/>
    <cellStyle name="SAPBEXexcGood1 2 4 3 7 2" xfId="10555" xr:uid="{FFE1EDDA-0906-4162-9E90-2AF403662858}"/>
    <cellStyle name="SAPBEXexcGood1 2 4 3 8" xfId="10556" xr:uid="{1BC8F4A2-AC45-4931-A9C3-0D540F5BE4A5}"/>
    <cellStyle name="SAPBEXexcGood1 2 4 3 8 2" xfId="10557" xr:uid="{6CCA4E13-DAD2-44C9-BE1E-7A90C7B4B2A0}"/>
    <cellStyle name="SAPBEXexcGood1 2 4 3 9" xfId="10558" xr:uid="{0084FFBA-925B-4C39-AFE3-8E2FEC4B9B55}"/>
    <cellStyle name="SAPBEXexcGood1 2 4 3 9 2" xfId="10559" xr:uid="{74741DD5-024F-4983-BD00-955EE30A0FEC}"/>
    <cellStyle name="SAPBEXexcGood1 2 4 4" xfId="10560" xr:uid="{08CCD921-9FA6-4E65-8ECD-673B87FF088B}"/>
    <cellStyle name="SAPBEXexcGood1 2 4 4 2" xfId="10561" xr:uid="{327124BD-A5B4-4525-8931-157282203D6C}"/>
    <cellStyle name="SAPBEXexcGood1 2 4 5" xfId="10562" xr:uid="{D4B107E4-2F7B-47BB-BB43-9328839D4F3B}"/>
    <cellStyle name="SAPBEXexcGood1 2 4 5 2" xfId="10563" xr:uid="{E6423DEF-B48F-4197-A436-5E5D53AC2B6E}"/>
    <cellStyle name="SAPBEXexcGood1 2 4 6" xfId="10564" xr:uid="{E776B257-358A-4497-B342-DA539B0F8491}"/>
    <cellStyle name="SAPBEXexcGood1 2 4 6 2" xfId="10565" xr:uid="{FB76E451-2D48-4CC3-8EDB-8A101CDA4ECF}"/>
    <cellStyle name="SAPBEXexcGood1 2 4 7" xfId="10566" xr:uid="{BD099D8F-F3DC-4DA1-AFDD-CE6A956BF777}"/>
    <cellStyle name="SAPBEXexcGood1 2 4 7 2" xfId="10567" xr:uid="{7F9E8F48-D14E-4789-BF2E-48F468CD16EF}"/>
    <cellStyle name="SAPBEXexcGood1 2 4 8" xfId="10568" xr:uid="{C108C6C8-FEA7-41F0-993E-1B46263AA8C4}"/>
    <cellStyle name="SAPBEXexcGood1 2 4 8 2" xfId="10569" xr:uid="{5BFC23B3-BB22-4ACE-84CD-BCFA277AACC9}"/>
    <cellStyle name="SAPBEXexcGood1 2 4 9" xfId="10570" xr:uid="{23E27D07-3530-4755-A7AD-8EB0CE5F6860}"/>
    <cellStyle name="SAPBEXexcGood1 2 4 9 2" xfId="10571" xr:uid="{DC66C56B-CFB9-443C-AEFE-3EEA000C2D24}"/>
    <cellStyle name="SAPBEXexcGood1 2 5" xfId="10572" xr:uid="{B65B8699-5EE6-4D52-A667-F78C415F495B}"/>
    <cellStyle name="SAPBEXexcGood1 2 5 2" xfId="10573" xr:uid="{7E8BB34F-2CBC-4CB0-A6B9-17A9A9A0AA6B}"/>
    <cellStyle name="SAPBEXexcGood1 2 6" xfId="10574" xr:uid="{557E0355-8CE7-4C19-9C12-8E1003B849BF}"/>
    <cellStyle name="SAPBEXexcGood1 2 6 2" xfId="10575" xr:uid="{E706D997-7FE9-44ED-9CFA-79E53D7725ED}"/>
    <cellStyle name="SAPBEXexcGood1 2 7" xfId="10576" xr:uid="{1E130884-B547-4FEF-B470-2F0D01FAEF39}"/>
    <cellStyle name="SAPBEXexcGood1 2 7 2" xfId="10577" xr:uid="{B83646B2-57E2-4CB7-BB94-82EC4D669AB8}"/>
    <cellStyle name="SAPBEXexcGood1 2 8" xfId="10578" xr:uid="{2BA6D70B-5313-41E0-8990-BBD02B0160E8}"/>
    <cellStyle name="SAPBEXexcGood1 2 8 2" xfId="10579" xr:uid="{D5CFBCD1-29EB-4100-846C-EF2D94CAD16A}"/>
    <cellStyle name="SAPBEXexcGood1 2 9" xfId="10580" xr:uid="{250C3142-B818-4A5F-9E17-3D783D7F6183}"/>
    <cellStyle name="SAPBEXexcGood1 2 9 2" xfId="10581" xr:uid="{EDB910C7-7013-4160-BC4E-E2588EFB2D54}"/>
    <cellStyle name="SAPBEXexcGood1 2_T1 ANSP" xfId="10292" xr:uid="{E6AA32F9-6C4F-4148-94C9-33E89F963879}"/>
    <cellStyle name="SAPBEXexcGood1 20" xfId="10582" xr:uid="{C3A5C48E-A7E0-4916-8F29-1CE21113FB0D}"/>
    <cellStyle name="SAPBEXexcGood1 3" xfId="1510" xr:uid="{00000000-0005-0000-0000-000074050000}"/>
    <cellStyle name="SAPBEXexcGood1 3 10" xfId="10584" xr:uid="{11EEBB0A-55D9-405E-8388-727EA63CE9F8}"/>
    <cellStyle name="SAPBEXexcGood1 3 10 2" xfId="10585" xr:uid="{0F0534B8-4A1D-4093-805F-57414A94F5C3}"/>
    <cellStyle name="SAPBEXexcGood1 3 11" xfId="10586" xr:uid="{17C1B1E5-3D45-4E8B-8FDE-F650FDF89E85}"/>
    <cellStyle name="SAPBEXexcGood1 3 11 2" xfId="10587" xr:uid="{7F80082D-D553-4EBF-9CF5-01E1848DE096}"/>
    <cellStyle name="SAPBEXexcGood1 3 12" xfId="10588" xr:uid="{95A246E0-6868-4EC4-9650-77C4F5B4F771}"/>
    <cellStyle name="SAPBEXexcGood1 3 12 2" xfId="10589" xr:uid="{46FC0D2C-F934-4578-B166-5EDB9FF5FDFE}"/>
    <cellStyle name="SAPBEXexcGood1 3 13" xfId="10590" xr:uid="{672192AF-9C43-450F-957B-2537723390DE}"/>
    <cellStyle name="SAPBEXexcGood1 3 13 2" xfId="10591" xr:uid="{725729B3-32C4-4F45-BD93-C9C2060DAD68}"/>
    <cellStyle name="SAPBEXexcGood1 3 14" xfId="10592" xr:uid="{570B4E69-5B9C-4D53-8B46-5C1B1563842A}"/>
    <cellStyle name="SAPBEXexcGood1 3 14 2" xfId="10593" xr:uid="{475797D3-B88A-4FD0-9EDB-B10B007D79C3}"/>
    <cellStyle name="SAPBEXexcGood1 3 15" xfId="10594" xr:uid="{0F9B3068-0426-4601-A675-7B5523214D48}"/>
    <cellStyle name="SAPBEXexcGood1 3 15 2" xfId="10595" xr:uid="{22DCB8C1-97A9-4CBE-83A6-5FE8199452AD}"/>
    <cellStyle name="SAPBEXexcGood1 3 16" xfId="10596" xr:uid="{02FEF789-ECD6-49DE-9F05-CA87318F3C8C}"/>
    <cellStyle name="SAPBEXexcGood1 3 16 2" xfId="10597" xr:uid="{474496EC-BEB8-43E5-979C-1109AAC79D60}"/>
    <cellStyle name="SAPBEXexcGood1 3 17" xfId="10598" xr:uid="{F593E994-966F-43CF-9F58-9D7647E77AB9}"/>
    <cellStyle name="SAPBEXexcGood1 3 17 2" xfId="10599" xr:uid="{9E76A6F3-CB7B-443F-B8BA-446093947C0E}"/>
    <cellStyle name="SAPBEXexcGood1 3 18" xfId="10600" xr:uid="{AD5C22F8-26AC-4EED-9659-9B79C50ABEDF}"/>
    <cellStyle name="SAPBEXexcGood1 3 2" xfId="10601" xr:uid="{86B7775B-80CA-4A84-AFB8-8FD4D56B7138}"/>
    <cellStyle name="SAPBEXexcGood1 3 2 10" xfId="10602" xr:uid="{E8C375CA-C8D1-4996-80F6-4C6DAA45EA6C}"/>
    <cellStyle name="SAPBEXexcGood1 3 2 10 2" xfId="10603" xr:uid="{A69CB77D-A95E-4460-8BBB-555FDBAC2E11}"/>
    <cellStyle name="SAPBEXexcGood1 3 2 11" xfId="10604" xr:uid="{F441490D-CE52-4D91-A80F-43A85D69B38F}"/>
    <cellStyle name="SAPBEXexcGood1 3 2 11 2" xfId="10605" xr:uid="{C0F78E23-0DEA-41E9-AB2D-49010668A1AD}"/>
    <cellStyle name="SAPBEXexcGood1 3 2 12" xfId="10606" xr:uid="{B899F54D-972E-4A57-8631-F2AA297C908B}"/>
    <cellStyle name="SAPBEXexcGood1 3 2 12 2" xfId="10607" xr:uid="{AB59AA82-3567-41E0-B42D-D6C8E52EBE02}"/>
    <cellStyle name="SAPBEXexcGood1 3 2 13" xfId="10608" xr:uid="{A83E126D-3838-426B-8901-6CB2688BA210}"/>
    <cellStyle name="SAPBEXexcGood1 3 2 13 2" xfId="10609" xr:uid="{292575EC-0AB0-4A9E-ADAD-FB4C93758A24}"/>
    <cellStyle name="SAPBEXexcGood1 3 2 14" xfId="10610" xr:uid="{6BDF739F-C2AE-4229-990F-10C8524CA291}"/>
    <cellStyle name="SAPBEXexcGood1 3 2 14 2" xfId="10611" xr:uid="{0E150BB3-A162-45C1-BECE-C29D0219080A}"/>
    <cellStyle name="SAPBEXexcGood1 3 2 15" xfId="10612" xr:uid="{A620C165-0177-4937-AA7B-586D49067D09}"/>
    <cellStyle name="SAPBEXexcGood1 3 2 15 2" xfId="10613" xr:uid="{52C0A466-9FC1-4811-8A68-D498CF2CAFBB}"/>
    <cellStyle name="SAPBEXexcGood1 3 2 16" xfId="10614" xr:uid="{DE8E0126-EADA-46B7-BB03-983B65FB3EAC}"/>
    <cellStyle name="SAPBEXexcGood1 3 2 2" xfId="10615" xr:uid="{84E76FBC-14F3-4686-92E4-21A666C8320F}"/>
    <cellStyle name="SAPBEXexcGood1 3 2 2 2" xfId="10616" xr:uid="{6654E264-EB0E-4DC8-927C-5EAB5C4A8A5E}"/>
    <cellStyle name="SAPBEXexcGood1 3 2 3" xfId="10617" xr:uid="{42E3DBB5-8864-4202-92FA-82E3E507B697}"/>
    <cellStyle name="SAPBEXexcGood1 3 2 3 2" xfId="10618" xr:uid="{3D88F8E0-228B-4204-9FBB-6FA6C4EC0BC1}"/>
    <cellStyle name="SAPBEXexcGood1 3 2 4" xfId="10619" xr:uid="{811EEC92-E88F-4DBB-BFE8-9CA4D9E0A39D}"/>
    <cellStyle name="SAPBEXexcGood1 3 2 4 2" xfId="10620" xr:uid="{27796156-46FA-4449-BDC5-F588827A8EA5}"/>
    <cellStyle name="SAPBEXexcGood1 3 2 5" xfId="10621" xr:uid="{5C5B5A2C-AC4C-4DA6-8FF1-EA4678E729F1}"/>
    <cellStyle name="SAPBEXexcGood1 3 2 5 2" xfId="10622" xr:uid="{60B62A2E-3D19-402A-9644-D68FE24AF913}"/>
    <cellStyle name="SAPBEXexcGood1 3 2 6" xfId="10623" xr:uid="{0497D770-DDEC-459D-9E37-D9B478486567}"/>
    <cellStyle name="SAPBEXexcGood1 3 2 6 2" xfId="10624" xr:uid="{C446C362-E7D1-4F54-88B8-55CA29624559}"/>
    <cellStyle name="SAPBEXexcGood1 3 2 7" xfId="10625" xr:uid="{F06434FD-A399-49E0-B372-E770DE6299FD}"/>
    <cellStyle name="SAPBEXexcGood1 3 2 7 2" xfId="10626" xr:uid="{D94E4EE2-8DAC-4915-AD37-5759CF5FE133}"/>
    <cellStyle name="SAPBEXexcGood1 3 2 8" xfId="10627" xr:uid="{300AC834-A97D-4133-A873-FBE94FCA8A7C}"/>
    <cellStyle name="SAPBEXexcGood1 3 2 8 2" xfId="10628" xr:uid="{85ED3FAE-C014-411A-8BC4-CF25AA061C17}"/>
    <cellStyle name="SAPBEXexcGood1 3 2 9" xfId="10629" xr:uid="{72EAE5D3-E336-4D84-BB5D-D4D53F905FCB}"/>
    <cellStyle name="SAPBEXexcGood1 3 2 9 2" xfId="10630" xr:uid="{CFD4FCCA-A345-4869-98F2-10B5D8A38B4B}"/>
    <cellStyle name="SAPBEXexcGood1 3 3" xfId="10631" xr:uid="{FEFA90BF-766E-4291-9A0C-1C7EB7CA4086}"/>
    <cellStyle name="SAPBEXexcGood1 3 3 10" xfId="10632" xr:uid="{98280943-B73D-4C7F-B0DC-7940FA3B18AA}"/>
    <cellStyle name="SAPBEXexcGood1 3 3 10 2" xfId="10633" xr:uid="{606C8AD4-8AAA-4559-807B-21DBCCBA392C}"/>
    <cellStyle name="SAPBEXexcGood1 3 3 11" xfId="10634" xr:uid="{C20B909C-7D5F-4E74-B6E5-E3C5A53ADF86}"/>
    <cellStyle name="SAPBEXexcGood1 3 3 11 2" xfId="10635" xr:uid="{526D3826-5D03-4E2F-9AB4-2D1574A7826E}"/>
    <cellStyle name="SAPBEXexcGood1 3 3 12" xfId="10636" xr:uid="{EB8FF416-21D3-41D8-87AA-7FF2BA7E283D}"/>
    <cellStyle name="SAPBEXexcGood1 3 3 12 2" xfId="10637" xr:uid="{5E9F91FA-532E-4067-8D4C-85FCA8D9130B}"/>
    <cellStyle name="SAPBEXexcGood1 3 3 13" xfId="10638" xr:uid="{018E768E-1212-48B0-80FC-110AD44EB1BE}"/>
    <cellStyle name="SAPBEXexcGood1 3 3 13 2" xfId="10639" xr:uid="{6419DDF1-EB62-4425-B03F-01742460382F}"/>
    <cellStyle name="SAPBEXexcGood1 3 3 14" xfId="10640" xr:uid="{E4997F91-BFAD-4651-A715-E6AF9DF4BB32}"/>
    <cellStyle name="SAPBEXexcGood1 3 3 14 2" xfId="10641" xr:uid="{AC7680FA-5ADA-4C5C-A737-182554BA5A41}"/>
    <cellStyle name="SAPBEXexcGood1 3 3 15" xfId="10642" xr:uid="{B33A98F8-42CD-4D9A-9EF1-842B889A265E}"/>
    <cellStyle name="SAPBEXexcGood1 3 3 15 2" xfId="10643" xr:uid="{6AAB8382-F0CA-4330-A995-21236BC4C1A4}"/>
    <cellStyle name="SAPBEXexcGood1 3 3 16" xfId="10644" xr:uid="{0D44C4A2-292F-47B7-B31F-D6E0F7C8F1FF}"/>
    <cellStyle name="SAPBEXexcGood1 3 3 2" xfId="10645" xr:uid="{96411527-2DF5-4C55-8BDA-E366EBA4EEA5}"/>
    <cellStyle name="SAPBEXexcGood1 3 3 2 2" xfId="10646" xr:uid="{08D71870-C8C6-492F-829B-34E62FF00CCC}"/>
    <cellStyle name="SAPBEXexcGood1 3 3 3" xfId="10647" xr:uid="{385B9062-C5B0-4252-8852-EB65C401F0B4}"/>
    <cellStyle name="SAPBEXexcGood1 3 3 3 2" xfId="10648" xr:uid="{00C205E1-2437-4BB4-A5D8-CBCFF094EB71}"/>
    <cellStyle name="SAPBEXexcGood1 3 3 4" xfId="10649" xr:uid="{6003D05C-AD2C-43B6-85EF-A487FC6FE8A5}"/>
    <cellStyle name="SAPBEXexcGood1 3 3 4 2" xfId="10650" xr:uid="{91723D6E-6433-4BE8-B514-CDAA20B7D344}"/>
    <cellStyle name="SAPBEXexcGood1 3 3 5" xfId="10651" xr:uid="{EADC8289-5AA8-419C-BA65-D10A339DADC8}"/>
    <cellStyle name="SAPBEXexcGood1 3 3 5 2" xfId="10652" xr:uid="{9393E349-C154-497F-8DB7-81FC50CD642A}"/>
    <cellStyle name="SAPBEXexcGood1 3 3 6" xfId="10653" xr:uid="{5A71566E-2236-44C5-86D6-FA2171EA5806}"/>
    <cellStyle name="SAPBEXexcGood1 3 3 6 2" xfId="10654" xr:uid="{82BCFD5A-B9BB-412D-8243-8F357F94DD4D}"/>
    <cellStyle name="SAPBEXexcGood1 3 3 7" xfId="10655" xr:uid="{3FE396DE-1008-4861-862A-A743CA581E0C}"/>
    <cellStyle name="SAPBEXexcGood1 3 3 7 2" xfId="10656" xr:uid="{07DD7DE0-E778-4AC3-AA41-717BD6FFF1B8}"/>
    <cellStyle name="SAPBEXexcGood1 3 3 8" xfId="10657" xr:uid="{4BD6B696-AC43-437C-B3A8-9807792B7694}"/>
    <cellStyle name="SAPBEXexcGood1 3 3 8 2" xfId="10658" xr:uid="{7239A358-3601-4B3F-9F2D-33B630EC7EDE}"/>
    <cellStyle name="SAPBEXexcGood1 3 3 9" xfId="10659" xr:uid="{082B08A0-9C72-459A-8195-960C68CBD04F}"/>
    <cellStyle name="SAPBEXexcGood1 3 3 9 2" xfId="10660" xr:uid="{24DB6AC9-4405-4A23-B7B0-9B1B6F4606F1}"/>
    <cellStyle name="SAPBEXexcGood1 3 4" xfId="10661" xr:uid="{4440D796-3E01-4FF7-B770-E16C8E9EF09E}"/>
    <cellStyle name="SAPBEXexcGood1 3 4 2" xfId="10662" xr:uid="{E529D698-0472-404E-904D-E1D2EF08555F}"/>
    <cellStyle name="SAPBEXexcGood1 3 5" xfId="10663" xr:uid="{DD900D0D-AA52-4B66-BDB4-8C43418B4321}"/>
    <cellStyle name="SAPBEXexcGood1 3 5 2" xfId="10664" xr:uid="{5D24CAC4-8E91-41A7-A8C5-4CF561F7CA28}"/>
    <cellStyle name="SAPBEXexcGood1 3 6" xfId="10665" xr:uid="{718C55B4-FCF8-47E2-A92C-1A2096854D75}"/>
    <cellStyle name="SAPBEXexcGood1 3 6 2" xfId="10666" xr:uid="{D7CC5AA0-63AB-4B7C-99B5-CF2B784CB16B}"/>
    <cellStyle name="SAPBEXexcGood1 3 7" xfId="10667" xr:uid="{4589FE3A-7A35-448A-B14B-21FD6981D90A}"/>
    <cellStyle name="SAPBEXexcGood1 3 7 2" xfId="10668" xr:uid="{42B0D44C-816F-4B7A-AD5A-B83DCDC502D8}"/>
    <cellStyle name="SAPBEXexcGood1 3 8" xfId="10669" xr:uid="{20DAD83E-F515-47A8-8AFD-DEC54D3F5A71}"/>
    <cellStyle name="SAPBEXexcGood1 3 8 2" xfId="10670" xr:uid="{71FFF2F0-4AA3-4522-901D-804BA92B5813}"/>
    <cellStyle name="SAPBEXexcGood1 3 9" xfId="10671" xr:uid="{6527AF28-BB7E-4502-A8B1-774E372D02A0}"/>
    <cellStyle name="SAPBEXexcGood1 3 9 2" xfId="10672" xr:uid="{0DC206DC-B3EE-4076-87DA-97C56FA46C53}"/>
    <cellStyle name="SAPBEXexcGood1 3_T1 ANSP" xfId="10583" xr:uid="{96EAFDA2-032E-4887-8C2A-22F55A93200E}"/>
    <cellStyle name="SAPBEXexcGood1 4" xfId="10673" xr:uid="{AD08A9DD-EA05-44A9-95F1-468CA51A4800}"/>
    <cellStyle name="SAPBEXexcGood1 4 10" xfId="10674" xr:uid="{364D5635-3F34-4C00-A29E-DD390BF0551C}"/>
    <cellStyle name="SAPBEXexcGood1 4 10 2" xfId="10675" xr:uid="{3CD7806B-F5D7-4068-9C5A-A33A1A0C18E3}"/>
    <cellStyle name="SAPBEXexcGood1 4 11" xfId="10676" xr:uid="{E567469D-1C3D-4D2F-B478-0A87B04883DA}"/>
    <cellStyle name="SAPBEXexcGood1 4 11 2" xfId="10677" xr:uid="{616CFF3C-C442-44CF-8BDC-5D299ECCE51C}"/>
    <cellStyle name="SAPBEXexcGood1 4 12" xfId="10678" xr:uid="{52858E4D-BE46-4142-A3A4-C60B0AF0424E}"/>
    <cellStyle name="SAPBEXexcGood1 4 12 2" xfId="10679" xr:uid="{29527678-C0FA-4CE4-8E4B-565896795EBF}"/>
    <cellStyle name="SAPBEXexcGood1 4 13" xfId="10680" xr:uid="{D4B88EE1-CBF4-48B0-9696-30046CC9BEBB}"/>
    <cellStyle name="SAPBEXexcGood1 4 13 2" xfId="10681" xr:uid="{4FAA21B2-E8C2-406F-89D1-CF47AE6722BF}"/>
    <cellStyle name="SAPBEXexcGood1 4 14" xfId="10682" xr:uid="{9A63C6D0-7BB7-4168-BF45-713875C40A8F}"/>
    <cellStyle name="SAPBEXexcGood1 4 14 2" xfId="10683" xr:uid="{6C0BD554-E538-4CB3-84F6-8347A1D13EC4}"/>
    <cellStyle name="SAPBEXexcGood1 4 15" xfId="10684" xr:uid="{0A991BCA-C69A-41AE-8024-09AB2A12691A}"/>
    <cellStyle name="SAPBEXexcGood1 4 15 2" xfId="10685" xr:uid="{C68BF252-9AA8-4C6B-AF95-A97A67E0D42B}"/>
    <cellStyle name="SAPBEXexcGood1 4 16" xfId="10686" xr:uid="{CD92E009-9187-47FA-821B-2CDCE0F6C3F0}"/>
    <cellStyle name="SAPBEXexcGood1 4 16 2" xfId="10687" xr:uid="{3E0B1B6C-3315-47A1-84F8-4E68EDA209DB}"/>
    <cellStyle name="SAPBEXexcGood1 4 17" xfId="10688" xr:uid="{4499A9C4-EB87-452D-BD90-417D5C92F653}"/>
    <cellStyle name="SAPBEXexcGood1 4 17 2" xfId="10689" xr:uid="{853FC5D1-5B09-4ECF-ABE2-450085B204FB}"/>
    <cellStyle name="SAPBEXexcGood1 4 18" xfId="10690" xr:uid="{2895D983-C8C6-41CB-83B3-8476AB5BC3B6}"/>
    <cellStyle name="SAPBEXexcGood1 4 2" xfId="10691" xr:uid="{872D9ED2-44C2-4DD6-9855-D5EAD5BFF05C}"/>
    <cellStyle name="SAPBEXexcGood1 4 2 10" xfId="10692" xr:uid="{48E3CD1F-B942-442C-9549-4F2E23203A71}"/>
    <cellStyle name="SAPBEXexcGood1 4 2 10 2" xfId="10693" xr:uid="{98340C5B-385D-4DC0-9AA9-3395021D88D9}"/>
    <cellStyle name="SAPBEXexcGood1 4 2 11" xfId="10694" xr:uid="{70BB09C4-FD77-4C45-A7FC-43D46CB8228B}"/>
    <cellStyle name="SAPBEXexcGood1 4 2 11 2" xfId="10695" xr:uid="{8D710F95-52CD-4B94-A3A7-578889690826}"/>
    <cellStyle name="SAPBEXexcGood1 4 2 12" xfId="10696" xr:uid="{6F0D1B5D-E3E9-4130-8765-45ADCBE6DFA7}"/>
    <cellStyle name="SAPBEXexcGood1 4 2 12 2" xfId="10697" xr:uid="{6591A900-61B8-4C87-AAD4-F1D39DD57EAD}"/>
    <cellStyle name="SAPBEXexcGood1 4 2 13" xfId="10698" xr:uid="{6794BAE7-8F27-4640-AABB-4561BCF1CB54}"/>
    <cellStyle name="SAPBEXexcGood1 4 2 13 2" xfId="10699" xr:uid="{C3FCFF23-9A3B-432C-8D39-B3BAA93DBD4F}"/>
    <cellStyle name="SAPBEXexcGood1 4 2 14" xfId="10700" xr:uid="{23967788-E238-4D01-8416-E85C0B7B73DA}"/>
    <cellStyle name="SAPBEXexcGood1 4 2 14 2" xfId="10701" xr:uid="{4ADF5049-F29B-4C52-B61B-521DF13E1482}"/>
    <cellStyle name="SAPBEXexcGood1 4 2 15" xfId="10702" xr:uid="{AA08168B-1C36-4364-8717-7EB55113A355}"/>
    <cellStyle name="SAPBEXexcGood1 4 2 15 2" xfId="10703" xr:uid="{F66AB0D8-32CF-4D1B-AF5B-690270894985}"/>
    <cellStyle name="SAPBEXexcGood1 4 2 16" xfId="10704" xr:uid="{143157B6-E114-4C82-A3FC-357475F0E3DF}"/>
    <cellStyle name="SAPBEXexcGood1 4 2 2" xfId="10705" xr:uid="{9CDD829D-5229-4C07-8952-2A0B3058C582}"/>
    <cellStyle name="SAPBEXexcGood1 4 2 2 2" xfId="10706" xr:uid="{C1994935-8365-4FFA-979C-D5F57044C5B1}"/>
    <cellStyle name="SAPBEXexcGood1 4 2 3" xfId="10707" xr:uid="{2DE643F7-5E73-4C7D-BB06-D58DF6480EFC}"/>
    <cellStyle name="SAPBEXexcGood1 4 2 3 2" xfId="10708" xr:uid="{B35A0CD5-20C5-429A-9637-182C30B82DB6}"/>
    <cellStyle name="SAPBEXexcGood1 4 2 4" xfId="10709" xr:uid="{E0C79C42-E755-4FAA-AD37-61A609724CE2}"/>
    <cellStyle name="SAPBEXexcGood1 4 2 4 2" xfId="10710" xr:uid="{871B5FEB-8E04-4191-A709-B6D91783D4D7}"/>
    <cellStyle name="SAPBEXexcGood1 4 2 5" xfId="10711" xr:uid="{411FB54E-24F7-4675-83A4-5966E583A181}"/>
    <cellStyle name="SAPBEXexcGood1 4 2 5 2" xfId="10712" xr:uid="{5AEBF0F5-F07F-4595-B6DC-D86872A4711D}"/>
    <cellStyle name="SAPBEXexcGood1 4 2 6" xfId="10713" xr:uid="{847F0057-B74F-465F-AE12-9AEF7470882B}"/>
    <cellStyle name="SAPBEXexcGood1 4 2 6 2" xfId="10714" xr:uid="{72BF032A-7C74-4E14-917E-6CCE07C283BD}"/>
    <cellStyle name="SAPBEXexcGood1 4 2 7" xfId="10715" xr:uid="{C88E2F52-1B92-4471-9AC1-8A0FE9983EF3}"/>
    <cellStyle name="SAPBEXexcGood1 4 2 7 2" xfId="10716" xr:uid="{B75B5977-459D-4FDF-8CF4-ADE397A6DF5A}"/>
    <cellStyle name="SAPBEXexcGood1 4 2 8" xfId="10717" xr:uid="{5003B375-876F-4A0D-B216-1AF2FAFFBFB3}"/>
    <cellStyle name="SAPBEXexcGood1 4 2 8 2" xfId="10718" xr:uid="{A4F8CC08-F32D-4247-AF3F-55E5DBA07996}"/>
    <cellStyle name="SAPBEXexcGood1 4 2 9" xfId="10719" xr:uid="{CEDD1E2F-08D3-453C-8F53-351314CDFD0D}"/>
    <cellStyle name="SAPBEXexcGood1 4 2 9 2" xfId="10720" xr:uid="{A1A91CED-4F3B-469D-9679-29AD119BE782}"/>
    <cellStyle name="SAPBEXexcGood1 4 3" xfId="10721" xr:uid="{DCC7B07B-2318-432D-81C8-AFFBF189FD9A}"/>
    <cellStyle name="SAPBEXexcGood1 4 3 10" xfId="10722" xr:uid="{371CAB72-0A7C-4BEB-90C4-D359925161EA}"/>
    <cellStyle name="SAPBEXexcGood1 4 3 10 2" xfId="10723" xr:uid="{D98A6BD6-6EF7-4403-AF4A-EA4AE44A9833}"/>
    <cellStyle name="SAPBEXexcGood1 4 3 11" xfId="10724" xr:uid="{629E05DF-FC4E-4B1F-8964-7E18EC7362B5}"/>
    <cellStyle name="SAPBEXexcGood1 4 3 11 2" xfId="10725" xr:uid="{2F0E5A13-65CE-4ACA-BB04-E5C5FD108298}"/>
    <cellStyle name="SAPBEXexcGood1 4 3 12" xfId="10726" xr:uid="{9608EED9-8066-4AA3-888A-11C37552E69F}"/>
    <cellStyle name="SAPBEXexcGood1 4 3 12 2" xfId="10727" xr:uid="{167A60BD-6597-4739-9922-0419A9E94B29}"/>
    <cellStyle name="SAPBEXexcGood1 4 3 13" xfId="10728" xr:uid="{222CC947-19E4-41BE-B0AB-4B2C9207B9A8}"/>
    <cellStyle name="SAPBEXexcGood1 4 3 13 2" xfId="10729" xr:uid="{A1DC3D32-3292-469C-881C-7341094EC8AB}"/>
    <cellStyle name="SAPBEXexcGood1 4 3 14" xfId="10730" xr:uid="{3CA62B10-D983-48B2-B3BB-F5A37F59A5CD}"/>
    <cellStyle name="SAPBEXexcGood1 4 3 14 2" xfId="10731" xr:uid="{481B9B72-2178-4DC5-BE16-3D62D7E71911}"/>
    <cellStyle name="SAPBEXexcGood1 4 3 15" xfId="10732" xr:uid="{01543992-D551-49B1-A6BD-E5B3C087ECE3}"/>
    <cellStyle name="SAPBEXexcGood1 4 3 15 2" xfId="10733" xr:uid="{0A191B6D-5D35-4F16-84B0-B4651DFF51B5}"/>
    <cellStyle name="SAPBEXexcGood1 4 3 16" xfId="10734" xr:uid="{463E6152-7488-4AE5-AB2C-5BAB26F9A90D}"/>
    <cellStyle name="SAPBEXexcGood1 4 3 2" xfId="10735" xr:uid="{2977DC4A-24AD-4234-A60F-5C9E4280904D}"/>
    <cellStyle name="SAPBEXexcGood1 4 3 2 2" xfId="10736" xr:uid="{6A307404-FB6E-4000-82B5-9F6D6B6176F4}"/>
    <cellStyle name="SAPBEXexcGood1 4 3 3" xfId="10737" xr:uid="{04ED54F8-FCC4-4D4C-BE9D-A9F42C92ADB8}"/>
    <cellStyle name="SAPBEXexcGood1 4 3 3 2" xfId="10738" xr:uid="{9E8FC0E4-024B-475F-8510-5D6A74CBD7DA}"/>
    <cellStyle name="SAPBEXexcGood1 4 3 4" xfId="10739" xr:uid="{597F91CB-7075-4E72-B1F0-EFEB573FDB8C}"/>
    <cellStyle name="SAPBEXexcGood1 4 3 4 2" xfId="10740" xr:uid="{A8D28FF7-3AED-4A41-B612-9DD472EE705F}"/>
    <cellStyle name="SAPBEXexcGood1 4 3 5" xfId="10741" xr:uid="{97ACD94D-3DCD-43A8-BB52-05A3119716C0}"/>
    <cellStyle name="SAPBEXexcGood1 4 3 5 2" xfId="10742" xr:uid="{2DA42251-0F59-4A08-8EE2-CA3DC30040A1}"/>
    <cellStyle name="SAPBEXexcGood1 4 3 6" xfId="10743" xr:uid="{E680BE69-83E1-430B-A7F8-4FBA03B84465}"/>
    <cellStyle name="SAPBEXexcGood1 4 3 6 2" xfId="10744" xr:uid="{534991F8-F324-4BD8-A8AD-878679E5EBFD}"/>
    <cellStyle name="SAPBEXexcGood1 4 3 7" xfId="10745" xr:uid="{C70FB5A6-326A-40F4-B31D-1CBF381780DE}"/>
    <cellStyle name="SAPBEXexcGood1 4 3 7 2" xfId="10746" xr:uid="{2C29C920-4380-47C5-8175-1098A1DE7E80}"/>
    <cellStyle name="SAPBEXexcGood1 4 3 8" xfId="10747" xr:uid="{BD034C72-3237-4726-A0EE-F570492651B2}"/>
    <cellStyle name="SAPBEXexcGood1 4 3 8 2" xfId="10748" xr:uid="{117A1C5C-320C-47D0-AE63-0FFF8A1377F6}"/>
    <cellStyle name="SAPBEXexcGood1 4 3 9" xfId="10749" xr:uid="{B90C78D4-9F94-4E65-968D-F33224BD3128}"/>
    <cellStyle name="SAPBEXexcGood1 4 3 9 2" xfId="10750" xr:uid="{212F666B-6E51-4456-84EB-9D17633E85EA}"/>
    <cellStyle name="SAPBEXexcGood1 4 4" xfId="10751" xr:uid="{E6756CC9-689B-4C56-8983-6B503E2E8E52}"/>
    <cellStyle name="SAPBEXexcGood1 4 4 2" xfId="10752" xr:uid="{E95B39FE-B1B3-4844-9489-8985D0D1457E}"/>
    <cellStyle name="SAPBEXexcGood1 4 5" xfId="10753" xr:uid="{8E76AFC9-AF12-4B3C-AA82-3E184DFCB2A7}"/>
    <cellStyle name="SAPBEXexcGood1 4 5 2" xfId="10754" xr:uid="{A10DDA52-021D-4E33-BAB4-8DA9C48CB222}"/>
    <cellStyle name="SAPBEXexcGood1 4 6" xfId="10755" xr:uid="{5997A69A-669B-4FE7-BD70-DBE06C1AE2EA}"/>
    <cellStyle name="SAPBEXexcGood1 4 6 2" xfId="10756" xr:uid="{E728CB14-E2C6-4C96-BE9A-BF198A666DAC}"/>
    <cellStyle name="SAPBEXexcGood1 4 7" xfId="10757" xr:uid="{CF460BE1-6A9D-4654-8DC4-1758D573F893}"/>
    <cellStyle name="SAPBEXexcGood1 4 7 2" xfId="10758" xr:uid="{69543A57-9501-427D-8EDE-11AD29E243B6}"/>
    <cellStyle name="SAPBEXexcGood1 4 8" xfId="10759" xr:uid="{579B94A6-DC32-42AA-AD4F-1F7B7C377784}"/>
    <cellStyle name="SAPBEXexcGood1 4 8 2" xfId="10760" xr:uid="{D42A3C72-03B0-432A-9CE8-9E16998E0305}"/>
    <cellStyle name="SAPBEXexcGood1 4 9" xfId="10761" xr:uid="{A1E561E2-664F-45B3-9C16-EAF5826E4D07}"/>
    <cellStyle name="SAPBEXexcGood1 4 9 2" xfId="10762" xr:uid="{52C030DB-BC72-4988-92A6-AB725B506140}"/>
    <cellStyle name="SAPBEXexcGood1 5" xfId="10763" xr:uid="{43B51FA6-3641-4D49-97DF-15AD62DDE7BC}"/>
    <cellStyle name="SAPBEXexcGood1 5 10" xfId="10764" xr:uid="{30A185A8-9322-416A-8A2E-097A9CDA6A2B}"/>
    <cellStyle name="SAPBEXexcGood1 5 10 2" xfId="10765" xr:uid="{2F954404-D16E-4A0C-B565-C6EDC0678E10}"/>
    <cellStyle name="SAPBEXexcGood1 5 11" xfId="10766" xr:uid="{F19E23D7-6C2F-40F0-84F3-2E153B517D2D}"/>
    <cellStyle name="SAPBEXexcGood1 5 11 2" xfId="10767" xr:uid="{9962981F-9454-4B4E-A7B3-5545EB34CA87}"/>
    <cellStyle name="SAPBEXexcGood1 5 12" xfId="10768" xr:uid="{1CAF99BC-56B5-495D-9BF5-EDC4644CAA59}"/>
    <cellStyle name="SAPBEXexcGood1 5 12 2" xfId="10769" xr:uid="{B6D181AA-F162-4071-A3BF-AD19CB2409B7}"/>
    <cellStyle name="SAPBEXexcGood1 5 13" xfId="10770" xr:uid="{2411227F-73DF-45D1-A7D0-15888D80B50A}"/>
    <cellStyle name="SAPBEXexcGood1 5 13 2" xfId="10771" xr:uid="{F720F22C-00B5-43EC-896A-261883808C71}"/>
    <cellStyle name="SAPBEXexcGood1 5 14" xfId="10772" xr:uid="{7DCECE32-11C8-470D-A7C9-E35264EE7BB9}"/>
    <cellStyle name="SAPBEXexcGood1 5 14 2" xfId="10773" xr:uid="{BC4117E5-D16B-4FD6-BA2B-A994C2E15AF8}"/>
    <cellStyle name="SAPBEXexcGood1 5 15" xfId="10774" xr:uid="{A2BE2C6D-1E9B-4E07-BDCF-A6D302CF10B5}"/>
    <cellStyle name="SAPBEXexcGood1 5 15 2" xfId="10775" xr:uid="{31951D7B-3EDA-47C7-B1B0-D740EA19936A}"/>
    <cellStyle name="SAPBEXexcGood1 5 16" xfId="10776" xr:uid="{C5822EE1-21FD-460D-BAD7-F8818E5832A0}"/>
    <cellStyle name="SAPBEXexcGood1 5 2" xfId="10777" xr:uid="{E40C6443-5ED1-4663-AB43-3DEDB2414954}"/>
    <cellStyle name="SAPBEXexcGood1 5 2 2" xfId="10778" xr:uid="{81042828-A292-4E6C-BB3A-9EB6A23E41EC}"/>
    <cellStyle name="SAPBEXexcGood1 5 3" xfId="10779" xr:uid="{ADDBDF96-D63B-4D66-B6FB-76AE688BB0C4}"/>
    <cellStyle name="SAPBEXexcGood1 5 3 2" xfId="10780" xr:uid="{FCB16090-8524-4145-BEBC-572C262F82B8}"/>
    <cellStyle name="SAPBEXexcGood1 5 4" xfId="10781" xr:uid="{9647DF3C-BF0E-41BA-A9B6-215D73E9EAE1}"/>
    <cellStyle name="SAPBEXexcGood1 5 4 2" xfId="10782" xr:uid="{45964639-7247-4714-B78B-7F80F6441E22}"/>
    <cellStyle name="SAPBEXexcGood1 5 5" xfId="10783" xr:uid="{DBF4A56D-5927-44FD-BD61-D18EBC3CE3B3}"/>
    <cellStyle name="SAPBEXexcGood1 5 5 2" xfId="10784" xr:uid="{0CABA986-E4D4-4A11-A972-0F16A0D28035}"/>
    <cellStyle name="SAPBEXexcGood1 5 6" xfId="10785" xr:uid="{95CEA829-131E-4F22-805E-38C62A75EA6E}"/>
    <cellStyle name="SAPBEXexcGood1 5 6 2" xfId="10786" xr:uid="{A3B3238A-B41B-4AC0-8046-0913A1654353}"/>
    <cellStyle name="SAPBEXexcGood1 5 7" xfId="10787" xr:uid="{A9C4EC0F-7B13-44A5-A325-96353769CE4E}"/>
    <cellStyle name="SAPBEXexcGood1 5 7 2" xfId="10788" xr:uid="{3753765E-5199-4975-AEBF-0D97CC57E948}"/>
    <cellStyle name="SAPBEXexcGood1 5 8" xfId="10789" xr:uid="{DBFDB742-BD0C-418C-A849-93B8031DCA23}"/>
    <cellStyle name="SAPBEXexcGood1 5 8 2" xfId="10790" xr:uid="{19F6D825-338A-4BE8-95EB-3C11DC9F6E53}"/>
    <cellStyle name="SAPBEXexcGood1 5 9" xfId="10791" xr:uid="{669725C7-8EE9-4D54-8309-14E66AB0E10E}"/>
    <cellStyle name="SAPBEXexcGood1 5 9 2" xfId="10792" xr:uid="{D84FB71F-ED5A-44C3-B0DF-270DBB9961B7}"/>
    <cellStyle name="SAPBEXexcGood1 6" xfId="10793" xr:uid="{877331AA-91AB-4956-BFB1-DD879484A86A}"/>
    <cellStyle name="SAPBEXexcGood1 6 2" xfId="10794" xr:uid="{F9E194E7-1831-4655-95CA-176DEC303DF3}"/>
    <cellStyle name="SAPBEXexcGood1 7" xfId="10795" xr:uid="{090B373B-DB25-4F55-97DF-EF81A390FA7A}"/>
    <cellStyle name="SAPBEXexcGood1 7 2" xfId="10796" xr:uid="{369A32B1-AE0C-461B-B513-3E08920811AE}"/>
    <cellStyle name="SAPBEXexcGood1 8" xfId="10797" xr:uid="{79E29FCD-0B1C-49BB-B63A-16B3D4234FFF}"/>
    <cellStyle name="SAPBEXexcGood1 8 2" xfId="10798" xr:uid="{D8076485-EA68-4EA7-9771-7353FF4BD299}"/>
    <cellStyle name="SAPBEXexcGood1 9" xfId="10799" xr:uid="{493E0BD9-744B-406F-BE23-035DF23F5D56}"/>
    <cellStyle name="SAPBEXexcGood1 9 2" xfId="10800" xr:uid="{5DD40226-36FC-43E9-B2BC-F240365313EF}"/>
    <cellStyle name="SAPBEXexcGood1_T1 ANSP" xfId="10271" xr:uid="{430248BD-418C-4CC3-B310-43C16D173A40}"/>
    <cellStyle name="SAPBEXexcGood2" xfId="738" xr:uid="{00000000-0005-0000-0000-000075050000}"/>
    <cellStyle name="SAPBEXexcGood2 10" xfId="10802" xr:uid="{605B5077-B731-4B62-AF68-B52F70D90C05}"/>
    <cellStyle name="SAPBEXexcGood2 10 2" xfId="10803" xr:uid="{A8546FDF-B3AA-455E-8F7B-7125BA87CBE1}"/>
    <cellStyle name="SAPBEXexcGood2 11" xfId="10804" xr:uid="{626D2FC4-3474-4279-BE3A-9C6505DCB16C}"/>
    <cellStyle name="SAPBEXexcGood2 11 2" xfId="10805" xr:uid="{E6126DFF-AF44-42DA-BB1A-CD88D6C0C4BA}"/>
    <cellStyle name="SAPBEXexcGood2 12" xfId="10806" xr:uid="{26CE0F25-CE63-4B5D-9FCE-F5C0F96B40F4}"/>
    <cellStyle name="SAPBEXexcGood2 12 2" xfId="10807" xr:uid="{2B13B487-158C-47C8-8EB8-26E4910DD3CB}"/>
    <cellStyle name="SAPBEXexcGood2 13" xfId="10808" xr:uid="{E34DDB14-199C-4A34-84B3-48CA25CF3919}"/>
    <cellStyle name="SAPBEXexcGood2 13 2" xfId="10809" xr:uid="{E1FC9922-BE0B-43FF-B0DD-A6171E897AF6}"/>
    <cellStyle name="SAPBEXexcGood2 14" xfId="10810" xr:uid="{164DFD5B-070F-4FA2-96F8-B96E51ABD3E6}"/>
    <cellStyle name="SAPBEXexcGood2 14 2" xfId="10811" xr:uid="{187C666B-3DC7-449A-968F-72F36AC3E048}"/>
    <cellStyle name="SAPBEXexcGood2 15" xfId="10812" xr:uid="{4B79D679-594A-4EEA-A358-D4D97F6B9C4A}"/>
    <cellStyle name="SAPBEXexcGood2 15 2" xfId="10813" xr:uid="{98D7E3C8-F8EE-40A3-B9B4-34651BBD5AE2}"/>
    <cellStyle name="SAPBEXexcGood2 16" xfId="10814" xr:uid="{D5B77E87-C6DE-4F79-BD2D-35A1C7D8F529}"/>
    <cellStyle name="SAPBEXexcGood2 16 2" xfId="10815" xr:uid="{2CD1D1D7-49DE-449C-BE1C-76F729801310}"/>
    <cellStyle name="SAPBEXexcGood2 17" xfId="10816" xr:uid="{2F1F1ABF-CF25-4956-9445-97941B2DA317}"/>
    <cellStyle name="SAPBEXexcGood2 17 2" xfId="10817" xr:uid="{2AEC52AE-6B24-4A70-846E-5162D8668A6B}"/>
    <cellStyle name="SAPBEXexcGood2 18" xfId="10818" xr:uid="{71AC85B6-2BDB-40DD-B7AC-5B0BE94EBB1E}"/>
    <cellStyle name="SAPBEXexcGood2 18 2" xfId="10819" xr:uid="{7F5A0061-623B-4FA9-ACFB-BBA389DA00D7}"/>
    <cellStyle name="SAPBEXexcGood2 19" xfId="10820" xr:uid="{20D3B16A-7F9D-434C-A3DE-DEEDFE6C19B4}"/>
    <cellStyle name="SAPBEXexcGood2 19 2" xfId="10821" xr:uid="{E45A97EC-2AB0-4E64-86AF-94CA3CE9540C}"/>
    <cellStyle name="SAPBEXexcGood2 2" xfId="1553" xr:uid="{00000000-0005-0000-0000-000076050000}"/>
    <cellStyle name="SAPBEXexcGood2 2 10" xfId="10823" xr:uid="{0293A56D-218F-41B8-B8D5-F29186428E2A}"/>
    <cellStyle name="SAPBEXexcGood2 2 10 2" xfId="10824" xr:uid="{74442F25-7E52-4654-842B-28852BC7A6D8}"/>
    <cellStyle name="SAPBEXexcGood2 2 11" xfId="10825" xr:uid="{68880B35-76C0-4B68-9CD4-252669C06407}"/>
    <cellStyle name="SAPBEXexcGood2 2 11 2" xfId="10826" xr:uid="{B05471B3-E5AF-4518-A75D-3351A3D1968A}"/>
    <cellStyle name="SAPBEXexcGood2 2 12" xfId="10827" xr:uid="{7AD0B9F6-CB72-42CE-BB11-4A3165184C88}"/>
    <cellStyle name="SAPBEXexcGood2 2 12 2" xfId="10828" xr:uid="{6B15F73C-3ED1-46DC-A2C3-4340B3F9A9C6}"/>
    <cellStyle name="SAPBEXexcGood2 2 13" xfId="10829" xr:uid="{1CDD5A07-FD6F-42B0-A76B-AA26865DF1C9}"/>
    <cellStyle name="SAPBEXexcGood2 2 13 2" xfId="10830" xr:uid="{93D36B6F-D88E-440A-BACE-17F6A66C71EE}"/>
    <cellStyle name="SAPBEXexcGood2 2 14" xfId="10831" xr:uid="{F3ADF8D0-24AD-4944-9CD6-D196B91F6F39}"/>
    <cellStyle name="SAPBEXexcGood2 2 14 2" xfId="10832" xr:uid="{565E0D14-1004-4A84-9CF6-E45D31A3641E}"/>
    <cellStyle name="SAPBEXexcGood2 2 15" xfId="10833" xr:uid="{97BA5A22-7CA8-4453-8337-63C9D4104F67}"/>
    <cellStyle name="SAPBEXexcGood2 2 15 2" xfId="10834" xr:uid="{00596166-3317-41D1-81BE-628ECAEA5DF5}"/>
    <cellStyle name="SAPBEXexcGood2 2 16" xfId="10835" xr:uid="{54BDD7E8-7E57-4E95-B2D5-510AEB1FB7A2}"/>
    <cellStyle name="SAPBEXexcGood2 2 16 2" xfId="10836" xr:uid="{7A9D6765-EB02-4A01-B5A2-3693AEE3B751}"/>
    <cellStyle name="SAPBEXexcGood2 2 17" xfId="10837" xr:uid="{E71EC073-23D1-4C89-AF82-4003F12FC315}"/>
    <cellStyle name="SAPBEXexcGood2 2 17 2" xfId="10838" xr:uid="{A292883B-D072-4369-8E2A-C40988A03A04}"/>
    <cellStyle name="SAPBEXexcGood2 2 18" xfId="10839" xr:uid="{5596F43A-0C30-49E0-8110-F7296E6E8B91}"/>
    <cellStyle name="SAPBEXexcGood2 2 18 2" xfId="10840" xr:uid="{9C2291F5-1E33-4346-AF84-FDED5BE94E53}"/>
    <cellStyle name="SAPBEXexcGood2 2 2" xfId="10841" xr:uid="{337D7A93-9421-47F2-9F2C-07184725FEB2}"/>
    <cellStyle name="SAPBEXexcGood2 2 2 10" xfId="10842" xr:uid="{5A531389-B21C-4934-9A72-88CC570E771B}"/>
    <cellStyle name="SAPBEXexcGood2 2 2 10 2" xfId="10843" xr:uid="{AB6DB23C-B773-49A9-B6D2-458D8718F8F5}"/>
    <cellStyle name="SAPBEXexcGood2 2 2 11" xfId="10844" xr:uid="{EF0D4038-9A5D-42E4-AD9B-9DCF56C0E710}"/>
    <cellStyle name="SAPBEXexcGood2 2 2 11 2" xfId="10845" xr:uid="{CA0C2F86-D626-42DD-8537-393E56E4BC4A}"/>
    <cellStyle name="SAPBEXexcGood2 2 2 12" xfId="10846" xr:uid="{D125CC90-B276-4924-81CE-246C8EC53389}"/>
    <cellStyle name="SAPBEXexcGood2 2 2 12 2" xfId="10847" xr:uid="{C0C634CB-3F95-4891-804C-D0878AE13EBC}"/>
    <cellStyle name="SAPBEXexcGood2 2 2 13" xfId="10848" xr:uid="{F725AAB3-05CD-4F00-A4B5-E81C20A024EF}"/>
    <cellStyle name="SAPBEXexcGood2 2 2 13 2" xfId="10849" xr:uid="{573F170F-F313-4DEB-A050-049F3765B2B4}"/>
    <cellStyle name="SAPBEXexcGood2 2 2 14" xfId="10850" xr:uid="{CD56138F-0D49-48A8-AA64-05F4D3BB8C5A}"/>
    <cellStyle name="SAPBEXexcGood2 2 2 14 2" xfId="10851" xr:uid="{42BAD2AF-E1A9-4E41-9411-BA4264E02E32}"/>
    <cellStyle name="SAPBEXexcGood2 2 2 15" xfId="10852" xr:uid="{01F77D27-1053-4716-9DCC-3EA7EC3E2150}"/>
    <cellStyle name="SAPBEXexcGood2 2 2 15 2" xfId="10853" xr:uid="{CE5EB960-E9F2-4C07-8445-DFD9E0C9BD3F}"/>
    <cellStyle name="SAPBEXexcGood2 2 2 16" xfId="10854" xr:uid="{8EC570A7-E42F-498D-8CFA-5D072CC2A14D}"/>
    <cellStyle name="SAPBEXexcGood2 2 2 16 2" xfId="10855" xr:uid="{AA15BB86-DF02-45C8-9F5D-CAFBE5EAECAC}"/>
    <cellStyle name="SAPBEXexcGood2 2 2 17" xfId="10856" xr:uid="{DEC0301A-56AD-491E-BB05-92C42DE1AAAF}"/>
    <cellStyle name="SAPBEXexcGood2 2 2 17 2" xfId="10857" xr:uid="{804687D7-0042-494D-8928-C220CD3EF662}"/>
    <cellStyle name="SAPBEXexcGood2 2 2 2" xfId="10858" xr:uid="{9EB84BAE-3D5F-4114-8BF6-8FCA640B7011}"/>
    <cellStyle name="SAPBEXexcGood2 2 2 2 10" xfId="10859" xr:uid="{B2C7A498-E3E7-45E2-A83E-8A0D6B4ABFCA}"/>
    <cellStyle name="SAPBEXexcGood2 2 2 2 10 2" xfId="10860" xr:uid="{0C6952FE-BB94-4F6C-A268-1321E0EE2D8C}"/>
    <cellStyle name="SAPBEXexcGood2 2 2 2 11" xfId="10861" xr:uid="{DE3447DB-EC4E-4953-AB66-A765E9997788}"/>
    <cellStyle name="SAPBEXexcGood2 2 2 2 11 2" xfId="10862" xr:uid="{1BBB9F7B-65EA-4B31-B61F-DD34E730D6B9}"/>
    <cellStyle name="SAPBEXexcGood2 2 2 2 12" xfId="10863" xr:uid="{AF7742B1-5FE3-47FE-AC6E-74E4F4D29C69}"/>
    <cellStyle name="SAPBEXexcGood2 2 2 2 12 2" xfId="10864" xr:uid="{F74B06D6-41D0-4B19-BE61-5E63CBF798F6}"/>
    <cellStyle name="SAPBEXexcGood2 2 2 2 13" xfId="10865" xr:uid="{418EF55C-16A4-4E12-8A43-26A12710F4EA}"/>
    <cellStyle name="SAPBEXexcGood2 2 2 2 13 2" xfId="10866" xr:uid="{C19164A5-22A3-4B1E-9937-F2F7D6628E28}"/>
    <cellStyle name="SAPBEXexcGood2 2 2 2 14" xfId="10867" xr:uid="{050B3060-CB76-4CAF-AA9F-82EE4509E58A}"/>
    <cellStyle name="SAPBEXexcGood2 2 2 2 14 2" xfId="10868" xr:uid="{4A5C92B8-5C62-435B-943C-26BDCEE8C59D}"/>
    <cellStyle name="SAPBEXexcGood2 2 2 2 15" xfId="10869" xr:uid="{59E85C43-EA63-4743-86CD-9220A6574479}"/>
    <cellStyle name="SAPBEXexcGood2 2 2 2 15 2" xfId="10870" xr:uid="{36059708-A258-4FF3-8CBE-C7CC63D24946}"/>
    <cellStyle name="SAPBEXexcGood2 2 2 2 2" xfId="10871" xr:uid="{C7C7B3A5-02F8-4607-99A5-03C0383FA7C5}"/>
    <cellStyle name="SAPBEXexcGood2 2 2 2 2 2" xfId="10872" xr:uid="{5185AF18-DB50-4CC6-864F-99CAEB0B619B}"/>
    <cellStyle name="SAPBEXexcGood2 2 2 2 3" xfId="10873" xr:uid="{5B46EFE2-BCC4-4ED5-9C40-AAEFF662E87A}"/>
    <cellStyle name="SAPBEXexcGood2 2 2 2 3 2" xfId="10874" xr:uid="{AC81406F-1A2A-4033-9210-E602A58ADD94}"/>
    <cellStyle name="SAPBEXexcGood2 2 2 2 4" xfId="10875" xr:uid="{9180A233-8D3C-4C92-87E8-027DF827B895}"/>
    <cellStyle name="SAPBEXexcGood2 2 2 2 4 2" xfId="10876" xr:uid="{9510C3C5-D690-48C4-A1DF-A3EFAEE68B21}"/>
    <cellStyle name="SAPBEXexcGood2 2 2 2 5" xfId="10877" xr:uid="{0EE814BF-0448-4295-8AF4-5001F3909FDF}"/>
    <cellStyle name="SAPBEXexcGood2 2 2 2 5 2" xfId="10878" xr:uid="{34CA9EAD-54F9-4A10-82EC-62BE9E95559C}"/>
    <cellStyle name="SAPBEXexcGood2 2 2 2 6" xfId="10879" xr:uid="{7B5C66A8-0462-45FE-A51D-34325AC7FA82}"/>
    <cellStyle name="SAPBEXexcGood2 2 2 2 6 2" xfId="10880" xr:uid="{D95F26E5-EC3D-4CEB-A905-81E1A34EA64B}"/>
    <cellStyle name="SAPBEXexcGood2 2 2 2 7" xfId="10881" xr:uid="{710D971A-9145-4745-AFA2-1C42C9FBE86F}"/>
    <cellStyle name="SAPBEXexcGood2 2 2 2 7 2" xfId="10882" xr:uid="{267F84B5-6F9A-4A20-81CD-7136320EB1D9}"/>
    <cellStyle name="SAPBEXexcGood2 2 2 2 8" xfId="10883" xr:uid="{F1877D36-9A9E-43B4-8543-D70DCEA2B645}"/>
    <cellStyle name="SAPBEXexcGood2 2 2 2 8 2" xfId="10884" xr:uid="{C354F382-994A-488A-A910-8B540C911B1D}"/>
    <cellStyle name="SAPBEXexcGood2 2 2 2 9" xfId="10885" xr:uid="{F129138A-5E25-4D0A-A091-16A89D79B973}"/>
    <cellStyle name="SAPBEXexcGood2 2 2 2 9 2" xfId="10886" xr:uid="{D1F7A9E9-BA76-43D9-BE69-F22D406B86E5}"/>
    <cellStyle name="SAPBEXexcGood2 2 2 3" xfId="10887" xr:uid="{3ABDD9E9-D3D9-4731-9473-850E168DDD4A}"/>
    <cellStyle name="SAPBEXexcGood2 2 2 3 10" xfId="10888" xr:uid="{13CC1799-3AD7-466A-A3A1-2268DA33167F}"/>
    <cellStyle name="SAPBEXexcGood2 2 2 3 10 2" xfId="10889" xr:uid="{9C05D743-5706-464A-9C22-A13E1984AB7B}"/>
    <cellStyle name="SAPBEXexcGood2 2 2 3 11" xfId="10890" xr:uid="{F954D06A-EA58-4298-B81D-C5C26D61091E}"/>
    <cellStyle name="SAPBEXexcGood2 2 2 3 11 2" xfId="10891" xr:uid="{8A0C2401-1116-40A3-BC5E-CF09A55781D3}"/>
    <cellStyle name="SAPBEXexcGood2 2 2 3 12" xfId="10892" xr:uid="{4A736823-50F0-4CB7-907E-A02D22121ED2}"/>
    <cellStyle name="SAPBEXexcGood2 2 2 3 12 2" xfId="10893" xr:uid="{C4DDDFAA-A83F-4100-BDF7-0F39BAB20C7D}"/>
    <cellStyle name="SAPBEXexcGood2 2 2 3 13" xfId="10894" xr:uid="{FB3ED2AA-9612-4B64-BF9B-66EF9593EA4F}"/>
    <cellStyle name="SAPBEXexcGood2 2 2 3 13 2" xfId="10895" xr:uid="{9AB9FF04-90EF-4804-BD12-5604064EC533}"/>
    <cellStyle name="SAPBEXexcGood2 2 2 3 14" xfId="10896" xr:uid="{4B91C873-DC96-4322-94A7-B3628AD30B39}"/>
    <cellStyle name="SAPBEXexcGood2 2 2 3 14 2" xfId="10897" xr:uid="{80047CD1-1039-49AF-935B-F5C2C908729D}"/>
    <cellStyle name="SAPBEXexcGood2 2 2 3 15" xfId="10898" xr:uid="{6887263D-728A-496E-BF1A-FF57BD66A1CD}"/>
    <cellStyle name="SAPBEXexcGood2 2 2 3 15 2" xfId="10899" xr:uid="{7357B6F9-8F0D-4EA3-A479-3A612F35E0FC}"/>
    <cellStyle name="SAPBEXexcGood2 2 2 3 2" xfId="10900" xr:uid="{6B7F36FF-A84D-45A9-B246-2CC5EC0967F4}"/>
    <cellStyle name="SAPBEXexcGood2 2 2 3 2 2" xfId="10901" xr:uid="{61105E1F-82D0-43CE-8BC9-2A010EB9254A}"/>
    <cellStyle name="SAPBEXexcGood2 2 2 3 3" xfId="10902" xr:uid="{6CA38A1D-6F3A-4404-BA56-A94F5F2B3C78}"/>
    <cellStyle name="SAPBEXexcGood2 2 2 3 3 2" xfId="10903" xr:uid="{6882E849-23DE-42FE-AADF-AB6FBE9F9CF8}"/>
    <cellStyle name="SAPBEXexcGood2 2 2 3 4" xfId="10904" xr:uid="{354A5320-7500-4936-99CD-FF476C6366A8}"/>
    <cellStyle name="SAPBEXexcGood2 2 2 3 4 2" xfId="10905" xr:uid="{69C8A139-10C5-4899-8C1B-16A3C6A14EEE}"/>
    <cellStyle name="SAPBEXexcGood2 2 2 3 5" xfId="10906" xr:uid="{C0F03162-45FC-4436-B7D6-AC1EEAB1ACF7}"/>
    <cellStyle name="SAPBEXexcGood2 2 2 3 5 2" xfId="10907" xr:uid="{B2D8B40F-8642-44AD-BCCA-AA513235BA84}"/>
    <cellStyle name="SAPBEXexcGood2 2 2 3 6" xfId="10908" xr:uid="{0A284942-4DF7-4300-8CD1-754145E5366C}"/>
    <cellStyle name="SAPBEXexcGood2 2 2 3 6 2" xfId="10909" xr:uid="{13A5C178-261A-44CD-B5A6-F68D4D7D144E}"/>
    <cellStyle name="SAPBEXexcGood2 2 2 3 7" xfId="10910" xr:uid="{964E2E9F-9728-46C6-BF17-0AE0CA2C1820}"/>
    <cellStyle name="SAPBEXexcGood2 2 2 3 7 2" xfId="10911" xr:uid="{C24C0B49-1E38-4AF7-90B8-9C9D4024A32A}"/>
    <cellStyle name="SAPBEXexcGood2 2 2 3 8" xfId="10912" xr:uid="{76E69E92-BCB8-4405-8138-C910B25A8CA3}"/>
    <cellStyle name="SAPBEXexcGood2 2 2 3 8 2" xfId="10913" xr:uid="{F78CADFF-1961-4928-A669-AE8FE2256FDC}"/>
    <cellStyle name="SAPBEXexcGood2 2 2 3 9" xfId="10914" xr:uid="{878CB756-73D3-4C04-B386-1F20E020049F}"/>
    <cellStyle name="SAPBEXexcGood2 2 2 3 9 2" xfId="10915" xr:uid="{6029071C-B6DF-45FB-86D7-9E8829B92963}"/>
    <cellStyle name="SAPBEXexcGood2 2 2 4" xfId="10916" xr:uid="{350EC8A3-5396-4513-88B1-E1CA8FDF413D}"/>
    <cellStyle name="SAPBEXexcGood2 2 2 4 2" xfId="10917" xr:uid="{7BA18280-C826-41DF-A5EE-F73DE0934E87}"/>
    <cellStyle name="SAPBEXexcGood2 2 2 5" xfId="10918" xr:uid="{D6A06ACC-263E-4463-9249-A54D8FAD9C66}"/>
    <cellStyle name="SAPBEXexcGood2 2 2 5 2" xfId="10919" xr:uid="{4E309B35-DFAF-4B14-A92A-A3BE04E6496E}"/>
    <cellStyle name="SAPBEXexcGood2 2 2 6" xfId="10920" xr:uid="{63690FD9-198A-42CB-B1A0-141D73CF9817}"/>
    <cellStyle name="SAPBEXexcGood2 2 2 6 2" xfId="10921" xr:uid="{86D8EF2C-4936-4C54-84A0-657F2AC5EF81}"/>
    <cellStyle name="SAPBEXexcGood2 2 2 7" xfId="10922" xr:uid="{C0A465C0-0A41-4C0E-97AB-DC11FAC40085}"/>
    <cellStyle name="SAPBEXexcGood2 2 2 7 2" xfId="10923" xr:uid="{DE825995-992A-4373-A2FA-A1927B2F0639}"/>
    <cellStyle name="SAPBEXexcGood2 2 2 8" xfId="10924" xr:uid="{A3E1641F-E34C-45E6-ABF7-14487C5DE8C5}"/>
    <cellStyle name="SAPBEXexcGood2 2 2 8 2" xfId="10925" xr:uid="{7BE0CA68-E08A-4F39-AFD8-2BCEA221B245}"/>
    <cellStyle name="SAPBEXexcGood2 2 2 9" xfId="10926" xr:uid="{D7E93B34-81AD-4B91-986E-18C50371B46B}"/>
    <cellStyle name="SAPBEXexcGood2 2 2 9 2" xfId="10927" xr:uid="{07502DEB-52F6-42A4-804B-C378250EBA63}"/>
    <cellStyle name="SAPBEXexcGood2 2 3" xfId="10928" xr:uid="{31721841-9D6B-4816-A040-B09E2EA8D464}"/>
    <cellStyle name="SAPBEXexcGood2 2 3 10" xfId="10929" xr:uid="{2DA65592-F67A-4E44-B6D3-157037D812AA}"/>
    <cellStyle name="SAPBEXexcGood2 2 3 10 2" xfId="10930" xr:uid="{2A6292E2-81B5-48DB-948A-440F0BFBAC62}"/>
    <cellStyle name="SAPBEXexcGood2 2 3 11" xfId="10931" xr:uid="{55689E91-1517-4794-951E-4A4AC2C74DB6}"/>
    <cellStyle name="SAPBEXexcGood2 2 3 11 2" xfId="10932" xr:uid="{06E2E173-51AE-4984-B093-CC20C85D9BEE}"/>
    <cellStyle name="SAPBEXexcGood2 2 3 12" xfId="10933" xr:uid="{DBB8F853-FF39-4044-A260-A48D25F0EEB9}"/>
    <cellStyle name="SAPBEXexcGood2 2 3 12 2" xfId="10934" xr:uid="{763DD8C1-9F91-4756-B078-AE7B5C42FB86}"/>
    <cellStyle name="SAPBEXexcGood2 2 3 13" xfId="10935" xr:uid="{0D525814-6A67-4C4A-B1CC-0CDEE58D8481}"/>
    <cellStyle name="SAPBEXexcGood2 2 3 13 2" xfId="10936" xr:uid="{8323B855-D57C-496C-8422-1B7C05885C75}"/>
    <cellStyle name="SAPBEXexcGood2 2 3 14" xfId="10937" xr:uid="{F84A18D4-656C-4A14-B709-73C7C2477C3B}"/>
    <cellStyle name="SAPBEXexcGood2 2 3 14 2" xfId="10938" xr:uid="{52B5BA90-CF5E-45AB-B962-96BEC5347850}"/>
    <cellStyle name="SAPBEXexcGood2 2 3 15" xfId="10939" xr:uid="{24360CF7-1BD1-44B6-88DC-B89CD404457F}"/>
    <cellStyle name="SAPBEXexcGood2 2 3 15 2" xfId="10940" xr:uid="{68837905-3830-4D33-B295-3A7AD67A6DBB}"/>
    <cellStyle name="SAPBEXexcGood2 2 3 16" xfId="10941" xr:uid="{D06A3808-F53F-494F-9063-14BF51A2E4BF}"/>
    <cellStyle name="SAPBEXexcGood2 2 3 16 2" xfId="10942" xr:uid="{C8E4E383-2738-4BFA-844F-D10B1FB69E0E}"/>
    <cellStyle name="SAPBEXexcGood2 2 3 17" xfId="10943" xr:uid="{027DF20B-4931-4632-B7CC-4653D47B5CA8}"/>
    <cellStyle name="SAPBEXexcGood2 2 3 17 2" xfId="10944" xr:uid="{55394787-914E-4AE7-85BC-B9F5C7B1A26E}"/>
    <cellStyle name="SAPBEXexcGood2 2 3 2" xfId="10945" xr:uid="{222DFEC3-55A8-4BF3-8170-7E0DCFC5828F}"/>
    <cellStyle name="SAPBEXexcGood2 2 3 2 10" xfId="10946" xr:uid="{57EC6D5C-BCAC-4CCA-A837-34F710515D22}"/>
    <cellStyle name="SAPBEXexcGood2 2 3 2 10 2" xfId="10947" xr:uid="{54B61A71-1FBC-4283-940D-E04728C98FA0}"/>
    <cellStyle name="SAPBEXexcGood2 2 3 2 11" xfId="10948" xr:uid="{30FEEBD7-9830-4331-BD51-9B00DF80E300}"/>
    <cellStyle name="SAPBEXexcGood2 2 3 2 11 2" xfId="10949" xr:uid="{64044EE2-4ECD-4F95-A727-EE516D67B0B5}"/>
    <cellStyle name="SAPBEXexcGood2 2 3 2 12" xfId="10950" xr:uid="{23C48A05-687B-499A-99C8-58FB9749A2F6}"/>
    <cellStyle name="SAPBEXexcGood2 2 3 2 12 2" xfId="10951" xr:uid="{F7867224-550B-4ACC-973F-CA193AAD8CD2}"/>
    <cellStyle name="SAPBEXexcGood2 2 3 2 13" xfId="10952" xr:uid="{F44CED59-A5C2-4127-BA25-B899F745D184}"/>
    <cellStyle name="SAPBEXexcGood2 2 3 2 13 2" xfId="10953" xr:uid="{C7DA964D-6814-4FF8-A7D3-7388CF4FA590}"/>
    <cellStyle name="SAPBEXexcGood2 2 3 2 14" xfId="10954" xr:uid="{DFE2C294-0A4C-4C4A-973C-AFBD3817A1BC}"/>
    <cellStyle name="SAPBEXexcGood2 2 3 2 14 2" xfId="10955" xr:uid="{EF798815-8F4B-4A6D-AF6F-2B263DC3E6E5}"/>
    <cellStyle name="SAPBEXexcGood2 2 3 2 15" xfId="10956" xr:uid="{07476883-59E2-48ED-A0BA-7873163E9795}"/>
    <cellStyle name="SAPBEXexcGood2 2 3 2 15 2" xfId="10957" xr:uid="{2895C040-4BF9-4743-8867-B2064E9D675F}"/>
    <cellStyle name="SAPBEXexcGood2 2 3 2 2" xfId="10958" xr:uid="{433A5BE5-57ED-4C97-BA17-C0332D2E0941}"/>
    <cellStyle name="SAPBEXexcGood2 2 3 2 2 2" xfId="10959" xr:uid="{B90E143F-7A7D-4EE3-AFCC-53CEE4362A20}"/>
    <cellStyle name="SAPBEXexcGood2 2 3 2 3" xfId="10960" xr:uid="{7547D0BA-B734-4B41-B11B-CD25EBCF15F4}"/>
    <cellStyle name="SAPBEXexcGood2 2 3 2 3 2" xfId="10961" xr:uid="{02A8D275-185C-4C86-A489-75F17F88D180}"/>
    <cellStyle name="SAPBEXexcGood2 2 3 2 4" xfId="10962" xr:uid="{9A1C8404-ECDD-4B9E-9B8D-05CDCBEF7B7B}"/>
    <cellStyle name="SAPBEXexcGood2 2 3 2 4 2" xfId="10963" xr:uid="{A94D0E1B-D03D-4E86-AE8A-8563B9A64E95}"/>
    <cellStyle name="SAPBEXexcGood2 2 3 2 5" xfId="10964" xr:uid="{93B9C3FE-FA9F-4979-9F67-AE41BBCFB1F2}"/>
    <cellStyle name="SAPBEXexcGood2 2 3 2 5 2" xfId="10965" xr:uid="{47FF6FBD-C891-459D-A78B-72EB0B51CE3E}"/>
    <cellStyle name="SAPBEXexcGood2 2 3 2 6" xfId="10966" xr:uid="{37D4F80B-A699-4B26-AEF3-357DC7F15F01}"/>
    <cellStyle name="SAPBEXexcGood2 2 3 2 6 2" xfId="10967" xr:uid="{AE7A4B4A-6FA0-46FF-80AA-1A06F7795DC7}"/>
    <cellStyle name="SAPBEXexcGood2 2 3 2 7" xfId="10968" xr:uid="{896679E8-34E7-4B06-8ADE-D2891DC2EB27}"/>
    <cellStyle name="SAPBEXexcGood2 2 3 2 7 2" xfId="10969" xr:uid="{57A160F4-31C0-4C48-9332-C0E212A9ED06}"/>
    <cellStyle name="SAPBEXexcGood2 2 3 2 8" xfId="10970" xr:uid="{F805BF03-12B9-4660-ABC3-C1D223E4C8D7}"/>
    <cellStyle name="SAPBEXexcGood2 2 3 2 8 2" xfId="10971" xr:uid="{E621F640-4192-4B2E-86EC-97728947DC8A}"/>
    <cellStyle name="SAPBEXexcGood2 2 3 2 9" xfId="10972" xr:uid="{B87F309C-BB9A-4021-9F7E-0BF92E389F76}"/>
    <cellStyle name="SAPBEXexcGood2 2 3 2 9 2" xfId="10973" xr:uid="{B50E197F-F53F-4609-A1C6-BD0F2E106EF6}"/>
    <cellStyle name="SAPBEXexcGood2 2 3 3" xfId="10974" xr:uid="{AB8C025A-003C-4E04-B92B-F818E1BB1432}"/>
    <cellStyle name="SAPBEXexcGood2 2 3 3 10" xfId="10975" xr:uid="{5E4CAD70-ABD8-434F-8372-EAA9FA9D4798}"/>
    <cellStyle name="SAPBEXexcGood2 2 3 3 10 2" xfId="10976" xr:uid="{C43912A4-ACD8-479D-A423-D61367B674D4}"/>
    <cellStyle name="SAPBEXexcGood2 2 3 3 11" xfId="10977" xr:uid="{43A1C04E-BAD8-41AE-AA18-3C5BBB22A56D}"/>
    <cellStyle name="SAPBEXexcGood2 2 3 3 11 2" xfId="10978" xr:uid="{F0BAF816-5671-434E-9DDC-4875D522171C}"/>
    <cellStyle name="SAPBEXexcGood2 2 3 3 12" xfId="10979" xr:uid="{75901FA6-0031-433B-99A1-24B52E4334B1}"/>
    <cellStyle name="SAPBEXexcGood2 2 3 3 12 2" xfId="10980" xr:uid="{2396F17D-1B0E-4B88-A0F4-B247606913EF}"/>
    <cellStyle name="SAPBEXexcGood2 2 3 3 13" xfId="10981" xr:uid="{F547C915-E52F-4908-8C6E-E14582D525B9}"/>
    <cellStyle name="SAPBEXexcGood2 2 3 3 13 2" xfId="10982" xr:uid="{1A1204F2-E393-45CC-B027-128A61EA0F53}"/>
    <cellStyle name="SAPBEXexcGood2 2 3 3 14" xfId="10983" xr:uid="{7791F4F7-7842-4CBE-BA98-AFC335B5E4BF}"/>
    <cellStyle name="SAPBEXexcGood2 2 3 3 14 2" xfId="10984" xr:uid="{95AAF5A3-9188-4A38-B173-B28E0708C7A7}"/>
    <cellStyle name="SAPBEXexcGood2 2 3 3 15" xfId="10985" xr:uid="{2DBA5848-E435-4799-9211-475FCA1193EF}"/>
    <cellStyle name="SAPBEXexcGood2 2 3 3 15 2" xfId="10986" xr:uid="{5FEE65C4-8311-4150-BA98-EED39F7D9F31}"/>
    <cellStyle name="SAPBEXexcGood2 2 3 3 2" xfId="10987" xr:uid="{5F98394E-6BB7-4033-B8B2-A79248E4F216}"/>
    <cellStyle name="SAPBEXexcGood2 2 3 3 2 2" xfId="10988" xr:uid="{DBF53A05-B36A-45AE-8581-1223D54857ED}"/>
    <cellStyle name="SAPBEXexcGood2 2 3 3 3" xfId="10989" xr:uid="{55B87D36-B2C9-46F9-84BC-7A4BFD6ADFE9}"/>
    <cellStyle name="SAPBEXexcGood2 2 3 3 3 2" xfId="10990" xr:uid="{5643E57F-37B8-47E2-B652-154329FEEF24}"/>
    <cellStyle name="SAPBEXexcGood2 2 3 3 4" xfId="10991" xr:uid="{B5929B7A-DB0F-404D-B595-F8982CBC4171}"/>
    <cellStyle name="SAPBEXexcGood2 2 3 3 4 2" xfId="10992" xr:uid="{3FB5961E-A007-4B01-A32F-8402899D2BF0}"/>
    <cellStyle name="SAPBEXexcGood2 2 3 3 5" xfId="10993" xr:uid="{17CC0D8E-5B85-4670-9F70-997295980961}"/>
    <cellStyle name="SAPBEXexcGood2 2 3 3 5 2" xfId="10994" xr:uid="{4B4AFBF8-F6FF-40BF-8D66-BF00F8B1E5BC}"/>
    <cellStyle name="SAPBEXexcGood2 2 3 3 6" xfId="10995" xr:uid="{D21043DC-62C9-4D4F-BF47-9C353B118101}"/>
    <cellStyle name="SAPBEXexcGood2 2 3 3 6 2" xfId="10996" xr:uid="{8E6D3932-1F1A-40D1-8CF2-4DCFBD5E54D4}"/>
    <cellStyle name="SAPBEXexcGood2 2 3 3 7" xfId="10997" xr:uid="{179EB6BE-0DAE-49E0-BF56-12F0834A7A98}"/>
    <cellStyle name="SAPBEXexcGood2 2 3 3 7 2" xfId="10998" xr:uid="{1DFC089A-7150-459B-B69E-8C4AC9A6496E}"/>
    <cellStyle name="SAPBEXexcGood2 2 3 3 8" xfId="10999" xr:uid="{7CD2EA9B-7D20-480D-8867-ED1E16E1807B}"/>
    <cellStyle name="SAPBEXexcGood2 2 3 3 8 2" xfId="11000" xr:uid="{B3E71678-F6C0-41C0-B921-EB053070C2BF}"/>
    <cellStyle name="SAPBEXexcGood2 2 3 3 9" xfId="11001" xr:uid="{638E9F08-F3D8-41D3-9606-06405BC46041}"/>
    <cellStyle name="SAPBEXexcGood2 2 3 3 9 2" xfId="11002" xr:uid="{F02D34F1-1B02-46FC-BB8C-DAB95C34A939}"/>
    <cellStyle name="SAPBEXexcGood2 2 3 4" xfId="11003" xr:uid="{76E3931F-1611-4D86-9A8D-3BFE4B986753}"/>
    <cellStyle name="SAPBEXexcGood2 2 3 4 2" xfId="11004" xr:uid="{64675E85-7F71-4073-B3C8-F4EFD2201D58}"/>
    <cellStyle name="SAPBEXexcGood2 2 3 5" xfId="11005" xr:uid="{C7BBF287-551D-457E-9184-DA6BF3B64F56}"/>
    <cellStyle name="SAPBEXexcGood2 2 3 5 2" xfId="11006" xr:uid="{42A9227F-BA50-4674-A186-C86AAA6281FF}"/>
    <cellStyle name="SAPBEXexcGood2 2 3 6" xfId="11007" xr:uid="{201F5448-AAD5-4CEE-8806-E52B71E30D45}"/>
    <cellStyle name="SAPBEXexcGood2 2 3 6 2" xfId="11008" xr:uid="{2731129C-3E9F-4141-9ED3-D4862102C7A4}"/>
    <cellStyle name="SAPBEXexcGood2 2 3 7" xfId="11009" xr:uid="{C4CA52B6-CFDC-4EBC-9ED1-313038111555}"/>
    <cellStyle name="SAPBEXexcGood2 2 3 7 2" xfId="11010" xr:uid="{AD1B23BC-30ED-4A2E-9F04-46482476B7F1}"/>
    <cellStyle name="SAPBEXexcGood2 2 3 8" xfId="11011" xr:uid="{91AA5E58-AF5C-4B04-915A-7CEDAF7D0759}"/>
    <cellStyle name="SAPBEXexcGood2 2 3 8 2" xfId="11012" xr:uid="{9A6F1DFD-027C-43A9-BC3F-8AE60D99BE4F}"/>
    <cellStyle name="SAPBEXexcGood2 2 3 9" xfId="11013" xr:uid="{BA6D3393-CCAE-463E-8B7F-466E93553676}"/>
    <cellStyle name="SAPBEXexcGood2 2 3 9 2" xfId="11014" xr:uid="{4FE65BE7-D5D8-4DC5-B5D8-0AFC7397F700}"/>
    <cellStyle name="SAPBEXexcGood2 2 4" xfId="11015" xr:uid="{792026D2-C85C-4D37-BD64-26077188492D}"/>
    <cellStyle name="SAPBEXexcGood2 2 4 10" xfId="11016" xr:uid="{3FAA1CC3-D7C8-4742-9E8D-9A252598C0D5}"/>
    <cellStyle name="SAPBEXexcGood2 2 4 10 2" xfId="11017" xr:uid="{954AC601-845B-4BA0-809A-18FF7F3482DD}"/>
    <cellStyle name="SAPBEXexcGood2 2 4 11" xfId="11018" xr:uid="{13711A4E-9D14-4F6A-B5BF-841DB58C2360}"/>
    <cellStyle name="SAPBEXexcGood2 2 4 11 2" xfId="11019" xr:uid="{64A38CAD-BBC8-4499-B32C-6FD7911F9C0D}"/>
    <cellStyle name="SAPBEXexcGood2 2 4 12" xfId="11020" xr:uid="{2EDD4BF5-50A3-420F-AAE5-9D1F5261CE8C}"/>
    <cellStyle name="SAPBEXexcGood2 2 4 12 2" xfId="11021" xr:uid="{25299D80-9F8A-4012-B507-1B49C2E4AA02}"/>
    <cellStyle name="SAPBEXexcGood2 2 4 13" xfId="11022" xr:uid="{F40C8C4D-36B2-44FF-8839-89EC98802DE1}"/>
    <cellStyle name="SAPBEXexcGood2 2 4 13 2" xfId="11023" xr:uid="{583CC851-8D6D-4070-B67F-7C07F7610C6A}"/>
    <cellStyle name="SAPBEXexcGood2 2 4 14" xfId="11024" xr:uid="{F2A381B8-30D2-44E0-BF5E-A405720D6521}"/>
    <cellStyle name="SAPBEXexcGood2 2 4 14 2" xfId="11025" xr:uid="{F6882B16-16F0-4614-9521-8C6B1841F592}"/>
    <cellStyle name="SAPBEXexcGood2 2 4 15" xfId="11026" xr:uid="{4009E101-358C-48AD-AECC-15B41BA0ABF6}"/>
    <cellStyle name="SAPBEXexcGood2 2 4 15 2" xfId="11027" xr:uid="{CAF1B605-2CE2-493E-B246-862BA6DB254F}"/>
    <cellStyle name="SAPBEXexcGood2 2 4 16" xfId="11028" xr:uid="{B4BC8DD8-196E-4C34-9AEA-F60DF5F2249F}"/>
    <cellStyle name="SAPBEXexcGood2 2 4 16 2" xfId="11029" xr:uid="{09C1B261-30C9-43CB-9160-20E029FDCB6C}"/>
    <cellStyle name="SAPBEXexcGood2 2 4 17" xfId="11030" xr:uid="{8BFDF8CC-9B5B-40EA-9F6D-6C9C674DC89F}"/>
    <cellStyle name="SAPBEXexcGood2 2 4 17 2" xfId="11031" xr:uid="{91219F67-3AB8-4B5C-8097-122791B0D049}"/>
    <cellStyle name="SAPBEXexcGood2 2 4 2" xfId="11032" xr:uid="{8D33D6DB-801D-4779-B5CF-C33B5AB7FDD8}"/>
    <cellStyle name="SAPBEXexcGood2 2 4 2 10" xfId="11033" xr:uid="{886E8DA0-935C-4CDB-A3DB-DF8A3ADB1E9F}"/>
    <cellStyle name="SAPBEXexcGood2 2 4 2 10 2" xfId="11034" xr:uid="{01E6E115-5BCE-4B1D-957A-67DB54EC3917}"/>
    <cellStyle name="SAPBEXexcGood2 2 4 2 11" xfId="11035" xr:uid="{78B45C06-4D82-46AD-BC06-BE9C654DB93A}"/>
    <cellStyle name="SAPBEXexcGood2 2 4 2 11 2" xfId="11036" xr:uid="{8A2A4041-6869-4F2D-AA34-FBBE57796BCD}"/>
    <cellStyle name="SAPBEXexcGood2 2 4 2 12" xfId="11037" xr:uid="{75430D71-9C27-4149-8C51-DE34E17E9C4C}"/>
    <cellStyle name="SAPBEXexcGood2 2 4 2 12 2" xfId="11038" xr:uid="{7DD74AFC-2B21-4D56-8210-EEACFB667F59}"/>
    <cellStyle name="SAPBEXexcGood2 2 4 2 13" xfId="11039" xr:uid="{DA45AF1B-DFE5-462C-9A23-C6F9F2F3C60C}"/>
    <cellStyle name="SAPBEXexcGood2 2 4 2 13 2" xfId="11040" xr:uid="{BE167076-AD6A-47D1-B0F4-9C2594C3BDA3}"/>
    <cellStyle name="SAPBEXexcGood2 2 4 2 14" xfId="11041" xr:uid="{8A84231A-0551-4AC9-9BCC-FA57725E0350}"/>
    <cellStyle name="SAPBEXexcGood2 2 4 2 14 2" xfId="11042" xr:uid="{254FBBD0-78DC-40F7-BC36-E0CCF8B60C8D}"/>
    <cellStyle name="SAPBEXexcGood2 2 4 2 15" xfId="11043" xr:uid="{7EEBCC58-7622-4738-B956-02C5A3AD79FB}"/>
    <cellStyle name="SAPBEXexcGood2 2 4 2 15 2" xfId="11044" xr:uid="{AE762803-486A-414C-A364-FF18F941FA3C}"/>
    <cellStyle name="SAPBEXexcGood2 2 4 2 2" xfId="11045" xr:uid="{35E9B647-2D50-46E3-9F29-FE9653E26C1F}"/>
    <cellStyle name="SAPBEXexcGood2 2 4 2 2 2" xfId="11046" xr:uid="{45863B6D-3BA1-4035-8483-8102843E0877}"/>
    <cellStyle name="SAPBEXexcGood2 2 4 2 3" xfId="11047" xr:uid="{AB002FDB-E93E-4613-B0DB-57EEE29A20E0}"/>
    <cellStyle name="SAPBEXexcGood2 2 4 2 3 2" xfId="11048" xr:uid="{34CA45F5-2176-40C1-B20D-78D3724C1A80}"/>
    <cellStyle name="SAPBEXexcGood2 2 4 2 4" xfId="11049" xr:uid="{236947D1-432D-4AC3-9455-50771C8A8016}"/>
    <cellStyle name="SAPBEXexcGood2 2 4 2 4 2" xfId="11050" xr:uid="{DBC19898-9830-4A4E-A68F-797306C405E7}"/>
    <cellStyle name="SAPBEXexcGood2 2 4 2 5" xfId="11051" xr:uid="{8AB7B8BE-7CF4-44CE-9C24-45CFCC2D1F8E}"/>
    <cellStyle name="SAPBEXexcGood2 2 4 2 5 2" xfId="11052" xr:uid="{764A7CCF-17AD-455D-9420-C39D03C906E0}"/>
    <cellStyle name="SAPBEXexcGood2 2 4 2 6" xfId="11053" xr:uid="{4AB7068A-A8C7-48FA-861F-AB83C20BC2FD}"/>
    <cellStyle name="SAPBEXexcGood2 2 4 2 6 2" xfId="11054" xr:uid="{96B24B5E-0E3F-4EFF-B1A8-3034CED131F7}"/>
    <cellStyle name="SAPBEXexcGood2 2 4 2 7" xfId="11055" xr:uid="{98F6010D-A9D3-404E-8177-569C130297C6}"/>
    <cellStyle name="SAPBEXexcGood2 2 4 2 7 2" xfId="11056" xr:uid="{143680D1-1BF5-490E-9AC8-6548A4D39416}"/>
    <cellStyle name="SAPBEXexcGood2 2 4 2 8" xfId="11057" xr:uid="{89E32ED8-C6B5-4D55-BADD-2DC65BCDAF23}"/>
    <cellStyle name="SAPBEXexcGood2 2 4 2 8 2" xfId="11058" xr:uid="{B7BC5781-81C1-475A-B8D5-A03B81FD240E}"/>
    <cellStyle name="SAPBEXexcGood2 2 4 2 9" xfId="11059" xr:uid="{32FE5C43-102B-448F-B205-8112A8F2BD9C}"/>
    <cellStyle name="SAPBEXexcGood2 2 4 2 9 2" xfId="11060" xr:uid="{C1AEAECC-0385-4F03-8896-AE289F73BBA0}"/>
    <cellStyle name="SAPBEXexcGood2 2 4 3" xfId="11061" xr:uid="{099D7C64-C196-422D-914E-62858B8CD03E}"/>
    <cellStyle name="SAPBEXexcGood2 2 4 3 10" xfId="11062" xr:uid="{07B31BD8-AB14-44A0-B397-C7584E7883DB}"/>
    <cellStyle name="SAPBEXexcGood2 2 4 3 10 2" xfId="11063" xr:uid="{B207A4AC-7304-4122-8A94-C8B7C83994AD}"/>
    <cellStyle name="SAPBEXexcGood2 2 4 3 11" xfId="11064" xr:uid="{127EE916-A5A6-4A38-A816-8BA717F34929}"/>
    <cellStyle name="SAPBEXexcGood2 2 4 3 11 2" xfId="11065" xr:uid="{B3005AB6-9DE7-4248-9267-7410AB2014F5}"/>
    <cellStyle name="SAPBEXexcGood2 2 4 3 12" xfId="11066" xr:uid="{E318020F-B903-4F7B-AB7A-6F596A49960B}"/>
    <cellStyle name="SAPBEXexcGood2 2 4 3 12 2" xfId="11067" xr:uid="{61E1E500-5BE0-46F8-9D29-D5F138A7FFF3}"/>
    <cellStyle name="SAPBEXexcGood2 2 4 3 13" xfId="11068" xr:uid="{C4F966F6-7441-43F0-B6A4-2718A3D836AC}"/>
    <cellStyle name="SAPBEXexcGood2 2 4 3 13 2" xfId="11069" xr:uid="{6958EAAC-9495-44B6-9492-ED5B8B820310}"/>
    <cellStyle name="SAPBEXexcGood2 2 4 3 14" xfId="11070" xr:uid="{AA4819DC-B7BE-4804-8430-CBFDA8E5F9E4}"/>
    <cellStyle name="SAPBEXexcGood2 2 4 3 14 2" xfId="11071" xr:uid="{20772AA6-3B45-4C7F-A5C3-9EADF2A181AE}"/>
    <cellStyle name="SAPBEXexcGood2 2 4 3 15" xfId="11072" xr:uid="{DD424AAF-266C-471F-964B-D30FAF2B555F}"/>
    <cellStyle name="SAPBEXexcGood2 2 4 3 15 2" xfId="11073" xr:uid="{C300EF0A-FED1-4F3E-8228-47D83F317DFA}"/>
    <cellStyle name="SAPBEXexcGood2 2 4 3 2" xfId="11074" xr:uid="{3A91F543-8B75-4A63-97AA-29460BEA0CC8}"/>
    <cellStyle name="SAPBEXexcGood2 2 4 3 2 2" xfId="11075" xr:uid="{FA3DAC25-193F-4435-946F-3F9E524F18B0}"/>
    <cellStyle name="SAPBEXexcGood2 2 4 3 3" xfId="11076" xr:uid="{637B025D-641A-42F8-8C9B-A52461624240}"/>
    <cellStyle name="SAPBEXexcGood2 2 4 3 3 2" xfId="11077" xr:uid="{D2BB50F9-AC4A-4999-957A-0058AA8008FA}"/>
    <cellStyle name="SAPBEXexcGood2 2 4 3 4" xfId="11078" xr:uid="{7A4846A3-4373-482A-8C2A-D478BBE77AFC}"/>
    <cellStyle name="SAPBEXexcGood2 2 4 3 4 2" xfId="11079" xr:uid="{8BCA102C-7683-4A0E-91A0-F4F556FC33E1}"/>
    <cellStyle name="SAPBEXexcGood2 2 4 3 5" xfId="11080" xr:uid="{E09142A8-A3F4-4572-8691-75E832E24F1A}"/>
    <cellStyle name="SAPBEXexcGood2 2 4 3 5 2" xfId="11081" xr:uid="{308B6AE1-8C81-409D-B6EE-82D05E85DF2B}"/>
    <cellStyle name="SAPBEXexcGood2 2 4 3 6" xfId="11082" xr:uid="{C53B490E-F652-4061-8B6F-A2E68C08EA67}"/>
    <cellStyle name="SAPBEXexcGood2 2 4 3 6 2" xfId="11083" xr:uid="{A90F87DC-2ECC-4E3F-8FE8-195A49551CED}"/>
    <cellStyle name="SAPBEXexcGood2 2 4 3 7" xfId="11084" xr:uid="{0D6B3423-AD2A-40C0-9D66-70F7D89A0CE4}"/>
    <cellStyle name="SAPBEXexcGood2 2 4 3 7 2" xfId="11085" xr:uid="{913BF077-9CAD-4684-9B10-B683CD5122F9}"/>
    <cellStyle name="SAPBEXexcGood2 2 4 3 8" xfId="11086" xr:uid="{C1492F34-1088-44EF-89D0-C4AB93AC388A}"/>
    <cellStyle name="SAPBEXexcGood2 2 4 3 8 2" xfId="11087" xr:uid="{155CA0CC-353E-4E67-A1C2-C9F5F855A8F8}"/>
    <cellStyle name="SAPBEXexcGood2 2 4 3 9" xfId="11088" xr:uid="{C0352AD5-BC87-4DC4-AFF5-1BD83142D22B}"/>
    <cellStyle name="SAPBEXexcGood2 2 4 3 9 2" xfId="11089" xr:uid="{70FC9400-BCDF-4B7A-B434-D355B3546573}"/>
    <cellStyle name="SAPBEXexcGood2 2 4 4" xfId="11090" xr:uid="{C6D749FD-7A7A-4E06-BCD5-6B0E8660F91A}"/>
    <cellStyle name="SAPBEXexcGood2 2 4 4 2" xfId="11091" xr:uid="{CCEB39F2-15D9-4864-8B1F-8BA2A12BCF05}"/>
    <cellStyle name="SAPBEXexcGood2 2 4 5" xfId="11092" xr:uid="{64AA5F89-45A9-4A6E-964C-889757E464DE}"/>
    <cellStyle name="SAPBEXexcGood2 2 4 5 2" xfId="11093" xr:uid="{2B0FF3E5-F381-4F3F-AFF6-14DDE36EC2F0}"/>
    <cellStyle name="SAPBEXexcGood2 2 4 6" xfId="11094" xr:uid="{56CD2EBC-6544-4657-BC14-33AEFF61A7E9}"/>
    <cellStyle name="SAPBEXexcGood2 2 4 6 2" xfId="11095" xr:uid="{A818808E-EEBD-4FEF-968E-97F7AE050A6E}"/>
    <cellStyle name="SAPBEXexcGood2 2 4 7" xfId="11096" xr:uid="{A25DA898-530D-4519-AD63-AD8DE4AEC04F}"/>
    <cellStyle name="SAPBEXexcGood2 2 4 7 2" xfId="11097" xr:uid="{A7FC274D-A473-42EC-8000-B9C3F2CF9FCE}"/>
    <cellStyle name="SAPBEXexcGood2 2 4 8" xfId="11098" xr:uid="{EEB9B91C-D001-40EF-AA21-C7AD25D1A32E}"/>
    <cellStyle name="SAPBEXexcGood2 2 4 8 2" xfId="11099" xr:uid="{EF0C31A2-6FF2-4BC6-A8B0-087702B38C2B}"/>
    <cellStyle name="SAPBEXexcGood2 2 4 9" xfId="11100" xr:uid="{059E42B4-D1E8-4086-BC04-D23FF65E649E}"/>
    <cellStyle name="SAPBEXexcGood2 2 4 9 2" xfId="11101" xr:uid="{C2AFD98D-CF8A-42D9-979A-DB9D3B2C482F}"/>
    <cellStyle name="SAPBEXexcGood2 2 5" xfId="11102" xr:uid="{381DCECC-F70E-48F5-B834-8C4912BA5FBE}"/>
    <cellStyle name="SAPBEXexcGood2 2 5 2" xfId="11103" xr:uid="{02EA6292-1075-44D9-8C83-0C59FA7A1697}"/>
    <cellStyle name="SAPBEXexcGood2 2 6" xfId="11104" xr:uid="{D62D62B1-7F84-4927-8A8A-C45989B3F39B}"/>
    <cellStyle name="SAPBEXexcGood2 2 6 2" xfId="11105" xr:uid="{863ADC4D-E5B6-473D-85EA-3CF63C142005}"/>
    <cellStyle name="SAPBEXexcGood2 2 7" xfId="11106" xr:uid="{3503CCA0-EB99-4157-9B59-76E7A95C6FB3}"/>
    <cellStyle name="SAPBEXexcGood2 2 7 2" xfId="11107" xr:uid="{B575F4D0-BFC8-4473-BB4A-482F3188BC8F}"/>
    <cellStyle name="SAPBEXexcGood2 2 8" xfId="11108" xr:uid="{6D446262-5611-4B74-A9A2-4161386AD609}"/>
    <cellStyle name="SAPBEXexcGood2 2 8 2" xfId="11109" xr:uid="{070BF5CC-44DB-44C0-BB23-253576C1AA25}"/>
    <cellStyle name="SAPBEXexcGood2 2 9" xfId="11110" xr:uid="{2ACA8AF5-3F34-4113-A387-3178784C2981}"/>
    <cellStyle name="SAPBEXexcGood2 2 9 2" xfId="11111" xr:uid="{3FAD4E59-7B5E-428D-B3CB-ABED808EF7AF}"/>
    <cellStyle name="SAPBEXexcGood2 2_T1 ANSP" xfId="10822" xr:uid="{8A86B551-5EB9-414A-B0F0-6EBC7E4DE30D}"/>
    <cellStyle name="SAPBEXexcGood2 20" xfId="11112" xr:uid="{AE48DD35-D698-4AB1-89BE-BBE57C40BEDB}"/>
    <cellStyle name="SAPBEXexcGood2 3" xfId="1511" xr:uid="{00000000-0005-0000-0000-000077050000}"/>
    <cellStyle name="SAPBEXexcGood2 3 10" xfId="11114" xr:uid="{11D838D7-2207-4007-8CA2-D3C02192C551}"/>
    <cellStyle name="SAPBEXexcGood2 3 10 2" xfId="11115" xr:uid="{CEE08F4A-03F4-4C77-B2F4-DCB3FF452D92}"/>
    <cellStyle name="SAPBEXexcGood2 3 11" xfId="11116" xr:uid="{66219A3A-7115-4CEE-86A3-56BFDDB33196}"/>
    <cellStyle name="SAPBEXexcGood2 3 11 2" xfId="11117" xr:uid="{4CD49C2B-51F5-48EB-909A-DB1FA8D37586}"/>
    <cellStyle name="SAPBEXexcGood2 3 12" xfId="11118" xr:uid="{46D07E9E-E017-4064-AC8C-70E4AA3A47AA}"/>
    <cellStyle name="SAPBEXexcGood2 3 12 2" xfId="11119" xr:uid="{1AB6D114-1E5D-48B3-9742-2659A86AC0B3}"/>
    <cellStyle name="SAPBEXexcGood2 3 13" xfId="11120" xr:uid="{8E904CE3-7C93-4F98-83C2-D00BAA471C7F}"/>
    <cellStyle name="SAPBEXexcGood2 3 13 2" xfId="11121" xr:uid="{6132DFE5-EB9B-43D6-B1ED-DB5F2C30F0D8}"/>
    <cellStyle name="SAPBEXexcGood2 3 14" xfId="11122" xr:uid="{0E10DA2B-43BB-4313-A9B2-C7DB4D1B98D3}"/>
    <cellStyle name="SAPBEXexcGood2 3 14 2" xfId="11123" xr:uid="{1A3CB275-3BB6-4782-B4C2-4BA792912511}"/>
    <cellStyle name="SAPBEXexcGood2 3 15" xfId="11124" xr:uid="{80EAAF58-0474-446D-86ED-173B11851D60}"/>
    <cellStyle name="SAPBEXexcGood2 3 15 2" xfId="11125" xr:uid="{8BC27ADD-E381-44A6-B91B-07D63954D959}"/>
    <cellStyle name="SAPBEXexcGood2 3 16" xfId="11126" xr:uid="{B00EB335-DC83-41CB-8194-E3F33A906D91}"/>
    <cellStyle name="SAPBEXexcGood2 3 16 2" xfId="11127" xr:uid="{B62CA606-5AB5-4647-8F6F-C5B4D47CDA71}"/>
    <cellStyle name="SAPBEXexcGood2 3 17" xfId="11128" xr:uid="{B918E3CC-47D6-4B98-A7D4-01C792D2DBFF}"/>
    <cellStyle name="SAPBEXexcGood2 3 17 2" xfId="11129" xr:uid="{B383DC41-F241-4ED1-86A5-1F84BDCACB25}"/>
    <cellStyle name="SAPBEXexcGood2 3 18" xfId="11130" xr:uid="{F14F3457-40CD-439C-A984-252C3AABC19B}"/>
    <cellStyle name="SAPBEXexcGood2 3 2" xfId="11131" xr:uid="{EB0A9E42-2CFE-4806-BCDF-55A20DE9F359}"/>
    <cellStyle name="SAPBEXexcGood2 3 2 10" xfId="11132" xr:uid="{F3E14530-4846-4A36-8CCC-5B45BB5B599A}"/>
    <cellStyle name="SAPBEXexcGood2 3 2 10 2" xfId="11133" xr:uid="{20C8701B-0E28-46E1-A0BE-9865AC659DAB}"/>
    <cellStyle name="SAPBEXexcGood2 3 2 11" xfId="11134" xr:uid="{856EA66A-4CC8-49E2-B6BB-3DE6091C1F6B}"/>
    <cellStyle name="SAPBEXexcGood2 3 2 11 2" xfId="11135" xr:uid="{DAC41022-7735-4125-99FF-9FC04D49251B}"/>
    <cellStyle name="SAPBEXexcGood2 3 2 12" xfId="11136" xr:uid="{7A6F0A9D-FDF4-4AD2-984C-BF11CB2BE5AA}"/>
    <cellStyle name="SAPBEXexcGood2 3 2 12 2" xfId="11137" xr:uid="{B1BB1464-FEF9-45A9-A706-E05473910024}"/>
    <cellStyle name="SAPBEXexcGood2 3 2 13" xfId="11138" xr:uid="{5006E1C1-103D-421F-93A8-97BD5E16559F}"/>
    <cellStyle name="SAPBEXexcGood2 3 2 13 2" xfId="11139" xr:uid="{F09E4075-2F31-461B-9401-EF87C96DFAE2}"/>
    <cellStyle name="SAPBEXexcGood2 3 2 14" xfId="11140" xr:uid="{83887A23-6CF7-4E5F-B23C-7B965208EAFD}"/>
    <cellStyle name="SAPBEXexcGood2 3 2 14 2" xfId="11141" xr:uid="{59409865-CEB4-422F-8C4E-3294CB5426AB}"/>
    <cellStyle name="SAPBEXexcGood2 3 2 15" xfId="11142" xr:uid="{81F006F0-46FD-4709-A0EF-B2656C686FD1}"/>
    <cellStyle name="SAPBEXexcGood2 3 2 15 2" xfId="11143" xr:uid="{9C34AFE9-911B-4667-9402-EAD874CC8186}"/>
    <cellStyle name="SAPBEXexcGood2 3 2 16" xfId="11144" xr:uid="{51EE71B6-2794-406A-81E8-307E1CBD99E7}"/>
    <cellStyle name="SAPBEXexcGood2 3 2 2" xfId="11145" xr:uid="{1BFA2EA8-9236-4B3C-A069-70600A355305}"/>
    <cellStyle name="SAPBEXexcGood2 3 2 2 2" xfId="11146" xr:uid="{7AB2E9BD-259C-430F-8DE2-5B4B1FDE3026}"/>
    <cellStyle name="SAPBEXexcGood2 3 2 3" xfId="11147" xr:uid="{EE9F9D6B-EA57-41DD-A3A6-F7A825BD7B03}"/>
    <cellStyle name="SAPBEXexcGood2 3 2 3 2" xfId="11148" xr:uid="{7ED81118-453D-427B-9668-5BE8D3BA96EE}"/>
    <cellStyle name="SAPBEXexcGood2 3 2 4" xfId="11149" xr:uid="{DA9B9947-0A9C-4D9C-B0F5-766BD2EA3E05}"/>
    <cellStyle name="SAPBEXexcGood2 3 2 4 2" xfId="11150" xr:uid="{55146E3D-2827-40B2-AA75-329BAA39C95D}"/>
    <cellStyle name="SAPBEXexcGood2 3 2 5" xfId="11151" xr:uid="{7EECA80A-4F73-4F33-9BC4-DF8CAC917D5C}"/>
    <cellStyle name="SAPBEXexcGood2 3 2 5 2" xfId="11152" xr:uid="{83E9B9A0-B156-42AF-A695-1AEDF7AFA694}"/>
    <cellStyle name="SAPBEXexcGood2 3 2 6" xfId="11153" xr:uid="{13ABB38E-5B43-4AA9-B08C-21D1EDA9FBDB}"/>
    <cellStyle name="SAPBEXexcGood2 3 2 6 2" xfId="11154" xr:uid="{C55DEFE7-5F80-46DA-BFAD-C304A1F302AC}"/>
    <cellStyle name="SAPBEXexcGood2 3 2 7" xfId="11155" xr:uid="{E82F8066-EB51-4521-BC3B-FCAC98ACCA9E}"/>
    <cellStyle name="SAPBEXexcGood2 3 2 7 2" xfId="11156" xr:uid="{C765CA37-B696-4BA7-B97F-7492E7929584}"/>
    <cellStyle name="SAPBEXexcGood2 3 2 8" xfId="11157" xr:uid="{12232039-337B-45EC-A40C-C5A0B32E43BC}"/>
    <cellStyle name="SAPBEXexcGood2 3 2 8 2" xfId="11158" xr:uid="{AF3D3633-CB90-43AF-A86A-1BF3EFAED02B}"/>
    <cellStyle name="SAPBEXexcGood2 3 2 9" xfId="11159" xr:uid="{AA210A1A-BAD9-4D44-9AE9-89D34922D012}"/>
    <cellStyle name="SAPBEXexcGood2 3 2 9 2" xfId="11160" xr:uid="{41F58F98-E420-441A-8B82-85E051BF2B35}"/>
    <cellStyle name="SAPBEXexcGood2 3 3" xfId="11161" xr:uid="{08039FAF-1B59-41ED-843C-077525AFD27A}"/>
    <cellStyle name="SAPBEXexcGood2 3 3 10" xfId="11162" xr:uid="{2C46C7BA-C177-4E10-A7B5-F33ADAD36CAF}"/>
    <cellStyle name="SAPBEXexcGood2 3 3 10 2" xfId="11163" xr:uid="{AAA1E67F-6113-466D-88EA-EF107E602FA6}"/>
    <cellStyle name="SAPBEXexcGood2 3 3 11" xfId="11164" xr:uid="{996F80E4-0BD9-4B4D-AEE0-F2E6BAA43C7F}"/>
    <cellStyle name="SAPBEXexcGood2 3 3 11 2" xfId="11165" xr:uid="{60F37665-6706-49EC-AED7-53743415513A}"/>
    <cellStyle name="SAPBEXexcGood2 3 3 12" xfId="11166" xr:uid="{D4661735-8EAF-4D9A-B52A-38315F0EC067}"/>
    <cellStyle name="SAPBEXexcGood2 3 3 12 2" xfId="11167" xr:uid="{BB16D67A-3106-4E64-8E1D-CF856A3F709D}"/>
    <cellStyle name="SAPBEXexcGood2 3 3 13" xfId="11168" xr:uid="{AA5399AE-5E26-4012-A0FC-22809DB607A4}"/>
    <cellStyle name="SAPBEXexcGood2 3 3 13 2" xfId="11169" xr:uid="{57F38223-B6E7-4149-9BDA-FEBCAC5137E1}"/>
    <cellStyle name="SAPBEXexcGood2 3 3 14" xfId="11170" xr:uid="{9EEFACDF-5BD3-40EF-99E2-EEDA5238B863}"/>
    <cellStyle name="SAPBEXexcGood2 3 3 14 2" xfId="11171" xr:uid="{7CC8F731-CB70-4EEE-99CE-BB209184E5F0}"/>
    <cellStyle name="SAPBEXexcGood2 3 3 15" xfId="11172" xr:uid="{2947BAF9-F7F6-465E-9D86-09A03CEF1E65}"/>
    <cellStyle name="SAPBEXexcGood2 3 3 15 2" xfId="11173" xr:uid="{63F9AB4B-A02F-4B4C-B957-2C2E1CE2333F}"/>
    <cellStyle name="SAPBEXexcGood2 3 3 16" xfId="11174" xr:uid="{ED62CFE1-8C89-4F7C-86DC-C9772A4624AE}"/>
    <cellStyle name="SAPBEXexcGood2 3 3 2" xfId="11175" xr:uid="{32958222-5183-42A5-9508-FE9E0636AF4D}"/>
    <cellStyle name="SAPBEXexcGood2 3 3 2 2" xfId="11176" xr:uid="{E8FAE75D-E361-4D44-9003-5D283E4E3B06}"/>
    <cellStyle name="SAPBEXexcGood2 3 3 3" xfId="11177" xr:uid="{78971E03-A39F-4B7C-81E3-C6B8E702709C}"/>
    <cellStyle name="SAPBEXexcGood2 3 3 3 2" xfId="11178" xr:uid="{AEB62E11-5B6B-4E7E-9141-52F146835132}"/>
    <cellStyle name="SAPBEXexcGood2 3 3 4" xfId="11179" xr:uid="{6789422D-FF38-4672-A6D2-39AA3C0D09E0}"/>
    <cellStyle name="SAPBEXexcGood2 3 3 4 2" xfId="11180" xr:uid="{31690752-343D-472A-BF01-DF14339E9D7C}"/>
    <cellStyle name="SAPBEXexcGood2 3 3 5" xfId="11181" xr:uid="{2766B3AF-12D8-4048-9DEA-76A3CD9A9224}"/>
    <cellStyle name="SAPBEXexcGood2 3 3 5 2" xfId="11182" xr:uid="{323262BE-9693-4311-82DC-0CF59D8FCDD7}"/>
    <cellStyle name="SAPBEXexcGood2 3 3 6" xfId="11183" xr:uid="{835FE9A4-43D7-404E-8381-EB7F3938CEE5}"/>
    <cellStyle name="SAPBEXexcGood2 3 3 6 2" xfId="11184" xr:uid="{A0B420B2-594D-4B57-B8CF-889BD25AD901}"/>
    <cellStyle name="SAPBEXexcGood2 3 3 7" xfId="11185" xr:uid="{966BB039-A246-49E1-9875-6BA4398B1E23}"/>
    <cellStyle name="SAPBEXexcGood2 3 3 7 2" xfId="11186" xr:uid="{2916FB32-DD47-4034-8C25-E8017BE2D9F0}"/>
    <cellStyle name="SAPBEXexcGood2 3 3 8" xfId="11187" xr:uid="{B11CE6B6-0C20-4F88-8FF2-F734E4750C53}"/>
    <cellStyle name="SAPBEXexcGood2 3 3 8 2" xfId="11188" xr:uid="{9BF162B7-E025-4345-A50D-8EECBEB16B29}"/>
    <cellStyle name="SAPBEXexcGood2 3 3 9" xfId="11189" xr:uid="{D3D43510-E6CE-4E5E-A341-277B93263637}"/>
    <cellStyle name="SAPBEXexcGood2 3 3 9 2" xfId="11190" xr:uid="{43986B1E-EFD2-4578-9E68-335FA7189098}"/>
    <cellStyle name="SAPBEXexcGood2 3 4" xfId="11191" xr:uid="{A8E7A801-CEB7-4987-B8AF-B853F69E9293}"/>
    <cellStyle name="SAPBEXexcGood2 3 4 2" xfId="11192" xr:uid="{4D4759F5-4C2E-4C26-8C3D-127CB7F2ACF8}"/>
    <cellStyle name="SAPBEXexcGood2 3 5" xfId="11193" xr:uid="{222010BD-84CC-4A1D-B1D5-4F4FA6E6176C}"/>
    <cellStyle name="SAPBEXexcGood2 3 5 2" xfId="11194" xr:uid="{9FE3D599-64A4-4325-B731-690769820D98}"/>
    <cellStyle name="SAPBEXexcGood2 3 6" xfId="11195" xr:uid="{C4339D01-4352-4DC8-86B2-D8D53C951AE1}"/>
    <cellStyle name="SAPBEXexcGood2 3 6 2" xfId="11196" xr:uid="{93707DE8-7F69-4416-8705-5CA0C1DD2A1E}"/>
    <cellStyle name="SAPBEXexcGood2 3 7" xfId="11197" xr:uid="{5E241962-AA40-42D3-BDE2-5A7B90579A4E}"/>
    <cellStyle name="SAPBEXexcGood2 3 7 2" xfId="11198" xr:uid="{6597E99A-830A-418A-AB1A-86415247DF57}"/>
    <cellStyle name="SAPBEXexcGood2 3 8" xfId="11199" xr:uid="{95327717-BAB9-491F-834C-437A9E086354}"/>
    <cellStyle name="SAPBEXexcGood2 3 8 2" xfId="11200" xr:uid="{3CC34ACE-5695-43B2-A065-F6A9F7303A44}"/>
    <cellStyle name="SAPBEXexcGood2 3 9" xfId="11201" xr:uid="{2B247148-F2A5-494A-B277-EA808D2BCD72}"/>
    <cellStyle name="SAPBEXexcGood2 3 9 2" xfId="11202" xr:uid="{5C98E16C-22ED-4C05-A9B5-F4A7AC5248D6}"/>
    <cellStyle name="SAPBEXexcGood2 3_T1 ANSP" xfId="11113" xr:uid="{A231270D-1448-4AA5-9C0E-9C351B42E26C}"/>
    <cellStyle name="SAPBEXexcGood2 4" xfId="11203" xr:uid="{0D766D9C-6137-48A2-BD25-6DD6150B4F65}"/>
    <cellStyle name="SAPBEXexcGood2 4 10" xfId="11204" xr:uid="{EB94DF7C-2C79-448A-8B25-F41077E3C71A}"/>
    <cellStyle name="SAPBEXexcGood2 4 10 2" xfId="11205" xr:uid="{3834EDE3-D643-44EE-9819-D9EA8A2C59EB}"/>
    <cellStyle name="SAPBEXexcGood2 4 11" xfId="11206" xr:uid="{28AB819E-9DE7-4345-81ED-D097A5514FBE}"/>
    <cellStyle name="SAPBEXexcGood2 4 11 2" xfId="11207" xr:uid="{60188AD8-AD79-4F52-B807-B4B148ACDC2E}"/>
    <cellStyle name="SAPBEXexcGood2 4 12" xfId="11208" xr:uid="{958561DC-0185-48E3-B9C7-3CCBD3DDD887}"/>
    <cellStyle name="SAPBEXexcGood2 4 12 2" xfId="11209" xr:uid="{4D31AA8D-17CB-46EF-89BB-E38E231699FA}"/>
    <cellStyle name="SAPBEXexcGood2 4 13" xfId="11210" xr:uid="{B482F4ED-648F-4589-9F10-DB6E73CCC571}"/>
    <cellStyle name="SAPBEXexcGood2 4 13 2" xfId="11211" xr:uid="{B6D80951-0931-44BB-B4A4-23902704D94C}"/>
    <cellStyle name="SAPBEXexcGood2 4 14" xfId="11212" xr:uid="{19A6E722-9E6B-45C4-B1B4-F8F5FEF0AE01}"/>
    <cellStyle name="SAPBEXexcGood2 4 14 2" xfId="11213" xr:uid="{44C448C8-4C85-4649-B4BA-90FE72E822FA}"/>
    <cellStyle name="SAPBEXexcGood2 4 15" xfId="11214" xr:uid="{B58F1A07-D8C7-4A0A-9E5E-8F1F6BC0765B}"/>
    <cellStyle name="SAPBEXexcGood2 4 15 2" xfId="11215" xr:uid="{C3569630-04CF-4BE0-BBAB-3D382458D901}"/>
    <cellStyle name="SAPBEXexcGood2 4 16" xfId="11216" xr:uid="{4EBF9388-430A-4BBD-927E-BFF321370CB0}"/>
    <cellStyle name="SAPBEXexcGood2 4 16 2" xfId="11217" xr:uid="{B5CD8222-44DB-4D8C-9C74-A9BE13581522}"/>
    <cellStyle name="SAPBEXexcGood2 4 17" xfId="11218" xr:uid="{EC5C8036-442F-4707-A7AF-15CE907C6358}"/>
    <cellStyle name="SAPBEXexcGood2 4 17 2" xfId="11219" xr:uid="{908DFA54-93F6-4051-A2AE-7FFB57031E55}"/>
    <cellStyle name="SAPBEXexcGood2 4 18" xfId="11220" xr:uid="{073A9EEB-68EF-4374-BCA2-62C98C742EDE}"/>
    <cellStyle name="SAPBEXexcGood2 4 2" xfId="11221" xr:uid="{CC6F83FD-A482-4220-B603-A5B4BFA9DEDB}"/>
    <cellStyle name="SAPBEXexcGood2 4 2 10" xfId="11222" xr:uid="{804216CA-601E-4C1A-90F8-7CCB2EF3A800}"/>
    <cellStyle name="SAPBEXexcGood2 4 2 10 2" xfId="11223" xr:uid="{FE48FDF2-5619-4DA3-BB9E-D4A99EC34593}"/>
    <cellStyle name="SAPBEXexcGood2 4 2 11" xfId="11224" xr:uid="{9593EB60-64D8-44B6-9553-06663DAFADA0}"/>
    <cellStyle name="SAPBEXexcGood2 4 2 11 2" xfId="11225" xr:uid="{2AC0D12D-6AD5-4495-B5ED-9E0FF6CF68B2}"/>
    <cellStyle name="SAPBEXexcGood2 4 2 12" xfId="11226" xr:uid="{B405B51F-2AD1-40A3-B061-C136609C5B76}"/>
    <cellStyle name="SAPBEXexcGood2 4 2 12 2" xfId="11227" xr:uid="{8C6C3B21-AC92-4D6C-A048-9F04892E347A}"/>
    <cellStyle name="SAPBEXexcGood2 4 2 13" xfId="11228" xr:uid="{7243118F-8E6B-4695-A584-A114FCCBC629}"/>
    <cellStyle name="SAPBEXexcGood2 4 2 13 2" xfId="11229" xr:uid="{50A6EDDD-B05A-4198-AD2C-B6936E36975E}"/>
    <cellStyle name="SAPBEXexcGood2 4 2 14" xfId="11230" xr:uid="{5B6EA72D-8DDC-4695-AEA3-CEFD0073E822}"/>
    <cellStyle name="SAPBEXexcGood2 4 2 14 2" xfId="11231" xr:uid="{C22AE44C-1DD7-4A46-9A63-3D34C426C28A}"/>
    <cellStyle name="SAPBEXexcGood2 4 2 15" xfId="11232" xr:uid="{E0113FBB-6DA4-408B-B1A2-823CE56477F5}"/>
    <cellStyle name="SAPBEXexcGood2 4 2 15 2" xfId="11233" xr:uid="{26BA4587-0194-4FC1-AF56-DA1D45E6C894}"/>
    <cellStyle name="SAPBEXexcGood2 4 2 16" xfId="11234" xr:uid="{33B17804-C50F-4A68-8819-9C270818E0E9}"/>
    <cellStyle name="SAPBEXexcGood2 4 2 2" xfId="11235" xr:uid="{45B7DC23-3FD2-47AC-BD77-2ACEEFEA62DF}"/>
    <cellStyle name="SAPBEXexcGood2 4 2 2 2" xfId="11236" xr:uid="{2530A5F9-4D5D-4B79-9AE6-C974A6C9466C}"/>
    <cellStyle name="SAPBEXexcGood2 4 2 3" xfId="11237" xr:uid="{4F81D380-BEF0-4FAC-A793-6A165B77EE23}"/>
    <cellStyle name="SAPBEXexcGood2 4 2 3 2" xfId="11238" xr:uid="{3DE880BF-001B-4488-B6DC-3F291482590A}"/>
    <cellStyle name="SAPBEXexcGood2 4 2 4" xfId="11239" xr:uid="{5AB26148-81A4-40CD-BBBE-47ADA2F67FA9}"/>
    <cellStyle name="SAPBEXexcGood2 4 2 4 2" xfId="11240" xr:uid="{50D540C4-DF79-4BB7-B52C-5AE7231F1D9C}"/>
    <cellStyle name="SAPBEXexcGood2 4 2 5" xfId="11241" xr:uid="{E4AF2711-808A-42E5-9ED6-4CE571830034}"/>
    <cellStyle name="SAPBEXexcGood2 4 2 5 2" xfId="11242" xr:uid="{0EF0C859-02DE-4E1B-851B-01E63BC18C5F}"/>
    <cellStyle name="SAPBEXexcGood2 4 2 6" xfId="11243" xr:uid="{B9247585-8C4D-454A-92F6-BC6CE297F277}"/>
    <cellStyle name="SAPBEXexcGood2 4 2 6 2" xfId="11244" xr:uid="{9C91D7C9-6B75-46C3-B98D-712AA67CA09F}"/>
    <cellStyle name="SAPBEXexcGood2 4 2 7" xfId="11245" xr:uid="{BF84E10E-7258-4FC6-9739-7D453678B25E}"/>
    <cellStyle name="SAPBEXexcGood2 4 2 7 2" xfId="11246" xr:uid="{EC0BB241-618A-43F7-B245-6A41F80EFE7B}"/>
    <cellStyle name="SAPBEXexcGood2 4 2 8" xfId="11247" xr:uid="{4AFFB642-BF0E-432C-BDD5-CBB1CE0E24D9}"/>
    <cellStyle name="SAPBEXexcGood2 4 2 8 2" xfId="11248" xr:uid="{3FF5EB50-A114-4362-8AC1-10247FD12BA1}"/>
    <cellStyle name="SAPBEXexcGood2 4 2 9" xfId="11249" xr:uid="{3AA55075-9EE1-45F6-B151-5F68B48770BD}"/>
    <cellStyle name="SAPBEXexcGood2 4 2 9 2" xfId="11250" xr:uid="{85F3A77C-1E76-4BD6-8D8F-DB8D390B3A05}"/>
    <cellStyle name="SAPBEXexcGood2 4 3" xfId="11251" xr:uid="{5ADC8B3C-60FF-40F8-9D4A-25960D25B33D}"/>
    <cellStyle name="SAPBEXexcGood2 4 3 10" xfId="11252" xr:uid="{C521E72E-40B5-4EB3-A7A6-4F873F5835E2}"/>
    <cellStyle name="SAPBEXexcGood2 4 3 10 2" xfId="11253" xr:uid="{173DEEAA-7E07-4301-BE88-77FDC17E43B4}"/>
    <cellStyle name="SAPBEXexcGood2 4 3 11" xfId="11254" xr:uid="{F11CA28D-2C8A-4D75-B038-373F1A491F10}"/>
    <cellStyle name="SAPBEXexcGood2 4 3 11 2" xfId="11255" xr:uid="{C5F8910D-3E2B-404F-A897-D0D97B9F080B}"/>
    <cellStyle name="SAPBEXexcGood2 4 3 12" xfId="11256" xr:uid="{241A7668-32EE-43E9-8582-AA3864D0D987}"/>
    <cellStyle name="SAPBEXexcGood2 4 3 12 2" xfId="11257" xr:uid="{B74CC641-30FD-4644-A773-376409AE2F69}"/>
    <cellStyle name="SAPBEXexcGood2 4 3 13" xfId="11258" xr:uid="{F553A08F-2D0F-4EFF-AC89-D45D39779B0E}"/>
    <cellStyle name="SAPBEXexcGood2 4 3 13 2" xfId="11259" xr:uid="{B046555D-07BD-4D85-85F3-CB2FDF4180D2}"/>
    <cellStyle name="SAPBEXexcGood2 4 3 14" xfId="11260" xr:uid="{13422A48-3A09-4CC6-AD56-50EF1BD091EB}"/>
    <cellStyle name="SAPBEXexcGood2 4 3 14 2" xfId="11261" xr:uid="{32EEA777-6A3A-423E-9274-928D3D2B7612}"/>
    <cellStyle name="SAPBEXexcGood2 4 3 15" xfId="11262" xr:uid="{599C6CA0-4BC9-46B6-8054-D53997EAC677}"/>
    <cellStyle name="SAPBEXexcGood2 4 3 15 2" xfId="11263" xr:uid="{FE306CAE-A58E-495D-901F-31E4E54271DA}"/>
    <cellStyle name="SAPBEXexcGood2 4 3 16" xfId="11264" xr:uid="{A2888AA1-8D7A-44FD-AA04-189795A69BFB}"/>
    <cellStyle name="SAPBEXexcGood2 4 3 2" xfId="11265" xr:uid="{DBBF82EE-C4F6-4ECF-A3F2-C12214EC799A}"/>
    <cellStyle name="SAPBEXexcGood2 4 3 2 2" xfId="11266" xr:uid="{EFF7B9BB-1B1F-4231-B53F-1C155BE3EB52}"/>
    <cellStyle name="SAPBEXexcGood2 4 3 3" xfId="11267" xr:uid="{82EE037C-9163-400E-AAC8-88BFED61AD86}"/>
    <cellStyle name="SAPBEXexcGood2 4 3 3 2" xfId="11268" xr:uid="{13EEF83C-60BB-4090-A655-D29B27FE9087}"/>
    <cellStyle name="SAPBEXexcGood2 4 3 4" xfId="11269" xr:uid="{1579B8D7-EFEB-4EF0-B2D1-41934590BB56}"/>
    <cellStyle name="SAPBEXexcGood2 4 3 4 2" xfId="11270" xr:uid="{7FE9D11F-19E7-4BF8-821F-E3F794121435}"/>
    <cellStyle name="SAPBEXexcGood2 4 3 5" xfId="11271" xr:uid="{9142401E-5BFC-4592-B2C5-E1F3B336988E}"/>
    <cellStyle name="SAPBEXexcGood2 4 3 5 2" xfId="11272" xr:uid="{01BAC726-E6B3-4F13-B6C3-01F3347AC1F8}"/>
    <cellStyle name="SAPBEXexcGood2 4 3 6" xfId="11273" xr:uid="{92FFF7AA-535D-4567-B079-BCF08837DC5D}"/>
    <cellStyle name="SAPBEXexcGood2 4 3 6 2" xfId="11274" xr:uid="{74A7F090-805C-4DFB-A8DE-D80449043888}"/>
    <cellStyle name="SAPBEXexcGood2 4 3 7" xfId="11275" xr:uid="{8C3E235E-2E89-4023-BDB9-CB15A8ABAB70}"/>
    <cellStyle name="SAPBEXexcGood2 4 3 7 2" xfId="11276" xr:uid="{494F2AAA-EDBF-4299-8055-3221769E5681}"/>
    <cellStyle name="SAPBEXexcGood2 4 3 8" xfId="11277" xr:uid="{A26B1E3C-023B-4A84-B405-88DDB60ABB33}"/>
    <cellStyle name="SAPBEXexcGood2 4 3 8 2" xfId="11278" xr:uid="{EC3E6BC1-8BB7-4413-B759-4BCB57F15409}"/>
    <cellStyle name="SAPBEXexcGood2 4 3 9" xfId="11279" xr:uid="{475A2CAF-A8E4-455C-A5F3-CC971582A40C}"/>
    <cellStyle name="SAPBEXexcGood2 4 3 9 2" xfId="11280" xr:uid="{E462DCBA-2215-4F61-BAD1-6A975305470E}"/>
    <cellStyle name="SAPBEXexcGood2 4 4" xfId="11281" xr:uid="{6854A4CF-CCB4-41D9-9DF7-AD9D0A04ED15}"/>
    <cellStyle name="SAPBEXexcGood2 4 4 2" xfId="11282" xr:uid="{CE0924F6-618B-4658-BA69-D13D09401143}"/>
    <cellStyle name="SAPBEXexcGood2 4 5" xfId="11283" xr:uid="{0E50A02D-F09D-4327-9EC9-AED55307ECC6}"/>
    <cellStyle name="SAPBEXexcGood2 4 5 2" xfId="11284" xr:uid="{F9DC6594-2991-4BDB-9E15-7F4D2BFF0A23}"/>
    <cellStyle name="SAPBEXexcGood2 4 6" xfId="11285" xr:uid="{04C874AA-F822-4C57-A1D9-7F7CD7E26FD0}"/>
    <cellStyle name="SAPBEXexcGood2 4 6 2" xfId="11286" xr:uid="{8CFACCAA-B17C-49D6-8B5E-614144F029A7}"/>
    <cellStyle name="SAPBEXexcGood2 4 7" xfId="11287" xr:uid="{809D40E1-2C15-42B3-89BB-3E07530133B5}"/>
    <cellStyle name="SAPBEXexcGood2 4 7 2" xfId="11288" xr:uid="{EAA56031-9C7E-4303-8E82-847F6D0619D5}"/>
    <cellStyle name="SAPBEXexcGood2 4 8" xfId="11289" xr:uid="{41BDBAAF-CA8A-4606-B7F1-7D7FB315D2E6}"/>
    <cellStyle name="SAPBEXexcGood2 4 8 2" xfId="11290" xr:uid="{198B0197-3EA9-449C-9942-4DDBDB9D1F3A}"/>
    <cellStyle name="SAPBEXexcGood2 4 9" xfId="11291" xr:uid="{3FC6ED53-CBFE-4A20-B4EA-F5B47B36BB1F}"/>
    <cellStyle name="SAPBEXexcGood2 4 9 2" xfId="11292" xr:uid="{A2D7B13D-97CC-406E-B8EE-DCE69156735B}"/>
    <cellStyle name="SAPBEXexcGood2 5" xfId="11293" xr:uid="{80CEB399-7B58-4FB2-9C46-211AF9F9D339}"/>
    <cellStyle name="SAPBEXexcGood2 5 10" xfId="11294" xr:uid="{B81F6264-7B12-46F5-B976-212EC4D43CF7}"/>
    <cellStyle name="SAPBEXexcGood2 5 10 2" xfId="11295" xr:uid="{963189FC-F310-4E7E-88D6-D46EDF861978}"/>
    <cellStyle name="SAPBEXexcGood2 5 11" xfId="11296" xr:uid="{142A147C-C148-4135-8BB0-E2C86E5316E2}"/>
    <cellStyle name="SAPBEXexcGood2 5 11 2" xfId="11297" xr:uid="{00DD7B39-C153-430B-A7EA-18647D8C0C11}"/>
    <cellStyle name="SAPBEXexcGood2 5 12" xfId="11298" xr:uid="{CA779FA7-E42F-4337-8ADD-36C6D7E0B7F0}"/>
    <cellStyle name="SAPBEXexcGood2 5 12 2" xfId="11299" xr:uid="{85C1FCBF-AFE0-434D-825A-4D448B78564D}"/>
    <cellStyle name="SAPBEXexcGood2 5 13" xfId="11300" xr:uid="{E9B032EB-87E1-4586-8BD0-F5F9E1D5A90E}"/>
    <cellStyle name="SAPBEXexcGood2 5 13 2" xfId="11301" xr:uid="{D1F95919-D324-41A1-B0CC-F0F7749C27AD}"/>
    <cellStyle name="SAPBEXexcGood2 5 14" xfId="11302" xr:uid="{7B498CD7-BC29-4CC0-85BD-E85A0CE6CC4B}"/>
    <cellStyle name="SAPBEXexcGood2 5 14 2" xfId="11303" xr:uid="{563D74DC-45B1-4F66-80B6-0D754A2CCE35}"/>
    <cellStyle name="SAPBEXexcGood2 5 15" xfId="11304" xr:uid="{57E6CB2E-DDD6-48A9-860B-D94D184CCC6C}"/>
    <cellStyle name="SAPBEXexcGood2 5 15 2" xfId="11305" xr:uid="{75E8F17B-AFC5-4643-8D88-1BEF158A3A1D}"/>
    <cellStyle name="SAPBEXexcGood2 5 16" xfId="11306" xr:uid="{10A8DDD5-43F6-4F76-A994-2704918F578F}"/>
    <cellStyle name="SAPBEXexcGood2 5 2" xfId="11307" xr:uid="{C208EBBE-3585-4B37-B120-BC04CED32FE8}"/>
    <cellStyle name="SAPBEXexcGood2 5 2 2" xfId="11308" xr:uid="{1B463273-51C9-475D-967F-60C233C4ADD5}"/>
    <cellStyle name="SAPBEXexcGood2 5 3" xfId="11309" xr:uid="{EDC67731-3135-448C-A72D-44E14AA20544}"/>
    <cellStyle name="SAPBEXexcGood2 5 3 2" xfId="11310" xr:uid="{11751685-ABE9-4C3E-90AB-9B580E8B91C1}"/>
    <cellStyle name="SAPBEXexcGood2 5 4" xfId="11311" xr:uid="{D14C8004-2BC2-49F0-AFA8-BBFC13484269}"/>
    <cellStyle name="SAPBEXexcGood2 5 4 2" xfId="11312" xr:uid="{35EF44F9-508E-44C1-9616-A0D27A6B4FA3}"/>
    <cellStyle name="SAPBEXexcGood2 5 5" xfId="11313" xr:uid="{62A40746-0212-420E-A92A-50392C814486}"/>
    <cellStyle name="SAPBEXexcGood2 5 5 2" xfId="11314" xr:uid="{671E8151-CDB8-44B2-B095-CFE3DE5CF212}"/>
    <cellStyle name="SAPBEXexcGood2 5 6" xfId="11315" xr:uid="{DDE8DC38-6AA5-479A-B12F-77DF6FBB96DD}"/>
    <cellStyle name="SAPBEXexcGood2 5 6 2" xfId="11316" xr:uid="{3CB992C0-B429-422D-B10E-A22BEAA3ECCD}"/>
    <cellStyle name="SAPBEXexcGood2 5 7" xfId="11317" xr:uid="{488E3764-3417-46A0-BD8A-2AAFACF4044C}"/>
    <cellStyle name="SAPBEXexcGood2 5 7 2" xfId="11318" xr:uid="{9B51AE23-6616-48A2-9B62-839619C8B3DB}"/>
    <cellStyle name="SAPBEXexcGood2 5 8" xfId="11319" xr:uid="{626D80D4-9F1D-441E-87B4-C90EC2166B7F}"/>
    <cellStyle name="SAPBEXexcGood2 5 8 2" xfId="11320" xr:uid="{1C26CF52-4A48-40A4-AC5A-F34C1F373330}"/>
    <cellStyle name="SAPBEXexcGood2 5 9" xfId="11321" xr:uid="{651353B4-7F1A-461D-A279-96635DFB2548}"/>
    <cellStyle name="SAPBEXexcGood2 5 9 2" xfId="11322" xr:uid="{8EEFE56B-D81D-41DF-94D9-EE681594CFD8}"/>
    <cellStyle name="SAPBEXexcGood2 6" xfId="11323" xr:uid="{9B20F865-2C49-4DF7-BC60-4EFF80C0FA7F}"/>
    <cellStyle name="SAPBEXexcGood2 6 2" xfId="11324" xr:uid="{08B44586-C5EC-4E8F-8BC4-01F90DA9A428}"/>
    <cellStyle name="SAPBEXexcGood2 7" xfId="11325" xr:uid="{36ECF76B-2480-455C-9CA2-D09E7E70CE56}"/>
    <cellStyle name="SAPBEXexcGood2 7 2" xfId="11326" xr:uid="{09999A8E-B45E-4AD2-93F3-510ADD69AEA7}"/>
    <cellStyle name="SAPBEXexcGood2 8" xfId="11327" xr:uid="{EC961096-FA36-4837-BB86-1CD896190D5A}"/>
    <cellStyle name="SAPBEXexcGood2 8 2" xfId="11328" xr:uid="{BBB52598-2B92-4D1D-B715-6C5DA99131A1}"/>
    <cellStyle name="SAPBEXexcGood2 9" xfId="11329" xr:uid="{0B0E480E-2E42-4E43-AA61-10F95E82834C}"/>
    <cellStyle name="SAPBEXexcGood2 9 2" xfId="11330" xr:uid="{E50C9F9F-2CA0-439B-BB3A-0A7154A39F54}"/>
    <cellStyle name="SAPBEXexcGood2_T1 ANSP" xfId="10801" xr:uid="{A3959C80-AC0E-4677-A23C-8E28E885EBB8}"/>
    <cellStyle name="SAPBEXexcGood3" xfId="739" xr:uid="{00000000-0005-0000-0000-000078050000}"/>
    <cellStyle name="SAPBEXexcGood3 10" xfId="11332" xr:uid="{A7B6C654-E398-4C84-AD4E-74D241CB2861}"/>
    <cellStyle name="SAPBEXexcGood3 10 2" xfId="11333" xr:uid="{0CA85BC9-78CE-4D44-82F1-FDFDE2DF1616}"/>
    <cellStyle name="SAPBEXexcGood3 11" xfId="11334" xr:uid="{4D747FCC-36DB-4F99-9636-F9F4AFD11A17}"/>
    <cellStyle name="SAPBEXexcGood3 11 2" xfId="11335" xr:uid="{192E3113-7DD3-40B9-B7C5-E4FC7A8035AC}"/>
    <cellStyle name="SAPBEXexcGood3 12" xfId="11336" xr:uid="{C41897F7-F698-4D66-B29B-0ADD88489AF2}"/>
    <cellStyle name="SAPBEXexcGood3 12 2" xfId="11337" xr:uid="{FFD224EC-0A10-4CD3-B8D9-D3B6CDAC6027}"/>
    <cellStyle name="SAPBEXexcGood3 13" xfId="11338" xr:uid="{49027B15-1B63-445C-8E94-B3A78B93CEDD}"/>
    <cellStyle name="SAPBEXexcGood3 13 2" xfId="11339" xr:uid="{71DB3F50-9DAD-4407-AC23-EA4F0F005924}"/>
    <cellStyle name="SAPBEXexcGood3 14" xfId="11340" xr:uid="{8A5B757F-A0C9-41D4-B8EA-1B14CED944C7}"/>
    <cellStyle name="SAPBEXexcGood3 14 2" xfId="11341" xr:uid="{C0F46998-9503-47B2-AB65-7FB73223C4D4}"/>
    <cellStyle name="SAPBEXexcGood3 15" xfId="11342" xr:uid="{CBC36D52-C676-4F11-9072-5635BC08AF21}"/>
    <cellStyle name="SAPBEXexcGood3 15 2" xfId="11343" xr:uid="{A02B037F-F668-4042-B2CF-A15D4BD18F5A}"/>
    <cellStyle name="SAPBEXexcGood3 16" xfId="11344" xr:uid="{C62FBB6E-CA3A-4974-8F08-5DA59E50E43F}"/>
    <cellStyle name="SAPBEXexcGood3 16 2" xfId="11345" xr:uid="{7DF0D477-6993-4F4F-BA62-9181EA8F5D4D}"/>
    <cellStyle name="SAPBEXexcGood3 17" xfId="11346" xr:uid="{E6976BC4-DCED-4F56-B481-69558C085C00}"/>
    <cellStyle name="SAPBEXexcGood3 17 2" xfId="11347" xr:uid="{1E3042D6-F8B8-475A-879C-BAD4E2F52F9A}"/>
    <cellStyle name="SAPBEXexcGood3 18" xfId="11348" xr:uid="{50DBEFFA-E04F-4DB4-996C-FE5576E7FDBD}"/>
    <cellStyle name="SAPBEXexcGood3 18 2" xfId="11349" xr:uid="{21D3C0C4-7507-4281-AABA-2FCFAA481ED5}"/>
    <cellStyle name="SAPBEXexcGood3 19" xfId="11350" xr:uid="{DE3CCE4A-4539-40B2-8068-935D95E8B097}"/>
    <cellStyle name="SAPBEXexcGood3 19 2" xfId="11351" xr:uid="{342AC503-8E74-4B03-9620-F2A91B7C7279}"/>
    <cellStyle name="SAPBEXexcGood3 2" xfId="1554" xr:uid="{00000000-0005-0000-0000-000079050000}"/>
    <cellStyle name="SAPBEXexcGood3 2 10" xfId="11353" xr:uid="{2D10492B-A179-4A50-B423-A072E7D61151}"/>
    <cellStyle name="SAPBEXexcGood3 2 10 2" xfId="11354" xr:uid="{00C7BBAB-618C-4EED-9EB7-EA24F0597025}"/>
    <cellStyle name="SAPBEXexcGood3 2 11" xfId="11355" xr:uid="{61AF9C3A-23BE-4A54-BDD0-502AE8003764}"/>
    <cellStyle name="SAPBEXexcGood3 2 11 2" xfId="11356" xr:uid="{3CB0CD84-B86B-479C-BAC4-699379E840F4}"/>
    <cellStyle name="SAPBEXexcGood3 2 12" xfId="11357" xr:uid="{515662A4-98BB-402D-9350-1FF0A237799A}"/>
    <cellStyle name="SAPBEXexcGood3 2 12 2" xfId="11358" xr:uid="{BC85CB26-BE74-4078-944D-C8A699D82A51}"/>
    <cellStyle name="SAPBEXexcGood3 2 13" xfId="11359" xr:uid="{000C158B-4E03-4EA7-9CAC-3DA6C437EF5B}"/>
    <cellStyle name="SAPBEXexcGood3 2 13 2" xfId="11360" xr:uid="{56A04E23-CE72-4361-9DC4-CAAD807537CB}"/>
    <cellStyle name="SAPBEXexcGood3 2 14" xfId="11361" xr:uid="{5648970E-FBF5-4A63-BAB9-7E8244067CDD}"/>
    <cellStyle name="SAPBEXexcGood3 2 14 2" xfId="11362" xr:uid="{E0E66EE7-0B08-4F94-BE60-07D2716190A7}"/>
    <cellStyle name="SAPBEXexcGood3 2 15" xfId="11363" xr:uid="{9A4D49A3-0663-4223-A309-5C795B53DBCB}"/>
    <cellStyle name="SAPBEXexcGood3 2 15 2" xfId="11364" xr:uid="{CD60556A-A88E-4949-AC6B-97370EEE0413}"/>
    <cellStyle name="SAPBEXexcGood3 2 16" xfId="11365" xr:uid="{BC739A91-284B-4A69-A6ED-A81F2B5F3747}"/>
    <cellStyle name="SAPBEXexcGood3 2 16 2" xfId="11366" xr:uid="{ADCD3508-FB1A-4BD8-9037-D48708E2B157}"/>
    <cellStyle name="SAPBEXexcGood3 2 17" xfId="11367" xr:uid="{AAE90780-191F-42FB-B6FA-780B79E1403A}"/>
    <cellStyle name="SAPBEXexcGood3 2 17 2" xfId="11368" xr:uid="{D908C158-F254-49AC-8C0F-0DF1DB4DED51}"/>
    <cellStyle name="SAPBEXexcGood3 2 18" xfId="11369" xr:uid="{FE119C6D-3531-4A71-9E42-628C6848B941}"/>
    <cellStyle name="SAPBEXexcGood3 2 18 2" xfId="11370" xr:uid="{0903B86C-D487-4C81-9B91-884F08D026C6}"/>
    <cellStyle name="SAPBEXexcGood3 2 2" xfId="11371" xr:uid="{C773D853-30B7-4B21-8B95-033542B10839}"/>
    <cellStyle name="SAPBEXexcGood3 2 2 10" xfId="11372" xr:uid="{C549F885-6AC6-4F34-B116-6964AB0AD4DA}"/>
    <cellStyle name="SAPBEXexcGood3 2 2 10 2" xfId="11373" xr:uid="{A62B44B9-619F-4EE3-A5C1-395E85EC82E2}"/>
    <cellStyle name="SAPBEXexcGood3 2 2 11" xfId="11374" xr:uid="{60F932D9-BDC5-4589-A1C4-E297B3C156AB}"/>
    <cellStyle name="SAPBEXexcGood3 2 2 11 2" xfId="11375" xr:uid="{C450D8DA-CC25-45E1-AF3C-B0AA39E6C695}"/>
    <cellStyle name="SAPBEXexcGood3 2 2 12" xfId="11376" xr:uid="{EFEA244C-69BA-4447-AF8A-1FB67045863D}"/>
    <cellStyle name="SAPBEXexcGood3 2 2 12 2" xfId="11377" xr:uid="{A27DC0B1-7748-43B5-9BCE-42F43CD330D5}"/>
    <cellStyle name="SAPBEXexcGood3 2 2 13" xfId="11378" xr:uid="{4EEAC25C-3DA5-4CBD-89BC-AF1B7E97C795}"/>
    <cellStyle name="SAPBEXexcGood3 2 2 13 2" xfId="11379" xr:uid="{C204B82A-91F4-40B3-9709-A865FF5D88CF}"/>
    <cellStyle name="SAPBEXexcGood3 2 2 14" xfId="11380" xr:uid="{7F394FDA-340D-497C-B576-76C1DA818A17}"/>
    <cellStyle name="SAPBEXexcGood3 2 2 14 2" xfId="11381" xr:uid="{2C7D47E8-B424-4C60-9A80-4AEB0076DA50}"/>
    <cellStyle name="SAPBEXexcGood3 2 2 15" xfId="11382" xr:uid="{2964E307-FFF4-4E48-835D-62851C5443B9}"/>
    <cellStyle name="SAPBEXexcGood3 2 2 15 2" xfId="11383" xr:uid="{C129F394-5609-4CD5-82C6-2566C5E2810E}"/>
    <cellStyle name="SAPBEXexcGood3 2 2 16" xfId="11384" xr:uid="{8C66F3D5-B7AE-4629-8A1D-1D9594ABF9BB}"/>
    <cellStyle name="SAPBEXexcGood3 2 2 16 2" xfId="11385" xr:uid="{104F6161-84D1-4B54-95E8-8308BF7E7765}"/>
    <cellStyle name="SAPBEXexcGood3 2 2 17" xfId="11386" xr:uid="{9933722B-878B-4A4D-8B5B-0B69EC6E7637}"/>
    <cellStyle name="SAPBEXexcGood3 2 2 17 2" xfId="11387" xr:uid="{11769E76-A341-496E-A11B-E80B11040309}"/>
    <cellStyle name="SAPBEXexcGood3 2 2 2" xfId="11388" xr:uid="{503BF663-F473-47CB-93DA-172FE4FE7E26}"/>
    <cellStyle name="SAPBEXexcGood3 2 2 2 10" xfId="11389" xr:uid="{FA60512E-CC3C-4C39-B77D-4BE2B310194A}"/>
    <cellStyle name="SAPBEXexcGood3 2 2 2 10 2" xfId="11390" xr:uid="{D2162916-62E7-4AF9-A547-B8718D302A53}"/>
    <cellStyle name="SAPBEXexcGood3 2 2 2 11" xfId="11391" xr:uid="{81B767A8-90C2-4B39-A57E-F293B9E82AD1}"/>
    <cellStyle name="SAPBEXexcGood3 2 2 2 11 2" xfId="11392" xr:uid="{0B398D92-8DCE-4E31-A1CF-4F8DD438A643}"/>
    <cellStyle name="SAPBEXexcGood3 2 2 2 12" xfId="11393" xr:uid="{CA02D431-3ADD-46D7-9791-72FF2689C4E6}"/>
    <cellStyle name="SAPBEXexcGood3 2 2 2 12 2" xfId="11394" xr:uid="{FB2A6D41-6AE7-40FF-9B99-01336C05D947}"/>
    <cellStyle name="SAPBEXexcGood3 2 2 2 13" xfId="11395" xr:uid="{C91C2958-3EC6-4938-A9EE-5331D29811AF}"/>
    <cellStyle name="SAPBEXexcGood3 2 2 2 13 2" xfId="11396" xr:uid="{1B4F6ED8-B5A6-4A2B-B41B-821366AF6341}"/>
    <cellStyle name="SAPBEXexcGood3 2 2 2 14" xfId="11397" xr:uid="{094BA83D-714A-4476-ADAD-E8AA5AC7A090}"/>
    <cellStyle name="SAPBEXexcGood3 2 2 2 14 2" xfId="11398" xr:uid="{F0E5B1C4-A96A-432D-9D06-73E4C749695C}"/>
    <cellStyle name="SAPBEXexcGood3 2 2 2 15" xfId="11399" xr:uid="{DCEC5F04-08EB-43F4-B507-E355F9315FEC}"/>
    <cellStyle name="SAPBEXexcGood3 2 2 2 15 2" xfId="11400" xr:uid="{32E9B578-AF80-45C6-8507-1B5E6F49E669}"/>
    <cellStyle name="SAPBEXexcGood3 2 2 2 2" xfId="11401" xr:uid="{7D6B6DBC-72B4-49D8-862A-E0130B45E971}"/>
    <cellStyle name="SAPBEXexcGood3 2 2 2 2 2" xfId="11402" xr:uid="{3B1E4C5A-5432-46C4-81FB-6A36E0C9EBE8}"/>
    <cellStyle name="SAPBEXexcGood3 2 2 2 3" xfId="11403" xr:uid="{09288CB9-96B9-45A6-BA72-D85B25440AF5}"/>
    <cellStyle name="SAPBEXexcGood3 2 2 2 3 2" xfId="11404" xr:uid="{0EAF24A7-978B-4486-AFB5-CC0FF0C20B8C}"/>
    <cellStyle name="SAPBEXexcGood3 2 2 2 4" xfId="11405" xr:uid="{6878344C-FC81-44DB-96B4-A822870AE4E7}"/>
    <cellStyle name="SAPBEXexcGood3 2 2 2 4 2" xfId="11406" xr:uid="{857BAA14-CD27-424D-B15C-06E3E4A18ED7}"/>
    <cellStyle name="SAPBEXexcGood3 2 2 2 5" xfId="11407" xr:uid="{8FDE868A-657A-4D82-BCD6-0F292295B8BE}"/>
    <cellStyle name="SAPBEXexcGood3 2 2 2 5 2" xfId="11408" xr:uid="{177D2B44-0743-4815-974B-FE52F6B36DE1}"/>
    <cellStyle name="SAPBEXexcGood3 2 2 2 6" xfId="11409" xr:uid="{3E29FA0D-08DC-4DD7-838D-77AE90948AA2}"/>
    <cellStyle name="SAPBEXexcGood3 2 2 2 6 2" xfId="11410" xr:uid="{1355FC0C-46EF-4E0C-9547-B594C12ADCAA}"/>
    <cellStyle name="SAPBEXexcGood3 2 2 2 7" xfId="11411" xr:uid="{8D4BA5D4-6849-4495-9EBA-12443AFCBE95}"/>
    <cellStyle name="SAPBEXexcGood3 2 2 2 7 2" xfId="11412" xr:uid="{A0A4F9F4-A1D6-4136-B786-02431C1B8223}"/>
    <cellStyle name="SAPBEXexcGood3 2 2 2 8" xfId="11413" xr:uid="{39027A5D-AEF6-42D3-A62C-3D8FA1A63636}"/>
    <cellStyle name="SAPBEXexcGood3 2 2 2 8 2" xfId="11414" xr:uid="{F81CEC53-9542-48A0-8393-F351D32524A0}"/>
    <cellStyle name="SAPBEXexcGood3 2 2 2 9" xfId="11415" xr:uid="{5D8D4132-DF32-4612-835E-9715537F737B}"/>
    <cellStyle name="SAPBEXexcGood3 2 2 2 9 2" xfId="11416" xr:uid="{BAA271E3-EF1B-45A9-AA9B-E831DDCA665F}"/>
    <cellStyle name="SAPBEXexcGood3 2 2 3" xfId="11417" xr:uid="{D86F147C-277E-4B7F-88A2-6731CF4D7E4D}"/>
    <cellStyle name="SAPBEXexcGood3 2 2 3 10" xfId="11418" xr:uid="{D912E056-5FFE-49AA-93E9-3E3B1DE17B91}"/>
    <cellStyle name="SAPBEXexcGood3 2 2 3 10 2" xfId="11419" xr:uid="{63C3C727-E9B3-46F2-B9C8-063E8E4FE515}"/>
    <cellStyle name="SAPBEXexcGood3 2 2 3 11" xfId="11420" xr:uid="{57CB5C79-4F99-4233-A876-BDF4C77F92C9}"/>
    <cellStyle name="SAPBEXexcGood3 2 2 3 11 2" xfId="11421" xr:uid="{DD30B737-4B56-429B-A68A-0867D9469494}"/>
    <cellStyle name="SAPBEXexcGood3 2 2 3 12" xfId="11422" xr:uid="{66542D4A-D7F1-4575-BF6A-E69BA82C11C7}"/>
    <cellStyle name="SAPBEXexcGood3 2 2 3 12 2" xfId="11423" xr:uid="{8FE0C281-BF94-47B2-AFB9-C4919A8AA244}"/>
    <cellStyle name="SAPBEXexcGood3 2 2 3 13" xfId="11424" xr:uid="{E77D0AF1-5956-45BA-8976-0E2DFE2F66D3}"/>
    <cellStyle name="SAPBEXexcGood3 2 2 3 13 2" xfId="11425" xr:uid="{680E2DD1-B395-4AE6-866E-EEEAEF5D1E71}"/>
    <cellStyle name="SAPBEXexcGood3 2 2 3 14" xfId="11426" xr:uid="{1534E52C-A162-45BD-A751-5F3AEF1F95C3}"/>
    <cellStyle name="SAPBEXexcGood3 2 2 3 14 2" xfId="11427" xr:uid="{1CCFA46B-9468-4A06-A18C-D986E3B2499A}"/>
    <cellStyle name="SAPBEXexcGood3 2 2 3 15" xfId="11428" xr:uid="{C86BD6B4-7EC3-497C-B1F0-E38E0FE3A80A}"/>
    <cellStyle name="SAPBEXexcGood3 2 2 3 15 2" xfId="11429" xr:uid="{69569AE5-1DD3-4018-A5BE-48A8A45BDADA}"/>
    <cellStyle name="SAPBEXexcGood3 2 2 3 2" xfId="11430" xr:uid="{EE13299A-457E-479E-B79F-BF1D8831000F}"/>
    <cellStyle name="SAPBEXexcGood3 2 2 3 2 2" xfId="11431" xr:uid="{B697DAD1-5598-4C86-B20B-1034B6360EFA}"/>
    <cellStyle name="SAPBEXexcGood3 2 2 3 3" xfId="11432" xr:uid="{CEE68FD1-8102-4FEE-98FA-8096CE44021D}"/>
    <cellStyle name="SAPBEXexcGood3 2 2 3 3 2" xfId="11433" xr:uid="{3703938F-8888-43B3-938F-80D399C782A1}"/>
    <cellStyle name="SAPBEXexcGood3 2 2 3 4" xfId="11434" xr:uid="{CB9DC73F-838C-4E80-BC12-125B0EEB1811}"/>
    <cellStyle name="SAPBEXexcGood3 2 2 3 4 2" xfId="11435" xr:uid="{BD1F2A92-E3B3-4D21-8C19-A06C52829A32}"/>
    <cellStyle name="SAPBEXexcGood3 2 2 3 5" xfId="11436" xr:uid="{F3C91C17-D059-4D77-8C54-244F802C08DD}"/>
    <cellStyle name="SAPBEXexcGood3 2 2 3 5 2" xfId="11437" xr:uid="{26E05112-E571-4EA4-A7D1-ADED49C92C75}"/>
    <cellStyle name="SAPBEXexcGood3 2 2 3 6" xfId="11438" xr:uid="{CC8FEB32-82CA-4BBA-ABA6-F3365A25BCF3}"/>
    <cellStyle name="SAPBEXexcGood3 2 2 3 6 2" xfId="11439" xr:uid="{7F571E13-DF22-400A-90C7-12D0624B72AB}"/>
    <cellStyle name="SAPBEXexcGood3 2 2 3 7" xfId="11440" xr:uid="{D67B2080-A098-4C1C-8B44-F149395800BA}"/>
    <cellStyle name="SAPBEXexcGood3 2 2 3 7 2" xfId="11441" xr:uid="{E1310137-CB91-44DE-B9F9-687D271D66E2}"/>
    <cellStyle name="SAPBEXexcGood3 2 2 3 8" xfId="11442" xr:uid="{3635B55A-6DFE-4C5B-95D9-9BFD6041D9B2}"/>
    <cellStyle name="SAPBEXexcGood3 2 2 3 8 2" xfId="11443" xr:uid="{F356BE67-E2CC-416F-ACA7-BC0F44A66226}"/>
    <cellStyle name="SAPBEXexcGood3 2 2 3 9" xfId="11444" xr:uid="{9148C36C-CF73-440C-A18D-8FE776A9924F}"/>
    <cellStyle name="SAPBEXexcGood3 2 2 3 9 2" xfId="11445" xr:uid="{2A39409F-373D-4DA4-885B-4382BE5D3730}"/>
    <cellStyle name="SAPBEXexcGood3 2 2 4" xfId="11446" xr:uid="{36CFD2A6-42A1-4A64-BD44-E00ABA171915}"/>
    <cellStyle name="SAPBEXexcGood3 2 2 4 2" xfId="11447" xr:uid="{1CE02141-47B6-4F65-AB47-56D780A5CAA9}"/>
    <cellStyle name="SAPBEXexcGood3 2 2 5" xfId="11448" xr:uid="{1A0790EF-B636-4BA5-9F07-C091F592B4FC}"/>
    <cellStyle name="SAPBEXexcGood3 2 2 5 2" xfId="11449" xr:uid="{4E315F5D-F904-4B8D-B05B-4A8234927FC3}"/>
    <cellStyle name="SAPBEXexcGood3 2 2 6" xfId="11450" xr:uid="{CDF8FF8A-A8FA-4384-81DC-EC9A26AF0946}"/>
    <cellStyle name="SAPBEXexcGood3 2 2 6 2" xfId="11451" xr:uid="{836FD91C-2804-4480-9923-4976ADFEE648}"/>
    <cellStyle name="SAPBEXexcGood3 2 2 7" xfId="11452" xr:uid="{3EA4B867-2FA1-4FC8-AF0D-10DD73326E4C}"/>
    <cellStyle name="SAPBEXexcGood3 2 2 7 2" xfId="11453" xr:uid="{24262F58-C217-4B8E-BA89-38E8A3D0CD95}"/>
    <cellStyle name="SAPBEXexcGood3 2 2 8" xfId="11454" xr:uid="{BB2B9806-2A4B-4695-B8A8-AE7C60149D97}"/>
    <cellStyle name="SAPBEXexcGood3 2 2 8 2" xfId="11455" xr:uid="{F02CA46C-CA14-4306-9D14-D675AD18EE82}"/>
    <cellStyle name="SAPBEXexcGood3 2 2 9" xfId="11456" xr:uid="{82DD46AF-1732-4C01-929B-08330706FC65}"/>
    <cellStyle name="SAPBEXexcGood3 2 2 9 2" xfId="11457" xr:uid="{EB8EB28D-9D2B-47B9-8705-06877066C049}"/>
    <cellStyle name="SAPBEXexcGood3 2 3" xfId="11458" xr:uid="{E28D2AB1-A962-432E-8F87-7FBA7E41456D}"/>
    <cellStyle name="SAPBEXexcGood3 2 3 10" xfId="11459" xr:uid="{9249093F-7194-4CF1-8ABB-6928C1C192BD}"/>
    <cellStyle name="SAPBEXexcGood3 2 3 10 2" xfId="11460" xr:uid="{990BBA39-2DC0-491A-8D6B-A125D990F13C}"/>
    <cellStyle name="SAPBEXexcGood3 2 3 11" xfId="11461" xr:uid="{B23E089E-14F2-418F-A404-EAD09FADAEEE}"/>
    <cellStyle name="SAPBEXexcGood3 2 3 11 2" xfId="11462" xr:uid="{4C6D7F9E-8AF8-40D3-B711-39554C5EC985}"/>
    <cellStyle name="SAPBEXexcGood3 2 3 12" xfId="11463" xr:uid="{AD90A60A-9891-44A0-BA0B-D77DE710552E}"/>
    <cellStyle name="SAPBEXexcGood3 2 3 12 2" xfId="11464" xr:uid="{FE181785-752D-47C7-9C40-582226FDC1C4}"/>
    <cellStyle name="SAPBEXexcGood3 2 3 13" xfId="11465" xr:uid="{8995B56A-678E-4142-A22C-8D280031C38F}"/>
    <cellStyle name="SAPBEXexcGood3 2 3 13 2" xfId="11466" xr:uid="{23EF50D1-1B34-47C6-BD54-05FBDA9516DC}"/>
    <cellStyle name="SAPBEXexcGood3 2 3 14" xfId="11467" xr:uid="{7CCCC80F-A4DB-492C-B29A-91C635A3AEF7}"/>
    <cellStyle name="SAPBEXexcGood3 2 3 14 2" xfId="11468" xr:uid="{1848E62B-C0B8-47B7-B5EE-9652DE05F5F8}"/>
    <cellStyle name="SAPBEXexcGood3 2 3 15" xfId="11469" xr:uid="{D261EFD2-4AD7-49C4-8194-4C77A74561C1}"/>
    <cellStyle name="SAPBEXexcGood3 2 3 15 2" xfId="11470" xr:uid="{8ED57875-8264-4E6E-89E6-A82151DE9F64}"/>
    <cellStyle name="SAPBEXexcGood3 2 3 16" xfId="11471" xr:uid="{8DFAF9B2-CA21-4FD4-927B-58135E59461D}"/>
    <cellStyle name="SAPBEXexcGood3 2 3 16 2" xfId="11472" xr:uid="{E69660DC-1B1F-4351-A471-DBD2ACC8F156}"/>
    <cellStyle name="SAPBEXexcGood3 2 3 17" xfId="11473" xr:uid="{5DF0BF41-71EB-4149-A8D0-E867810ACFE8}"/>
    <cellStyle name="SAPBEXexcGood3 2 3 17 2" xfId="11474" xr:uid="{EB84BE87-EEC5-400B-B96D-248ED154BBC4}"/>
    <cellStyle name="SAPBEXexcGood3 2 3 2" xfId="11475" xr:uid="{387DDFBD-EE8F-42BD-9862-50DA2502E19B}"/>
    <cellStyle name="SAPBEXexcGood3 2 3 2 10" xfId="11476" xr:uid="{1EDD8030-DFE9-4E3B-95DA-12133F69F4A6}"/>
    <cellStyle name="SAPBEXexcGood3 2 3 2 10 2" xfId="11477" xr:uid="{CB520BAE-CB52-4533-A981-A21566AF581A}"/>
    <cellStyle name="SAPBEXexcGood3 2 3 2 11" xfId="11478" xr:uid="{8C8692ED-31D8-45A7-811E-3B863C75C57F}"/>
    <cellStyle name="SAPBEXexcGood3 2 3 2 11 2" xfId="11479" xr:uid="{4DE3DB8F-831B-49A1-9755-BB7649A0E440}"/>
    <cellStyle name="SAPBEXexcGood3 2 3 2 12" xfId="11480" xr:uid="{B51C1F24-784F-47C0-A48A-2B1DE0FF7C27}"/>
    <cellStyle name="SAPBEXexcGood3 2 3 2 12 2" xfId="11481" xr:uid="{9A4C4DD8-263A-4A9E-BF74-F758D8CD7973}"/>
    <cellStyle name="SAPBEXexcGood3 2 3 2 13" xfId="11482" xr:uid="{87F1C01D-41A1-4E10-96F0-628364BB0B92}"/>
    <cellStyle name="SAPBEXexcGood3 2 3 2 13 2" xfId="11483" xr:uid="{F21E1A5D-C01B-4CDC-9DBE-9F76971C4C2A}"/>
    <cellStyle name="SAPBEXexcGood3 2 3 2 14" xfId="11484" xr:uid="{38411A9D-19F1-4576-BA3B-774AE4DA6883}"/>
    <cellStyle name="SAPBEXexcGood3 2 3 2 14 2" xfId="11485" xr:uid="{455BABB4-D70C-4C6A-944E-5C3FDD16DE32}"/>
    <cellStyle name="SAPBEXexcGood3 2 3 2 15" xfId="11486" xr:uid="{43754FFE-3B17-47DE-9006-43CD1722FE6D}"/>
    <cellStyle name="SAPBEXexcGood3 2 3 2 15 2" xfId="11487" xr:uid="{4CC15CD0-1DD7-4CC9-A5B6-36EEA47A717C}"/>
    <cellStyle name="SAPBEXexcGood3 2 3 2 2" xfId="11488" xr:uid="{9B9CF2D3-3A25-40ED-921B-A2B70C58CEAA}"/>
    <cellStyle name="SAPBEXexcGood3 2 3 2 2 2" xfId="11489" xr:uid="{C9B5B76A-13C9-43C9-9E46-257246A91D56}"/>
    <cellStyle name="SAPBEXexcGood3 2 3 2 3" xfId="11490" xr:uid="{57B980BA-1CB8-4762-A2EE-EAA004165A21}"/>
    <cellStyle name="SAPBEXexcGood3 2 3 2 3 2" xfId="11491" xr:uid="{C3636CCA-6514-47B5-B5C6-A0E89B88FC45}"/>
    <cellStyle name="SAPBEXexcGood3 2 3 2 4" xfId="11492" xr:uid="{D5CA817C-B79A-44E8-9F95-170304C7864D}"/>
    <cellStyle name="SAPBEXexcGood3 2 3 2 4 2" xfId="11493" xr:uid="{1583E6A8-558D-490C-BF27-7C10AF6BC1BB}"/>
    <cellStyle name="SAPBEXexcGood3 2 3 2 5" xfId="11494" xr:uid="{B13749FF-A1B2-412F-8C41-130D7CA7B8D5}"/>
    <cellStyle name="SAPBEXexcGood3 2 3 2 5 2" xfId="11495" xr:uid="{4E66F630-83D2-40EB-9E19-7A71E9BFF138}"/>
    <cellStyle name="SAPBEXexcGood3 2 3 2 6" xfId="11496" xr:uid="{98173514-F23D-4134-BBFA-F633D8F3F02C}"/>
    <cellStyle name="SAPBEXexcGood3 2 3 2 6 2" xfId="11497" xr:uid="{D1322AC9-F409-413E-BC45-0B338BBF0402}"/>
    <cellStyle name="SAPBEXexcGood3 2 3 2 7" xfId="11498" xr:uid="{57398125-1730-43AC-9268-94F2A06BBA3B}"/>
    <cellStyle name="SAPBEXexcGood3 2 3 2 7 2" xfId="11499" xr:uid="{607C454E-A485-407D-8501-ED71DCC267B2}"/>
    <cellStyle name="SAPBEXexcGood3 2 3 2 8" xfId="11500" xr:uid="{F074FB7B-0E77-49E6-BC95-706ADA1A777E}"/>
    <cellStyle name="SAPBEXexcGood3 2 3 2 8 2" xfId="11501" xr:uid="{C0123101-C0B1-41CB-83AD-C6DE3E0A3121}"/>
    <cellStyle name="SAPBEXexcGood3 2 3 2 9" xfId="11502" xr:uid="{08F8FEAF-EDE0-4CDE-BC60-C99DDA5970AC}"/>
    <cellStyle name="SAPBEXexcGood3 2 3 2 9 2" xfId="11503" xr:uid="{9BF18F46-A03F-42FF-829D-0FBA9A7B3BC6}"/>
    <cellStyle name="SAPBEXexcGood3 2 3 3" xfId="11504" xr:uid="{C56C0CE6-D886-49B1-92B9-953E011FE520}"/>
    <cellStyle name="SAPBEXexcGood3 2 3 3 10" xfId="11505" xr:uid="{C399698A-A19D-4ACF-9C59-19275F53C7DB}"/>
    <cellStyle name="SAPBEXexcGood3 2 3 3 10 2" xfId="11506" xr:uid="{54EEAEF9-0D6A-4C9B-A2C2-5C045D40930B}"/>
    <cellStyle name="SAPBEXexcGood3 2 3 3 11" xfId="11507" xr:uid="{7E1DDFF3-F3CC-4C9A-8718-C5464BA41A97}"/>
    <cellStyle name="SAPBEXexcGood3 2 3 3 11 2" xfId="11508" xr:uid="{84805440-6272-4F7B-875C-3F5B4D2FAD0B}"/>
    <cellStyle name="SAPBEXexcGood3 2 3 3 12" xfId="11509" xr:uid="{EA5EEFAB-2E5D-4B4F-B06B-68D2BD6E5958}"/>
    <cellStyle name="SAPBEXexcGood3 2 3 3 12 2" xfId="11510" xr:uid="{02E1FB76-2617-4C1C-998A-E9C9C448F8BA}"/>
    <cellStyle name="SAPBEXexcGood3 2 3 3 13" xfId="11511" xr:uid="{C6EE6B04-AE55-40CE-B8CC-841033B49484}"/>
    <cellStyle name="SAPBEXexcGood3 2 3 3 13 2" xfId="11512" xr:uid="{CD0F90E4-821D-4FF4-98AF-60C7557097D9}"/>
    <cellStyle name="SAPBEXexcGood3 2 3 3 14" xfId="11513" xr:uid="{B593BABC-3397-4937-9B45-DBC2B1D341C7}"/>
    <cellStyle name="SAPBEXexcGood3 2 3 3 14 2" xfId="11514" xr:uid="{D909A386-0942-45D2-9BF1-71E71851EAF9}"/>
    <cellStyle name="SAPBEXexcGood3 2 3 3 15" xfId="11515" xr:uid="{B90C73AF-CBD6-4C8B-8962-50B463C9044E}"/>
    <cellStyle name="SAPBEXexcGood3 2 3 3 15 2" xfId="11516" xr:uid="{2FA64AAF-53C6-46DE-8246-F850A316C216}"/>
    <cellStyle name="SAPBEXexcGood3 2 3 3 2" xfId="11517" xr:uid="{29E464C0-65FE-4C1D-9C52-E8546CE59695}"/>
    <cellStyle name="SAPBEXexcGood3 2 3 3 2 2" xfId="11518" xr:uid="{FE3882B3-9833-4299-88C8-1284A93A42E1}"/>
    <cellStyle name="SAPBEXexcGood3 2 3 3 3" xfId="11519" xr:uid="{32321332-B2F4-4777-AECE-5027194BC134}"/>
    <cellStyle name="SAPBEXexcGood3 2 3 3 3 2" xfId="11520" xr:uid="{013FE356-D91B-4F09-9D69-F2315864E8DE}"/>
    <cellStyle name="SAPBEXexcGood3 2 3 3 4" xfId="11521" xr:uid="{7FC33B66-5AF5-41EB-8A7E-C3F50ECD03EB}"/>
    <cellStyle name="SAPBEXexcGood3 2 3 3 4 2" xfId="11522" xr:uid="{945A071F-26A0-4EE0-BE2D-4257CA726073}"/>
    <cellStyle name="SAPBEXexcGood3 2 3 3 5" xfId="11523" xr:uid="{FB720DD8-BCE9-4C20-A3D4-F810B649DC29}"/>
    <cellStyle name="SAPBEXexcGood3 2 3 3 5 2" xfId="11524" xr:uid="{000CE067-6B6C-4F3C-9735-24356E23C98B}"/>
    <cellStyle name="SAPBEXexcGood3 2 3 3 6" xfId="11525" xr:uid="{4690B97F-FF8C-4A2A-ADAF-A24D549C738F}"/>
    <cellStyle name="SAPBEXexcGood3 2 3 3 6 2" xfId="11526" xr:uid="{02D17234-259A-4B7B-A2BE-4E5F3F03A346}"/>
    <cellStyle name="SAPBEXexcGood3 2 3 3 7" xfId="11527" xr:uid="{4A54CA79-CD76-4472-A0A8-5167F4421D59}"/>
    <cellStyle name="SAPBEXexcGood3 2 3 3 7 2" xfId="11528" xr:uid="{530A5C10-9008-498F-97E9-C72D44A01483}"/>
    <cellStyle name="SAPBEXexcGood3 2 3 3 8" xfId="11529" xr:uid="{F04EE549-FE70-42A5-B8AB-FA371AAA8EEE}"/>
    <cellStyle name="SAPBEXexcGood3 2 3 3 8 2" xfId="11530" xr:uid="{041B58DB-2171-4037-8583-43410F10454B}"/>
    <cellStyle name="SAPBEXexcGood3 2 3 3 9" xfId="11531" xr:uid="{96FD1FEF-3339-43DD-A1BC-1F5E3560088B}"/>
    <cellStyle name="SAPBEXexcGood3 2 3 3 9 2" xfId="11532" xr:uid="{928F3AAC-AD98-4D0E-89B9-06C8E23E49A7}"/>
    <cellStyle name="SAPBEXexcGood3 2 3 4" xfId="11533" xr:uid="{427A6901-03B5-4026-A8B6-BE1707BF2FA3}"/>
    <cellStyle name="SAPBEXexcGood3 2 3 4 2" xfId="11534" xr:uid="{4EA5819D-6E87-41C2-B446-89550E1BDC8E}"/>
    <cellStyle name="SAPBEXexcGood3 2 3 5" xfId="11535" xr:uid="{D213F0EE-EA9D-4F3D-9523-E3383CB69AE5}"/>
    <cellStyle name="SAPBEXexcGood3 2 3 5 2" xfId="11536" xr:uid="{364361F9-2169-4570-822B-9F0AF9E03FCD}"/>
    <cellStyle name="SAPBEXexcGood3 2 3 6" xfId="11537" xr:uid="{51A5C4AA-7C53-4CA1-A62C-E3ECB80861B6}"/>
    <cellStyle name="SAPBEXexcGood3 2 3 6 2" xfId="11538" xr:uid="{28E9F399-C0A2-42C4-87E5-497C9A845E04}"/>
    <cellStyle name="SAPBEXexcGood3 2 3 7" xfId="11539" xr:uid="{AC38EEF5-406F-4B4A-8EE5-B7EF81FA0259}"/>
    <cellStyle name="SAPBEXexcGood3 2 3 7 2" xfId="11540" xr:uid="{4B2CCB0C-C47D-42D1-A9BE-78C999C9EB07}"/>
    <cellStyle name="SAPBEXexcGood3 2 3 8" xfId="11541" xr:uid="{5319F910-C4AD-48A3-A85D-AE95DBEF5D98}"/>
    <cellStyle name="SAPBEXexcGood3 2 3 8 2" xfId="11542" xr:uid="{1942183C-EFC2-4DA0-AC0C-A55C1F0B4494}"/>
    <cellStyle name="SAPBEXexcGood3 2 3 9" xfId="11543" xr:uid="{B65242DA-37AF-44AA-9F87-DB40E868FD8D}"/>
    <cellStyle name="SAPBEXexcGood3 2 3 9 2" xfId="11544" xr:uid="{B0665743-A4FD-46EF-8B70-DF2DF96057C7}"/>
    <cellStyle name="SAPBEXexcGood3 2 4" xfId="11545" xr:uid="{36881987-9924-4C88-9677-4C6A9BE1BF64}"/>
    <cellStyle name="SAPBEXexcGood3 2 4 10" xfId="11546" xr:uid="{119C6308-95FF-4D53-91A2-9D9DF3438790}"/>
    <cellStyle name="SAPBEXexcGood3 2 4 10 2" xfId="11547" xr:uid="{20CC5868-5534-4037-8A29-744A085DE549}"/>
    <cellStyle name="SAPBEXexcGood3 2 4 11" xfId="11548" xr:uid="{CFAAAE30-99FC-40B6-8C5A-C0D942CD992B}"/>
    <cellStyle name="SAPBEXexcGood3 2 4 11 2" xfId="11549" xr:uid="{E35B3CB4-ED45-4099-9E4E-ED5147C3C30C}"/>
    <cellStyle name="SAPBEXexcGood3 2 4 12" xfId="11550" xr:uid="{45AB3DF4-9884-41ED-AF4D-E5475C7D00E9}"/>
    <cellStyle name="SAPBEXexcGood3 2 4 12 2" xfId="11551" xr:uid="{F850D67B-A743-40E7-82AB-43BADBA76ECB}"/>
    <cellStyle name="SAPBEXexcGood3 2 4 13" xfId="11552" xr:uid="{E5BB1BD4-8823-4B5C-826B-D597DD6F85C5}"/>
    <cellStyle name="SAPBEXexcGood3 2 4 13 2" xfId="11553" xr:uid="{F80A4181-758E-4BA6-8FF4-466EA5756E0C}"/>
    <cellStyle name="SAPBEXexcGood3 2 4 14" xfId="11554" xr:uid="{7FFF265D-B090-4AD7-A79E-DEBD1F4DE703}"/>
    <cellStyle name="SAPBEXexcGood3 2 4 14 2" xfId="11555" xr:uid="{40B9D489-D459-4269-9198-6B2A91C7A171}"/>
    <cellStyle name="SAPBEXexcGood3 2 4 15" xfId="11556" xr:uid="{8ECE5CA4-46A4-4351-BAF4-2839C862ED46}"/>
    <cellStyle name="SAPBEXexcGood3 2 4 15 2" xfId="11557" xr:uid="{B92BD2D7-E00A-4C8C-AE58-FBEDA649FA79}"/>
    <cellStyle name="SAPBEXexcGood3 2 4 16" xfId="11558" xr:uid="{AE1A19D8-D719-4E07-BEFF-77D5D37A93EE}"/>
    <cellStyle name="SAPBEXexcGood3 2 4 16 2" xfId="11559" xr:uid="{F1AFD872-8E4E-4144-B05A-0AC0A7DA98B4}"/>
    <cellStyle name="SAPBEXexcGood3 2 4 17" xfId="11560" xr:uid="{D8071B0C-D268-4C2C-84CF-E0FA6896CE08}"/>
    <cellStyle name="SAPBEXexcGood3 2 4 17 2" xfId="11561" xr:uid="{3D63D80A-2FBE-480B-A892-EEB6301C2CA7}"/>
    <cellStyle name="SAPBEXexcGood3 2 4 2" xfId="11562" xr:uid="{8D80E1B2-BFA4-41A3-A64A-F38C1C783C10}"/>
    <cellStyle name="SAPBEXexcGood3 2 4 2 10" xfId="11563" xr:uid="{2B7F1B9D-57DA-47E2-AA56-31730A2F994A}"/>
    <cellStyle name="SAPBEXexcGood3 2 4 2 10 2" xfId="11564" xr:uid="{7A80D38C-CCF7-42FE-88FE-F525DE02AE13}"/>
    <cellStyle name="SAPBEXexcGood3 2 4 2 11" xfId="11565" xr:uid="{A84E15D6-1503-4E51-BF60-0C29E653337F}"/>
    <cellStyle name="SAPBEXexcGood3 2 4 2 11 2" xfId="11566" xr:uid="{01A62EBC-76DD-4343-A9B2-F53719F72DF6}"/>
    <cellStyle name="SAPBEXexcGood3 2 4 2 12" xfId="11567" xr:uid="{738D24C7-49F4-485B-BFFE-CDEAA74BDC49}"/>
    <cellStyle name="SAPBEXexcGood3 2 4 2 12 2" xfId="11568" xr:uid="{F85CB2B9-FE53-42AA-AB51-2102EEC91DB6}"/>
    <cellStyle name="SAPBEXexcGood3 2 4 2 13" xfId="11569" xr:uid="{26AC680B-F623-4D14-B4A3-A2AC53FA3B6E}"/>
    <cellStyle name="SAPBEXexcGood3 2 4 2 13 2" xfId="11570" xr:uid="{C2721430-502A-420A-9146-2C88E7CA79D9}"/>
    <cellStyle name="SAPBEXexcGood3 2 4 2 14" xfId="11571" xr:uid="{20C408D6-C797-43F4-9E98-116CD6F490B3}"/>
    <cellStyle name="SAPBEXexcGood3 2 4 2 14 2" xfId="11572" xr:uid="{6D3ABFA5-D056-42C0-8865-77D2A0E9FB78}"/>
    <cellStyle name="SAPBEXexcGood3 2 4 2 15" xfId="11573" xr:uid="{33063F8F-E7D3-4537-B22E-B2FC2A1F58BF}"/>
    <cellStyle name="SAPBEXexcGood3 2 4 2 15 2" xfId="11574" xr:uid="{2DD83A62-2986-49E5-B0C5-E167973A6D1C}"/>
    <cellStyle name="SAPBEXexcGood3 2 4 2 2" xfId="11575" xr:uid="{CD8C8D40-1C51-44B5-8EBD-5C766F579006}"/>
    <cellStyle name="SAPBEXexcGood3 2 4 2 2 2" xfId="11576" xr:uid="{7A68AC5B-7451-4643-980B-6BCBF7086041}"/>
    <cellStyle name="SAPBEXexcGood3 2 4 2 3" xfId="11577" xr:uid="{B6CEC8EF-4F17-44A6-A0E3-6559F75A3E91}"/>
    <cellStyle name="SAPBEXexcGood3 2 4 2 3 2" xfId="11578" xr:uid="{8226BD64-316C-4C74-BD7E-307D2086C080}"/>
    <cellStyle name="SAPBEXexcGood3 2 4 2 4" xfId="11579" xr:uid="{4674614F-AA7F-4DC0-90E4-D11433B4D63D}"/>
    <cellStyle name="SAPBEXexcGood3 2 4 2 4 2" xfId="11580" xr:uid="{C10581AF-949E-436E-97DC-664D61D208C8}"/>
    <cellStyle name="SAPBEXexcGood3 2 4 2 5" xfId="11581" xr:uid="{D7881ADD-65A9-412B-93A6-54F4E6387F6A}"/>
    <cellStyle name="SAPBEXexcGood3 2 4 2 5 2" xfId="11582" xr:uid="{666EAD5F-4377-497D-A248-7E764EB10745}"/>
    <cellStyle name="SAPBEXexcGood3 2 4 2 6" xfId="11583" xr:uid="{9487645A-E2C7-40ED-941A-B35EBE093591}"/>
    <cellStyle name="SAPBEXexcGood3 2 4 2 6 2" xfId="11584" xr:uid="{FC012AEA-B305-4EA5-91AB-F6663DDE1B8C}"/>
    <cellStyle name="SAPBEXexcGood3 2 4 2 7" xfId="11585" xr:uid="{9779823B-784C-480E-B6DB-B4C6EC15EBCE}"/>
    <cellStyle name="SAPBEXexcGood3 2 4 2 7 2" xfId="11586" xr:uid="{781FD2C6-CE14-4A44-9A40-7C977E5D4877}"/>
    <cellStyle name="SAPBEXexcGood3 2 4 2 8" xfId="11587" xr:uid="{566231A2-A5E8-42FF-BCDE-BD59480C1DC5}"/>
    <cellStyle name="SAPBEXexcGood3 2 4 2 8 2" xfId="11588" xr:uid="{87061CC6-493B-4C32-8733-77A525CBEEDA}"/>
    <cellStyle name="SAPBEXexcGood3 2 4 2 9" xfId="11589" xr:uid="{C1E29E4B-FEDE-44C3-8215-4E902C435852}"/>
    <cellStyle name="SAPBEXexcGood3 2 4 2 9 2" xfId="11590" xr:uid="{35E41EF5-7B26-41CE-A8AE-258BC1901F53}"/>
    <cellStyle name="SAPBEXexcGood3 2 4 3" xfId="11591" xr:uid="{8F06E663-0FC6-49E2-8ACE-B87234D12E18}"/>
    <cellStyle name="SAPBEXexcGood3 2 4 3 10" xfId="11592" xr:uid="{EF57CEEB-67D5-40A8-B956-7D419B09316E}"/>
    <cellStyle name="SAPBEXexcGood3 2 4 3 10 2" xfId="11593" xr:uid="{BFD88497-4ACF-4119-AC6D-A0D2B7E2E9B6}"/>
    <cellStyle name="SAPBEXexcGood3 2 4 3 11" xfId="11594" xr:uid="{7FF8D8BF-CBE7-4F90-A036-21F35D551D76}"/>
    <cellStyle name="SAPBEXexcGood3 2 4 3 11 2" xfId="11595" xr:uid="{666687EF-8B25-42F8-BBBA-9ADAF7C1D356}"/>
    <cellStyle name="SAPBEXexcGood3 2 4 3 12" xfId="11596" xr:uid="{36502C83-62EB-4285-881C-B5F3AE853B63}"/>
    <cellStyle name="SAPBEXexcGood3 2 4 3 12 2" xfId="11597" xr:uid="{8D452DD5-74C1-4EB8-871B-F2699596EA9E}"/>
    <cellStyle name="SAPBEXexcGood3 2 4 3 13" xfId="11598" xr:uid="{F8615333-2B7A-4217-B971-BC036239CCF7}"/>
    <cellStyle name="SAPBEXexcGood3 2 4 3 13 2" xfId="11599" xr:uid="{658F8516-66AB-456E-8FAC-C6ED801146B2}"/>
    <cellStyle name="SAPBEXexcGood3 2 4 3 14" xfId="11600" xr:uid="{1971031D-3678-4304-A6BA-6FC3DF88A499}"/>
    <cellStyle name="SAPBEXexcGood3 2 4 3 14 2" xfId="11601" xr:uid="{C9D4BDB4-61C5-478E-B764-DD857E899FDB}"/>
    <cellStyle name="SAPBEXexcGood3 2 4 3 15" xfId="11602" xr:uid="{A69C115A-01CD-4777-B356-863F70349E5E}"/>
    <cellStyle name="SAPBEXexcGood3 2 4 3 15 2" xfId="11603" xr:uid="{E2693571-B3C8-42A1-8047-06CBA12B73FD}"/>
    <cellStyle name="SAPBEXexcGood3 2 4 3 2" xfId="11604" xr:uid="{1ABBBD12-812D-4692-A7EE-EB4D7F44A35E}"/>
    <cellStyle name="SAPBEXexcGood3 2 4 3 2 2" xfId="11605" xr:uid="{8495EC6B-4D65-4398-8CBA-5B1DB28D7F83}"/>
    <cellStyle name="SAPBEXexcGood3 2 4 3 3" xfId="11606" xr:uid="{505B20D2-EA98-41CD-9C4B-E633E5CDD4D2}"/>
    <cellStyle name="SAPBEXexcGood3 2 4 3 3 2" xfId="11607" xr:uid="{7C19D250-7052-4D37-8B9F-E4A69D474F37}"/>
    <cellStyle name="SAPBEXexcGood3 2 4 3 4" xfId="11608" xr:uid="{6EB60F73-ED9D-4347-BD62-3090914B0A31}"/>
    <cellStyle name="SAPBEXexcGood3 2 4 3 4 2" xfId="11609" xr:uid="{821EB11D-0D50-4720-8803-69571B87BEDD}"/>
    <cellStyle name="SAPBEXexcGood3 2 4 3 5" xfId="11610" xr:uid="{269BB075-7ECA-4D67-9C22-EE32B36EE9AE}"/>
    <cellStyle name="SAPBEXexcGood3 2 4 3 5 2" xfId="11611" xr:uid="{4527F9B3-9803-4024-9D07-9E79DA8471B7}"/>
    <cellStyle name="SAPBEXexcGood3 2 4 3 6" xfId="11612" xr:uid="{55B00CA6-226A-4B65-977C-BBEB71AA1BC9}"/>
    <cellStyle name="SAPBEXexcGood3 2 4 3 6 2" xfId="11613" xr:uid="{6BB57211-CA6C-42D1-A43B-00F098C08E9D}"/>
    <cellStyle name="SAPBEXexcGood3 2 4 3 7" xfId="11614" xr:uid="{1EF621F5-57EF-4549-BCF7-4F7AE962F126}"/>
    <cellStyle name="SAPBEXexcGood3 2 4 3 7 2" xfId="11615" xr:uid="{AC0DEC25-B590-4C2B-ABD5-BC10C685D72D}"/>
    <cellStyle name="SAPBEXexcGood3 2 4 3 8" xfId="11616" xr:uid="{925FBCBE-40AE-479E-BF74-45DEE8256CE6}"/>
    <cellStyle name="SAPBEXexcGood3 2 4 3 8 2" xfId="11617" xr:uid="{28F40823-2F4E-434B-B31B-F18B14CA803C}"/>
    <cellStyle name="SAPBEXexcGood3 2 4 3 9" xfId="11618" xr:uid="{F97C214C-3D9C-4FDD-AC08-AAB1F63A4202}"/>
    <cellStyle name="SAPBEXexcGood3 2 4 3 9 2" xfId="11619" xr:uid="{87B1EA41-2F8D-432D-BF2B-9AD4E0B272A4}"/>
    <cellStyle name="SAPBEXexcGood3 2 4 4" xfId="11620" xr:uid="{6F23BFF4-245D-4841-BC26-5AE1B0FF11F1}"/>
    <cellStyle name="SAPBEXexcGood3 2 4 4 2" xfId="11621" xr:uid="{908D8D19-C859-4C74-8B9B-61D051D9E016}"/>
    <cellStyle name="SAPBEXexcGood3 2 4 5" xfId="11622" xr:uid="{BCFC154B-82F5-41B9-A3A7-C9C6793DE125}"/>
    <cellStyle name="SAPBEXexcGood3 2 4 5 2" xfId="11623" xr:uid="{20368B2C-3A58-449B-BE4F-31A35E202B3E}"/>
    <cellStyle name="SAPBEXexcGood3 2 4 6" xfId="11624" xr:uid="{50745DB1-927C-4BCC-9AFD-B261E20A9DF2}"/>
    <cellStyle name="SAPBEXexcGood3 2 4 6 2" xfId="11625" xr:uid="{F47800DE-9B4F-4B48-BABF-F98B07173B58}"/>
    <cellStyle name="SAPBEXexcGood3 2 4 7" xfId="11626" xr:uid="{CF1F7DE2-ADC9-4EC3-A9E6-EA8E9BECF92A}"/>
    <cellStyle name="SAPBEXexcGood3 2 4 7 2" xfId="11627" xr:uid="{F19293D5-70F2-4F4F-BF37-5B5CBC5B4700}"/>
    <cellStyle name="SAPBEXexcGood3 2 4 8" xfId="11628" xr:uid="{3A9787E1-1A4F-4DA3-B7E0-FEA0E520C474}"/>
    <cellStyle name="SAPBEXexcGood3 2 4 8 2" xfId="11629" xr:uid="{E5EFE5A0-B17B-47E1-92FE-C01C895069CE}"/>
    <cellStyle name="SAPBEXexcGood3 2 4 9" xfId="11630" xr:uid="{897039D7-2904-4E6E-A62A-F57DD40DC3E7}"/>
    <cellStyle name="SAPBEXexcGood3 2 4 9 2" xfId="11631" xr:uid="{6DC7F352-4A97-41DF-8986-CBACC8366C04}"/>
    <cellStyle name="SAPBEXexcGood3 2 5" xfId="11632" xr:uid="{FFC9C4A0-AC8F-4BDB-8AAC-6505D4B6C34A}"/>
    <cellStyle name="SAPBEXexcGood3 2 5 2" xfId="11633" xr:uid="{6571C741-AD33-42C1-BCCC-22D42903091B}"/>
    <cellStyle name="SAPBEXexcGood3 2 6" xfId="11634" xr:uid="{1DBCF7FF-4F3E-484A-A6E9-F9966D53DEB3}"/>
    <cellStyle name="SAPBEXexcGood3 2 6 2" xfId="11635" xr:uid="{135B1B2A-8EF3-42E2-9E73-FF95A60E40E2}"/>
    <cellStyle name="SAPBEXexcGood3 2 7" xfId="11636" xr:uid="{3599C81F-4D67-4999-A2BC-A2C2A9DA5909}"/>
    <cellStyle name="SAPBEXexcGood3 2 7 2" xfId="11637" xr:uid="{8FCF3B88-4757-4900-8511-370E0441F01B}"/>
    <cellStyle name="SAPBEXexcGood3 2 8" xfId="11638" xr:uid="{4362B78B-590D-4A02-A800-E4FF76453503}"/>
    <cellStyle name="SAPBEXexcGood3 2 8 2" xfId="11639" xr:uid="{F942103C-51C3-4ECA-9DB8-3BE83EFADD5C}"/>
    <cellStyle name="SAPBEXexcGood3 2 9" xfId="11640" xr:uid="{DBE49C83-E3EC-41EB-97E4-31308EEF4DFD}"/>
    <cellStyle name="SAPBEXexcGood3 2 9 2" xfId="11641" xr:uid="{2AFDD3CF-6CEB-4041-9D29-6320D234E629}"/>
    <cellStyle name="SAPBEXexcGood3 2_T1 ANSP" xfId="11352" xr:uid="{2A2266DB-8FC0-4A81-AC28-069A4830C569}"/>
    <cellStyle name="SAPBEXexcGood3 20" xfId="11642" xr:uid="{25333BCE-9B2D-421B-B5BB-1CBC0E86127F}"/>
    <cellStyle name="SAPBEXexcGood3 3" xfId="1512" xr:uid="{00000000-0005-0000-0000-00007A050000}"/>
    <cellStyle name="SAPBEXexcGood3 3 10" xfId="11644" xr:uid="{789BCDC5-EF31-425A-AA83-16AD8C70B026}"/>
    <cellStyle name="SAPBEXexcGood3 3 10 2" xfId="11645" xr:uid="{8C81903D-2421-492F-A4D7-F7AE6489706C}"/>
    <cellStyle name="SAPBEXexcGood3 3 11" xfId="11646" xr:uid="{86D9476D-CF8A-4539-ABA2-022C86627522}"/>
    <cellStyle name="SAPBEXexcGood3 3 11 2" xfId="11647" xr:uid="{0B39D0E0-1EBF-442C-BB6B-97F001213E11}"/>
    <cellStyle name="SAPBEXexcGood3 3 12" xfId="11648" xr:uid="{97B0184A-CF39-4EE5-9BCE-C9F4FD8BC167}"/>
    <cellStyle name="SAPBEXexcGood3 3 12 2" xfId="11649" xr:uid="{89D447C7-DBE6-4EB3-A5C1-C297ACBB27B3}"/>
    <cellStyle name="SAPBEXexcGood3 3 13" xfId="11650" xr:uid="{D72BA264-CB4C-4579-87CC-3E076C9196E3}"/>
    <cellStyle name="SAPBEXexcGood3 3 13 2" xfId="11651" xr:uid="{A4C7F9EF-DF4E-40D8-8C35-E3E06A147C44}"/>
    <cellStyle name="SAPBEXexcGood3 3 14" xfId="11652" xr:uid="{9186B8AA-A929-4C67-A4AA-2EC3C836881C}"/>
    <cellStyle name="SAPBEXexcGood3 3 14 2" xfId="11653" xr:uid="{E941C1A1-4436-4200-82D3-01CB93C2C3AD}"/>
    <cellStyle name="SAPBEXexcGood3 3 15" xfId="11654" xr:uid="{B73447D1-2E0B-4C06-9CEB-86DFED6B2959}"/>
    <cellStyle name="SAPBEXexcGood3 3 15 2" xfId="11655" xr:uid="{2C9F0D28-17E8-4EEE-BCDE-31F79FAD5E6F}"/>
    <cellStyle name="SAPBEXexcGood3 3 16" xfId="11656" xr:uid="{7789F6E8-A5D0-491D-9C8C-3554B65C5E34}"/>
    <cellStyle name="SAPBEXexcGood3 3 16 2" xfId="11657" xr:uid="{53D320DA-1637-48CA-BB29-BEF38BD21248}"/>
    <cellStyle name="SAPBEXexcGood3 3 17" xfId="11658" xr:uid="{82CC70E2-E9B4-4203-8C35-FAB8D3D98021}"/>
    <cellStyle name="SAPBEXexcGood3 3 17 2" xfId="11659" xr:uid="{56E3E43C-3720-4864-B457-F3E994911575}"/>
    <cellStyle name="SAPBEXexcGood3 3 18" xfId="11660" xr:uid="{DF444B06-4E60-4E60-BA8D-16E25EDFAFF6}"/>
    <cellStyle name="SAPBEXexcGood3 3 2" xfId="11661" xr:uid="{97B8A063-144C-4387-B277-A418D80B9CB2}"/>
    <cellStyle name="SAPBEXexcGood3 3 2 10" xfId="11662" xr:uid="{DD8449AA-6205-4D54-83A0-56E0DDA4DA69}"/>
    <cellStyle name="SAPBEXexcGood3 3 2 10 2" xfId="11663" xr:uid="{309D3E58-91F6-48E5-BE0B-96C8385B75BA}"/>
    <cellStyle name="SAPBEXexcGood3 3 2 11" xfId="11664" xr:uid="{823A3394-95BF-4248-9A94-57A3071DEE32}"/>
    <cellStyle name="SAPBEXexcGood3 3 2 11 2" xfId="11665" xr:uid="{7EFF7A31-BB8D-48C5-809D-CD741D6E734A}"/>
    <cellStyle name="SAPBEXexcGood3 3 2 12" xfId="11666" xr:uid="{4137EF59-865C-4590-9388-6D6571E6356E}"/>
    <cellStyle name="SAPBEXexcGood3 3 2 12 2" xfId="11667" xr:uid="{3CC17293-C772-4FBD-BFCD-5546149923FC}"/>
    <cellStyle name="SAPBEXexcGood3 3 2 13" xfId="11668" xr:uid="{9DDC6125-4512-4B71-933E-54139F8F7F9C}"/>
    <cellStyle name="SAPBEXexcGood3 3 2 13 2" xfId="11669" xr:uid="{4D15E197-551B-4B29-9056-3A5616BBEEFF}"/>
    <cellStyle name="SAPBEXexcGood3 3 2 14" xfId="11670" xr:uid="{F822AE04-DB05-4382-82E2-7836EAE48D1F}"/>
    <cellStyle name="SAPBEXexcGood3 3 2 14 2" xfId="11671" xr:uid="{16AB9D86-ACB2-443E-A2BE-37E9CAAE3AE5}"/>
    <cellStyle name="SAPBEXexcGood3 3 2 15" xfId="11672" xr:uid="{EA1619A6-CCB1-4A14-A41E-F84B1A1A726B}"/>
    <cellStyle name="SAPBEXexcGood3 3 2 15 2" xfId="11673" xr:uid="{1B1D7FEF-1E16-4772-B798-1E5550C622B9}"/>
    <cellStyle name="SAPBEXexcGood3 3 2 16" xfId="11674" xr:uid="{DF0D199C-B540-48D0-9BA0-7945F68C6B98}"/>
    <cellStyle name="SAPBEXexcGood3 3 2 2" xfId="11675" xr:uid="{F3170B1D-3819-4BEF-968A-400A097EF469}"/>
    <cellStyle name="SAPBEXexcGood3 3 2 2 2" xfId="11676" xr:uid="{81B2CB6B-AF15-466F-98F6-C6948DF0F9C7}"/>
    <cellStyle name="SAPBEXexcGood3 3 2 3" xfId="11677" xr:uid="{80827570-6B30-4427-9C44-F3D7CEF8B29B}"/>
    <cellStyle name="SAPBEXexcGood3 3 2 3 2" xfId="11678" xr:uid="{65693BE6-2A2B-45C8-80FA-2F0E44B5A2E8}"/>
    <cellStyle name="SAPBEXexcGood3 3 2 4" xfId="11679" xr:uid="{99CAE79B-8D65-4F50-B44C-5F888F499D45}"/>
    <cellStyle name="SAPBEXexcGood3 3 2 4 2" xfId="11680" xr:uid="{84BE8454-9FA6-4F9F-BE02-B21575974EE6}"/>
    <cellStyle name="SAPBEXexcGood3 3 2 5" xfId="11681" xr:uid="{A547B366-6CAF-4B89-8541-479E21623BA9}"/>
    <cellStyle name="SAPBEXexcGood3 3 2 5 2" xfId="11682" xr:uid="{C4184311-D43F-4819-A618-BB5ED9877C46}"/>
    <cellStyle name="SAPBEXexcGood3 3 2 6" xfId="11683" xr:uid="{F589BDCF-16D7-4E1F-9E27-493F06C20C80}"/>
    <cellStyle name="SAPBEXexcGood3 3 2 6 2" xfId="11684" xr:uid="{357B183E-286B-45C4-97E7-DA1682CCDB92}"/>
    <cellStyle name="SAPBEXexcGood3 3 2 7" xfId="11685" xr:uid="{47E42779-DD73-4C9E-AC0A-B1D7C600FA25}"/>
    <cellStyle name="SAPBEXexcGood3 3 2 7 2" xfId="11686" xr:uid="{02965140-5E8F-44B8-AA38-1C6662BE59E9}"/>
    <cellStyle name="SAPBEXexcGood3 3 2 8" xfId="11687" xr:uid="{14869479-93B4-4BE9-8091-D58F5FE25134}"/>
    <cellStyle name="SAPBEXexcGood3 3 2 8 2" xfId="11688" xr:uid="{FFEECDB1-4326-4760-B157-BD4BE974DA8E}"/>
    <cellStyle name="SAPBEXexcGood3 3 2 9" xfId="11689" xr:uid="{CD5BE4F3-CCAB-40D9-9882-9C2783288C72}"/>
    <cellStyle name="SAPBEXexcGood3 3 2 9 2" xfId="11690" xr:uid="{A2973E88-0EF9-4B5F-BA79-FE584D8A1682}"/>
    <cellStyle name="SAPBEXexcGood3 3 3" xfId="11691" xr:uid="{8F4D5894-23D9-49D9-A1E0-6AEA0D70AB6A}"/>
    <cellStyle name="SAPBEXexcGood3 3 3 10" xfId="11692" xr:uid="{0A453ED1-602D-4937-8909-655C331B68EB}"/>
    <cellStyle name="SAPBEXexcGood3 3 3 10 2" xfId="11693" xr:uid="{FA5C3504-A13B-4C6E-8BBE-605E7086D1A3}"/>
    <cellStyle name="SAPBEXexcGood3 3 3 11" xfId="11694" xr:uid="{56BFE539-EE85-41D1-9609-53E126C761CA}"/>
    <cellStyle name="SAPBEXexcGood3 3 3 11 2" xfId="11695" xr:uid="{966548C5-8270-425F-9851-C79F78C963F4}"/>
    <cellStyle name="SAPBEXexcGood3 3 3 12" xfId="11696" xr:uid="{D3F385FC-0DC0-494E-9E28-F722BC11ED91}"/>
    <cellStyle name="SAPBEXexcGood3 3 3 12 2" xfId="11697" xr:uid="{4134BE8E-1BFE-427D-8136-B8C94973F149}"/>
    <cellStyle name="SAPBEXexcGood3 3 3 13" xfId="11698" xr:uid="{2CC6F573-1F14-4401-8F53-9B07FC00471E}"/>
    <cellStyle name="SAPBEXexcGood3 3 3 13 2" xfId="11699" xr:uid="{D2132AAD-42C4-42B9-BB27-60A2E1ED8565}"/>
    <cellStyle name="SAPBEXexcGood3 3 3 14" xfId="11700" xr:uid="{7A945C6F-ECC5-468D-9FB1-4911D1CAE724}"/>
    <cellStyle name="SAPBEXexcGood3 3 3 14 2" xfId="11701" xr:uid="{3D0A3AF0-E43F-4B0F-AC7E-D4ECB4DB2C20}"/>
    <cellStyle name="SAPBEXexcGood3 3 3 15" xfId="11702" xr:uid="{759CC205-5D2C-4346-853E-4600B014A8C2}"/>
    <cellStyle name="SAPBEXexcGood3 3 3 15 2" xfId="11703" xr:uid="{F3ADA8AD-4DCD-4F76-94EB-08EA35D162DB}"/>
    <cellStyle name="SAPBEXexcGood3 3 3 16" xfId="11704" xr:uid="{16B19B89-3B67-4386-9AF1-522FC57A23E9}"/>
    <cellStyle name="SAPBEXexcGood3 3 3 2" xfId="11705" xr:uid="{FEC8C335-A375-4409-9A23-5D45427067AB}"/>
    <cellStyle name="SAPBEXexcGood3 3 3 2 2" xfId="11706" xr:uid="{8F37887D-7D87-4C5E-A7D9-74906B71111E}"/>
    <cellStyle name="SAPBEXexcGood3 3 3 3" xfId="11707" xr:uid="{6A7B04F8-51B2-4F0F-87AC-B01EABB68E09}"/>
    <cellStyle name="SAPBEXexcGood3 3 3 3 2" xfId="11708" xr:uid="{5BD4B6B2-5C7C-404A-9835-63055B2B047F}"/>
    <cellStyle name="SAPBEXexcGood3 3 3 4" xfId="11709" xr:uid="{DE6E1940-568C-4028-9769-7DCB622EDD30}"/>
    <cellStyle name="SAPBEXexcGood3 3 3 4 2" xfId="11710" xr:uid="{84F708DB-0D0A-42D4-A7C9-14EF100A6F95}"/>
    <cellStyle name="SAPBEXexcGood3 3 3 5" xfId="11711" xr:uid="{70954666-C670-4A1A-9768-09E1A121F1EE}"/>
    <cellStyle name="SAPBEXexcGood3 3 3 5 2" xfId="11712" xr:uid="{252FAA96-9D2E-4A40-BA8F-67573380B513}"/>
    <cellStyle name="SAPBEXexcGood3 3 3 6" xfId="11713" xr:uid="{06A59F05-25C4-48E5-8CD7-041C94F8CEBD}"/>
    <cellStyle name="SAPBEXexcGood3 3 3 6 2" xfId="11714" xr:uid="{151E8405-52D9-4073-9E29-D85AE32BDF05}"/>
    <cellStyle name="SAPBEXexcGood3 3 3 7" xfId="11715" xr:uid="{5151759C-598D-464B-83BD-A90D3E78E9D3}"/>
    <cellStyle name="SAPBEXexcGood3 3 3 7 2" xfId="11716" xr:uid="{E9F511A3-70C9-4CE6-B502-98242F6949F4}"/>
    <cellStyle name="SAPBEXexcGood3 3 3 8" xfId="11717" xr:uid="{B51D0F40-C557-481D-AE0D-76D20431FBF5}"/>
    <cellStyle name="SAPBEXexcGood3 3 3 8 2" xfId="11718" xr:uid="{40F5B344-B04B-48B9-90E7-F8EC90A558E9}"/>
    <cellStyle name="SAPBEXexcGood3 3 3 9" xfId="11719" xr:uid="{D9427D09-A702-45A8-8AAD-DEB2B6B23659}"/>
    <cellStyle name="SAPBEXexcGood3 3 3 9 2" xfId="11720" xr:uid="{22931E46-801E-48B6-AC2A-98073F94E67E}"/>
    <cellStyle name="SAPBEXexcGood3 3 4" xfId="11721" xr:uid="{3D2C6995-4403-4AA2-AC69-5B1FAA898E7C}"/>
    <cellStyle name="SAPBEXexcGood3 3 4 2" xfId="11722" xr:uid="{DF20A070-7828-43D3-8DB9-30F433F6F4EA}"/>
    <cellStyle name="SAPBEXexcGood3 3 5" xfId="11723" xr:uid="{A99DAE73-450B-441E-915A-0B0A0B01A3BB}"/>
    <cellStyle name="SAPBEXexcGood3 3 5 2" xfId="11724" xr:uid="{ABEBD988-97FF-49D3-88C4-3BBE4BEA30C5}"/>
    <cellStyle name="SAPBEXexcGood3 3 6" xfId="11725" xr:uid="{A32FA420-7EFE-4151-A762-B07137C0694A}"/>
    <cellStyle name="SAPBEXexcGood3 3 6 2" xfId="11726" xr:uid="{D30B9E16-2A18-42C2-8BB9-254D6656B690}"/>
    <cellStyle name="SAPBEXexcGood3 3 7" xfId="11727" xr:uid="{F07A82DF-1364-45E4-BA7A-1430D6AEA3B1}"/>
    <cellStyle name="SAPBEXexcGood3 3 7 2" xfId="11728" xr:uid="{21AE0D29-B5A4-48EE-9A3F-A7D505288039}"/>
    <cellStyle name="SAPBEXexcGood3 3 8" xfId="11729" xr:uid="{AE391622-8408-40C8-AEA9-60F4529A8D66}"/>
    <cellStyle name="SAPBEXexcGood3 3 8 2" xfId="11730" xr:uid="{13C6A1D1-AD34-47EA-B98D-D376164323C1}"/>
    <cellStyle name="SAPBEXexcGood3 3 9" xfId="11731" xr:uid="{59BD1812-EAC4-407C-A6E0-6B4DC09114A1}"/>
    <cellStyle name="SAPBEXexcGood3 3 9 2" xfId="11732" xr:uid="{1402B0E3-96CF-44C2-9BAC-423EEFE1FB67}"/>
    <cellStyle name="SAPBEXexcGood3 3_T1 ANSP" xfId="11643" xr:uid="{6EF844B8-77D0-42DA-AEB0-36187DBB5021}"/>
    <cellStyle name="SAPBEXexcGood3 4" xfId="11733" xr:uid="{516B478C-B807-4FAF-AB3E-9EECE785AF30}"/>
    <cellStyle name="SAPBEXexcGood3 4 10" xfId="11734" xr:uid="{518648FC-005C-4815-8A7C-44407541905B}"/>
    <cellStyle name="SAPBEXexcGood3 4 10 2" xfId="11735" xr:uid="{1645DA82-3D17-4112-AD45-157682896FE9}"/>
    <cellStyle name="SAPBEXexcGood3 4 11" xfId="11736" xr:uid="{53FCC979-1D7A-4E41-8EF7-A953FE1AC1D0}"/>
    <cellStyle name="SAPBEXexcGood3 4 11 2" xfId="11737" xr:uid="{67482B38-F552-4AE7-A6CF-C650565E2B79}"/>
    <cellStyle name="SAPBEXexcGood3 4 12" xfId="11738" xr:uid="{5EE83FBA-0E9C-475B-A5A2-4AD79EBABB9F}"/>
    <cellStyle name="SAPBEXexcGood3 4 12 2" xfId="11739" xr:uid="{16F23943-F23C-46E7-A942-685F10BBF771}"/>
    <cellStyle name="SAPBEXexcGood3 4 13" xfId="11740" xr:uid="{AA2FAE57-AF90-4242-9ABE-0CADA28CB26A}"/>
    <cellStyle name="SAPBEXexcGood3 4 13 2" xfId="11741" xr:uid="{EF945C37-DBC6-4EA5-BE4D-A8A97F1C946F}"/>
    <cellStyle name="SAPBEXexcGood3 4 14" xfId="11742" xr:uid="{2920DA86-E050-4CE6-AAD0-D4C7EFD5E1CB}"/>
    <cellStyle name="SAPBEXexcGood3 4 14 2" xfId="11743" xr:uid="{1F9B26B7-58CE-45A1-9E97-1D48CDFAC1A8}"/>
    <cellStyle name="SAPBEXexcGood3 4 15" xfId="11744" xr:uid="{FA069E4D-3505-43E2-876D-9832A0C3B40C}"/>
    <cellStyle name="SAPBEXexcGood3 4 15 2" xfId="11745" xr:uid="{EFDCAC5F-DF20-4985-9B0E-904424FDD45F}"/>
    <cellStyle name="SAPBEXexcGood3 4 16" xfId="11746" xr:uid="{2312EB0B-025A-4D62-BBF7-8C96DBA927EB}"/>
    <cellStyle name="SAPBEXexcGood3 4 16 2" xfId="11747" xr:uid="{B36F8E44-364D-4FC4-BE71-CEE101B20F1C}"/>
    <cellStyle name="SAPBEXexcGood3 4 17" xfId="11748" xr:uid="{ED09B40D-6201-462F-883C-2CA34D791811}"/>
    <cellStyle name="SAPBEXexcGood3 4 17 2" xfId="11749" xr:uid="{DA6F90F9-EE98-45F9-81F6-51CB7B23331B}"/>
    <cellStyle name="SAPBEXexcGood3 4 18" xfId="11750" xr:uid="{3EA72FDB-2773-47FB-8D80-DFAE5827287D}"/>
    <cellStyle name="SAPBEXexcGood3 4 2" xfId="11751" xr:uid="{27989168-5EB9-4564-B17C-A2F0FFC9A8A8}"/>
    <cellStyle name="SAPBEXexcGood3 4 2 10" xfId="11752" xr:uid="{C7225F20-7E03-48F2-A403-DC56FE33A114}"/>
    <cellStyle name="SAPBEXexcGood3 4 2 10 2" xfId="11753" xr:uid="{A90F2EDC-410D-4CAF-AC1D-2AAA9EE8F4A6}"/>
    <cellStyle name="SAPBEXexcGood3 4 2 11" xfId="11754" xr:uid="{35284FC7-F600-43F2-A927-DEBD2D28BB9E}"/>
    <cellStyle name="SAPBEXexcGood3 4 2 11 2" xfId="11755" xr:uid="{E1FA77C0-879A-434E-A538-C9D0901E65BE}"/>
    <cellStyle name="SAPBEXexcGood3 4 2 12" xfId="11756" xr:uid="{B76E31B0-396A-4BBE-B8F5-A5B733E57C17}"/>
    <cellStyle name="SAPBEXexcGood3 4 2 12 2" xfId="11757" xr:uid="{F115CA4B-10B3-47B5-A98B-53B615483080}"/>
    <cellStyle name="SAPBEXexcGood3 4 2 13" xfId="11758" xr:uid="{DEF36F7E-7318-4618-8DA7-C2AB2337750C}"/>
    <cellStyle name="SAPBEXexcGood3 4 2 13 2" xfId="11759" xr:uid="{663CD43C-F6FD-479D-9BDF-B36AE67C32BC}"/>
    <cellStyle name="SAPBEXexcGood3 4 2 14" xfId="11760" xr:uid="{AD989CDB-B4FA-4586-ADDC-DE36418A04EF}"/>
    <cellStyle name="SAPBEXexcGood3 4 2 14 2" xfId="11761" xr:uid="{6402457D-2303-4B2A-9EF8-9DF315059B31}"/>
    <cellStyle name="SAPBEXexcGood3 4 2 15" xfId="11762" xr:uid="{ECE45B42-8705-45F2-9EB2-8F365A4183E1}"/>
    <cellStyle name="SAPBEXexcGood3 4 2 15 2" xfId="11763" xr:uid="{25CB7243-FF70-4A94-82C0-CB9E8847D819}"/>
    <cellStyle name="SAPBEXexcGood3 4 2 16" xfId="11764" xr:uid="{0DAF8433-51D9-4E18-AD54-C2A022A4678A}"/>
    <cellStyle name="SAPBEXexcGood3 4 2 2" xfId="11765" xr:uid="{03B23617-5B37-4AEA-A567-5729908E9B33}"/>
    <cellStyle name="SAPBEXexcGood3 4 2 2 2" xfId="11766" xr:uid="{F9990623-C8E6-41F5-B952-0E284D3E317F}"/>
    <cellStyle name="SAPBEXexcGood3 4 2 3" xfId="11767" xr:uid="{12379987-3705-40D1-926B-5969BF74DEB4}"/>
    <cellStyle name="SAPBEXexcGood3 4 2 3 2" xfId="11768" xr:uid="{3EE699F1-AC7F-4E13-A0F3-5A4455E3A160}"/>
    <cellStyle name="SAPBEXexcGood3 4 2 4" xfId="11769" xr:uid="{E60BBF78-8D35-477B-9267-CEEFC23734D5}"/>
    <cellStyle name="SAPBEXexcGood3 4 2 4 2" xfId="11770" xr:uid="{203DFBBE-B0A5-42CD-8D8F-D67F1828CD65}"/>
    <cellStyle name="SAPBEXexcGood3 4 2 5" xfId="11771" xr:uid="{3C064C0C-13D7-45E8-AA7F-DE86CF22BF05}"/>
    <cellStyle name="SAPBEXexcGood3 4 2 5 2" xfId="11772" xr:uid="{A291539E-D5E3-4097-AC71-E33AB145B8F9}"/>
    <cellStyle name="SAPBEXexcGood3 4 2 6" xfId="11773" xr:uid="{CC4596E3-3865-4CAA-8B76-2BA405946BE3}"/>
    <cellStyle name="SAPBEXexcGood3 4 2 6 2" xfId="11774" xr:uid="{50A1F566-CFD2-4ED9-8EAA-610D549922EE}"/>
    <cellStyle name="SAPBEXexcGood3 4 2 7" xfId="11775" xr:uid="{686D12BD-110F-459B-8785-98EE9565ED60}"/>
    <cellStyle name="SAPBEXexcGood3 4 2 7 2" xfId="11776" xr:uid="{25F17BA6-367A-47FC-BB51-3059A4104930}"/>
    <cellStyle name="SAPBEXexcGood3 4 2 8" xfId="11777" xr:uid="{37DCC9DE-6B5E-428E-9D9B-E768543984EF}"/>
    <cellStyle name="SAPBEXexcGood3 4 2 8 2" xfId="11778" xr:uid="{E876278D-3D72-412A-B876-6A81BE18E66B}"/>
    <cellStyle name="SAPBEXexcGood3 4 2 9" xfId="11779" xr:uid="{A627FA2E-A9B7-4E6C-BB8E-54C7A010F654}"/>
    <cellStyle name="SAPBEXexcGood3 4 2 9 2" xfId="11780" xr:uid="{E5AD2299-C0F6-4750-A76B-3E235C9520FE}"/>
    <cellStyle name="SAPBEXexcGood3 4 3" xfId="11781" xr:uid="{90F33E9F-8161-40A1-8DA3-1A5E232C4CED}"/>
    <cellStyle name="SAPBEXexcGood3 4 3 10" xfId="11782" xr:uid="{61CC74D4-2A72-40CE-A758-6C1211ED5B8A}"/>
    <cellStyle name="SAPBEXexcGood3 4 3 10 2" xfId="11783" xr:uid="{AEE25245-8613-4E9B-A3D2-25FA95A760E1}"/>
    <cellStyle name="SAPBEXexcGood3 4 3 11" xfId="11784" xr:uid="{D4BDBBB9-0AA6-464A-9ED8-431214F0C7F2}"/>
    <cellStyle name="SAPBEXexcGood3 4 3 11 2" xfId="11785" xr:uid="{8D19021E-A92C-450B-9086-3BA0BFD218DC}"/>
    <cellStyle name="SAPBEXexcGood3 4 3 12" xfId="11786" xr:uid="{CF165D5C-147A-418B-9540-540C95A950DC}"/>
    <cellStyle name="SAPBEXexcGood3 4 3 12 2" xfId="11787" xr:uid="{2B112C79-66A6-41CF-9D37-9FC2FAB3DCAA}"/>
    <cellStyle name="SAPBEXexcGood3 4 3 13" xfId="11788" xr:uid="{256904F5-1D39-4016-BEDB-B6D5C79F6300}"/>
    <cellStyle name="SAPBEXexcGood3 4 3 13 2" xfId="11789" xr:uid="{5D2A7FC9-8035-4504-B3E4-9727BAEEB4A5}"/>
    <cellStyle name="SAPBEXexcGood3 4 3 14" xfId="11790" xr:uid="{84234355-7EEC-4F04-9FF6-0B8ACBFA4F87}"/>
    <cellStyle name="SAPBEXexcGood3 4 3 14 2" xfId="11791" xr:uid="{EBE525BB-E9E3-4EA6-B303-4343E9DA8A43}"/>
    <cellStyle name="SAPBEXexcGood3 4 3 15" xfId="11792" xr:uid="{B80636B9-7839-4B61-9288-86FAB464A8D0}"/>
    <cellStyle name="SAPBEXexcGood3 4 3 15 2" xfId="11793" xr:uid="{04B54D27-465A-451D-9010-8401F50AEC03}"/>
    <cellStyle name="SAPBEXexcGood3 4 3 16" xfId="11794" xr:uid="{1EB2D5A8-0367-47FF-84A1-428A1A1E3C89}"/>
    <cellStyle name="SAPBEXexcGood3 4 3 2" xfId="11795" xr:uid="{4953E0A0-78A2-471A-8FC1-E400AF85EDD3}"/>
    <cellStyle name="SAPBEXexcGood3 4 3 2 2" xfId="11796" xr:uid="{BABCAC78-2DE8-4ABA-9AA2-5994D7B1455D}"/>
    <cellStyle name="SAPBEXexcGood3 4 3 3" xfId="11797" xr:uid="{0A893E5A-C66E-410C-B3DB-BFFA33982746}"/>
    <cellStyle name="SAPBEXexcGood3 4 3 3 2" xfId="11798" xr:uid="{8B1B74CE-1175-4F81-AF19-CACF07A36466}"/>
    <cellStyle name="SAPBEXexcGood3 4 3 4" xfId="11799" xr:uid="{147166DA-6EC8-42E5-8F49-2E99FB666C13}"/>
    <cellStyle name="SAPBEXexcGood3 4 3 4 2" xfId="11800" xr:uid="{5FAAB820-7BFA-4876-A819-41F3DB6C5D1E}"/>
    <cellStyle name="SAPBEXexcGood3 4 3 5" xfId="11801" xr:uid="{606223F4-8A88-44E6-8C06-09910814FCE5}"/>
    <cellStyle name="SAPBEXexcGood3 4 3 5 2" xfId="11802" xr:uid="{D61FB12A-1C74-4554-97D2-6C9171FF5B10}"/>
    <cellStyle name="SAPBEXexcGood3 4 3 6" xfId="11803" xr:uid="{A66B9F45-1F8A-40B3-B91C-EA3A8D4138A9}"/>
    <cellStyle name="SAPBEXexcGood3 4 3 6 2" xfId="11804" xr:uid="{D034EAED-CC7F-4CEA-A67D-2F96501172E6}"/>
    <cellStyle name="SAPBEXexcGood3 4 3 7" xfId="11805" xr:uid="{B713638B-1D89-468B-A03E-2ED7BE572D80}"/>
    <cellStyle name="SAPBEXexcGood3 4 3 7 2" xfId="11806" xr:uid="{8FF75498-9585-480D-962A-5B044D9941BD}"/>
    <cellStyle name="SAPBEXexcGood3 4 3 8" xfId="11807" xr:uid="{BE0EBF75-98D0-4E3D-BE95-055C8D103198}"/>
    <cellStyle name="SAPBEXexcGood3 4 3 8 2" xfId="11808" xr:uid="{C3D8494D-BE9A-461F-BD8B-415EE69838DF}"/>
    <cellStyle name="SAPBEXexcGood3 4 3 9" xfId="11809" xr:uid="{09940CA0-BD90-4E3C-951D-8434E080D693}"/>
    <cellStyle name="SAPBEXexcGood3 4 3 9 2" xfId="11810" xr:uid="{937B2057-E7B4-4405-B892-0CB115068620}"/>
    <cellStyle name="SAPBEXexcGood3 4 4" xfId="11811" xr:uid="{423140A6-60AC-4788-894C-24AB808D2AB0}"/>
    <cellStyle name="SAPBEXexcGood3 4 4 2" xfId="11812" xr:uid="{92C49C85-3AC7-4B65-9DFD-C85D813586F8}"/>
    <cellStyle name="SAPBEXexcGood3 4 5" xfId="11813" xr:uid="{80191818-8EBD-4831-A70D-28C2378CF033}"/>
    <cellStyle name="SAPBEXexcGood3 4 5 2" xfId="11814" xr:uid="{713D752A-89D3-4759-92D6-540BD69F7A33}"/>
    <cellStyle name="SAPBEXexcGood3 4 6" xfId="11815" xr:uid="{5D3243E5-FA36-48B5-9E6C-83CB81E981A2}"/>
    <cellStyle name="SAPBEXexcGood3 4 6 2" xfId="11816" xr:uid="{BEC81FA9-9453-40C3-B132-9AF9039976AB}"/>
    <cellStyle name="SAPBEXexcGood3 4 7" xfId="11817" xr:uid="{F30D4B93-F44F-4BB2-9E89-28D9CBA2CAA1}"/>
    <cellStyle name="SAPBEXexcGood3 4 7 2" xfId="11818" xr:uid="{C587857B-47F7-431F-A272-858387AB3639}"/>
    <cellStyle name="SAPBEXexcGood3 4 8" xfId="11819" xr:uid="{FDD109A7-A5C0-416B-9674-C145AB964AA6}"/>
    <cellStyle name="SAPBEXexcGood3 4 8 2" xfId="11820" xr:uid="{EF2622E4-5783-4F8B-A43B-C6DC46A8B991}"/>
    <cellStyle name="SAPBEXexcGood3 4 9" xfId="11821" xr:uid="{E8352417-9332-421E-A904-E3E0226C2B01}"/>
    <cellStyle name="SAPBEXexcGood3 4 9 2" xfId="11822" xr:uid="{76294E1A-0B29-439A-B690-326B2E6D78B9}"/>
    <cellStyle name="SAPBEXexcGood3 5" xfId="11823" xr:uid="{50841B57-2567-4F76-AD34-26D5973DA985}"/>
    <cellStyle name="SAPBEXexcGood3 5 10" xfId="11824" xr:uid="{4AE74839-A1BE-4731-BFCE-8E7CDFBF6B93}"/>
    <cellStyle name="SAPBEXexcGood3 5 10 2" xfId="11825" xr:uid="{666A8D2C-8145-4D83-9858-E729D039A3D2}"/>
    <cellStyle name="SAPBEXexcGood3 5 11" xfId="11826" xr:uid="{C65A0785-E763-48B0-82EB-4DE4AEABEADF}"/>
    <cellStyle name="SAPBEXexcGood3 5 11 2" xfId="11827" xr:uid="{D261F85C-2AD5-4EF7-8E19-4B415A1B47D5}"/>
    <cellStyle name="SAPBEXexcGood3 5 12" xfId="11828" xr:uid="{D077603B-69F0-43E9-8EFE-5207583D8E22}"/>
    <cellStyle name="SAPBEXexcGood3 5 12 2" xfId="11829" xr:uid="{FB8F7414-ECCA-4A1D-88A5-01B3CAD68BC9}"/>
    <cellStyle name="SAPBEXexcGood3 5 13" xfId="11830" xr:uid="{06BBC4CB-30A8-4968-807F-15B25AE2E1C9}"/>
    <cellStyle name="SAPBEXexcGood3 5 13 2" xfId="11831" xr:uid="{109FBB13-2A1D-461C-BABA-33F8BA0839B2}"/>
    <cellStyle name="SAPBEXexcGood3 5 14" xfId="11832" xr:uid="{A2BD0B86-FC0F-4FC0-8201-4B655645A73C}"/>
    <cellStyle name="SAPBEXexcGood3 5 14 2" xfId="11833" xr:uid="{ED2BA71A-30B3-407A-8AE3-59BFE6E5BB7F}"/>
    <cellStyle name="SAPBEXexcGood3 5 15" xfId="11834" xr:uid="{9D5A51D6-C48F-4461-BA92-17241AA80348}"/>
    <cellStyle name="SAPBEXexcGood3 5 15 2" xfId="11835" xr:uid="{9D878C9B-629F-44E9-AFFA-9CDDA9F8D032}"/>
    <cellStyle name="SAPBEXexcGood3 5 16" xfId="11836" xr:uid="{B1BA7CBE-B784-4E02-B87A-7B9093FA8249}"/>
    <cellStyle name="SAPBEXexcGood3 5 2" xfId="11837" xr:uid="{AFB89F42-0368-4072-86C1-1685B1F9F150}"/>
    <cellStyle name="SAPBEXexcGood3 5 2 2" xfId="11838" xr:uid="{0745617B-4693-413C-9AED-8E5BACAA2EF4}"/>
    <cellStyle name="SAPBEXexcGood3 5 3" xfId="11839" xr:uid="{8B29870F-01D4-4D2C-9DD1-6C8EACD99A35}"/>
    <cellStyle name="SAPBEXexcGood3 5 3 2" xfId="11840" xr:uid="{C6C13298-FA52-40C8-BB2A-1273A7BED70D}"/>
    <cellStyle name="SAPBEXexcGood3 5 4" xfId="11841" xr:uid="{9F8BEC70-6C29-404D-8444-5EED740857E1}"/>
    <cellStyle name="SAPBEXexcGood3 5 4 2" xfId="11842" xr:uid="{4A4B2209-8AEB-4A08-A4A4-4E5E8143E60B}"/>
    <cellStyle name="SAPBEXexcGood3 5 5" xfId="11843" xr:uid="{538DBD19-B9BC-4C85-8574-7BD56D1F216E}"/>
    <cellStyle name="SAPBEXexcGood3 5 5 2" xfId="11844" xr:uid="{78C23DF1-3E55-464E-B890-364B7DF12ABA}"/>
    <cellStyle name="SAPBEXexcGood3 5 6" xfId="11845" xr:uid="{3384127F-C1D1-45F5-87ED-3962E3FCE024}"/>
    <cellStyle name="SAPBEXexcGood3 5 6 2" xfId="11846" xr:uid="{C00328ED-9AC9-4665-B928-96EBAD6E6716}"/>
    <cellStyle name="SAPBEXexcGood3 5 7" xfId="11847" xr:uid="{1CC742DF-1E73-441D-9163-A046EAE8259F}"/>
    <cellStyle name="SAPBEXexcGood3 5 7 2" xfId="11848" xr:uid="{E4BA7794-1961-4272-BCB0-0C9B2DFF870E}"/>
    <cellStyle name="SAPBEXexcGood3 5 8" xfId="11849" xr:uid="{EF1A45C3-8D34-473B-BB94-80890450124C}"/>
    <cellStyle name="SAPBEXexcGood3 5 8 2" xfId="11850" xr:uid="{4A7BB2CD-7574-42F9-A332-630ADE83B762}"/>
    <cellStyle name="SAPBEXexcGood3 5 9" xfId="11851" xr:uid="{8C51E74A-185B-48EA-87C7-02C804F168DD}"/>
    <cellStyle name="SAPBEXexcGood3 5 9 2" xfId="11852" xr:uid="{CBB1FF98-F409-4F67-8AB4-AC7B5A086376}"/>
    <cellStyle name="SAPBEXexcGood3 6" xfId="11853" xr:uid="{3A37AF95-721D-49F0-90D8-1AD27A7C9625}"/>
    <cellStyle name="SAPBEXexcGood3 6 2" xfId="11854" xr:uid="{1A0C92E8-AF22-4292-8333-53ECC683CFC6}"/>
    <cellStyle name="SAPBEXexcGood3 7" xfId="11855" xr:uid="{F4585B53-82F7-4D9A-83C2-FE43908AC0FF}"/>
    <cellStyle name="SAPBEXexcGood3 7 2" xfId="11856" xr:uid="{D65D6E05-DB36-48A5-9BEC-07B0E2897077}"/>
    <cellStyle name="SAPBEXexcGood3 8" xfId="11857" xr:uid="{6E9920E4-544D-4CFA-8016-BB7E01BC7EAF}"/>
    <cellStyle name="SAPBEXexcGood3 8 2" xfId="11858" xr:uid="{701EE58C-9814-476A-8748-DCC374B8C6D3}"/>
    <cellStyle name="SAPBEXexcGood3 9" xfId="11859" xr:uid="{BF6D0683-FE44-4C2F-8F9D-558BEBFD42B7}"/>
    <cellStyle name="SAPBEXexcGood3 9 2" xfId="11860" xr:uid="{432CC8E3-FF1B-48E0-A648-9C1C6D792808}"/>
    <cellStyle name="SAPBEXexcGood3_T1 ANSP" xfId="11331" xr:uid="{CF7149E5-BB6C-43E6-B14B-7C60FC260298}"/>
    <cellStyle name="SAPBEXfilterDrill" xfId="740" xr:uid="{00000000-0005-0000-0000-00007B050000}"/>
    <cellStyle name="SAPBEXfilterDrill 10" xfId="11862" xr:uid="{D2367D91-1906-4139-8246-4FCD2671AD0F}"/>
    <cellStyle name="SAPBEXfilterDrill 10 2" xfId="11863" xr:uid="{A9B8C0A8-72A9-4515-99E9-AA615DD97642}"/>
    <cellStyle name="SAPBEXfilterDrill 11" xfId="11864" xr:uid="{699386A7-3E93-41F9-84FD-09D0AEAA0FC5}"/>
    <cellStyle name="SAPBEXfilterDrill 11 2" xfId="11865" xr:uid="{5C93BDAE-5174-4700-BE8A-7AF3D466684C}"/>
    <cellStyle name="SAPBEXfilterDrill 12" xfId="11866" xr:uid="{59C6CD48-7313-41AB-9AFA-BAA3607A76C7}"/>
    <cellStyle name="SAPBEXfilterDrill 12 2" xfId="11867" xr:uid="{D42654B3-E865-4C86-8366-A9BEAB2603E6}"/>
    <cellStyle name="SAPBEXfilterDrill 13" xfId="11868" xr:uid="{86C9B0F6-4F81-4C20-901C-6EE13E66695E}"/>
    <cellStyle name="SAPBEXfilterDrill 13 2" xfId="11869" xr:uid="{34EF6D72-406B-4CCD-B3BB-E82DA8851E95}"/>
    <cellStyle name="SAPBEXfilterDrill 14" xfId="11870" xr:uid="{48201728-CF8C-48BD-A60A-360AE3AD0D7E}"/>
    <cellStyle name="SAPBEXfilterDrill 14 2" xfId="11871" xr:uid="{69F10B46-47F2-481C-87C9-65AB5F75DD91}"/>
    <cellStyle name="SAPBEXfilterDrill 15" xfId="11872" xr:uid="{42DC1816-2C4B-46E9-982D-198CE0152E0A}"/>
    <cellStyle name="SAPBEXfilterDrill 15 2" xfId="11873" xr:uid="{C9ACCF53-593F-45C2-9BC6-12B8EFD71284}"/>
    <cellStyle name="SAPBEXfilterDrill 16" xfId="11874" xr:uid="{4BAD5BCF-6429-4636-B8D7-C7BDB059CE25}"/>
    <cellStyle name="SAPBEXfilterDrill 16 2" xfId="11875" xr:uid="{C0DD1C74-4925-44D5-9DAD-0AEA8574597A}"/>
    <cellStyle name="SAPBEXfilterDrill 17" xfId="11876" xr:uid="{ED7CF2FE-2F11-4A00-A8DC-6755A7084D80}"/>
    <cellStyle name="SAPBEXfilterDrill 17 2" xfId="11877" xr:uid="{F3859945-8B13-4340-8E4F-38AD7AA4E011}"/>
    <cellStyle name="SAPBEXfilterDrill 18" xfId="11878" xr:uid="{A3DC2729-4E19-4FEE-ABEC-2DD16B185676}"/>
    <cellStyle name="SAPBEXfilterDrill 2" xfId="1555" xr:uid="{00000000-0005-0000-0000-00007C050000}"/>
    <cellStyle name="SAPBEXfilterDrill 2 10" xfId="11880" xr:uid="{6912C463-3C72-4E66-B76F-AA8C87062A88}"/>
    <cellStyle name="SAPBEXfilterDrill 2 10 2" xfId="11881" xr:uid="{AB83465A-98CE-42E7-A60C-1ED5D0AAA7CC}"/>
    <cellStyle name="SAPBEXfilterDrill 2 11" xfId="11882" xr:uid="{512DB95A-AC13-4193-9CFC-0D3ED83B8C07}"/>
    <cellStyle name="SAPBEXfilterDrill 2 11 2" xfId="11883" xr:uid="{ABF88A0E-E384-4B36-949F-38B60CFF421A}"/>
    <cellStyle name="SAPBEXfilterDrill 2 12" xfId="11884" xr:uid="{756E08D7-6E01-47E3-B1B8-C5CD6BF36648}"/>
    <cellStyle name="SAPBEXfilterDrill 2 12 2" xfId="11885" xr:uid="{0D09F791-D95F-4838-9E89-52BE4CF11723}"/>
    <cellStyle name="SAPBEXfilterDrill 2 13" xfId="11886" xr:uid="{F28971AF-1EBA-413C-95BD-73D4761B9473}"/>
    <cellStyle name="SAPBEXfilterDrill 2 13 2" xfId="11887" xr:uid="{9F65C7B8-3F0C-4277-9ED2-FAB0D7B05980}"/>
    <cellStyle name="SAPBEXfilterDrill 2 14" xfId="11888" xr:uid="{8F682815-1704-492F-A909-8FD7E0FBED7F}"/>
    <cellStyle name="SAPBEXfilterDrill 2 14 2" xfId="11889" xr:uid="{7BDA8219-755C-4886-BC83-4478F0BA2002}"/>
    <cellStyle name="SAPBEXfilterDrill 2 15" xfId="11890" xr:uid="{ABCEF59D-FDB5-46F9-962A-02A1472EEF06}"/>
    <cellStyle name="SAPBEXfilterDrill 2 15 2" xfId="11891" xr:uid="{B974D13A-0117-4051-A23C-77E67396F9FE}"/>
    <cellStyle name="SAPBEXfilterDrill 2 16" xfId="11892" xr:uid="{28A6B94B-BF0E-4D95-8B1E-62CCCEC8BC5D}"/>
    <cellStyle name="SAPBEXfilterDrill 2 16 2" xfId="11893" xr:uid="{190935FB-DEFB-4143-9C10-4BFBCE2E2D68}"/>
    <cellStyle name="SAPBEXfilterDrill 2 17" xfId="11894" xr:uid="{C69D88AB-450C-4A41-B92C-C1671F1058CF}"/>
    <cellStyle name="SAPBEXfilterDrill 2 17 2" xfId="11895" xr:uid="{5D6D559F-6ED7-48BF-B9D3-F83EE886E888}"/>
    <cellStyle name="SAPBEXfilterDrill 2 18" xfId="11896" xr:uid="{33411BED-93AD-4A9E-99E1-E2A898F1758E}"/>
    <cellStyle name="SAPBEXfilterDrill 2 18 2" xfId="11897" xr:uid="{D9747920-5FFF-49ED-A826-E2360F4EBF5A}"/>
    <cellStyle name="SAPBEXfilterDrill 2 19" xfId="11898" xr:uid="{26E5F5F6-932F-41FD-8792-5E3172D844FC}"/>
    <cellStyle name="SAPBEXfilterDrill 2 2" xfId="11899" xr:uid="{DD9107AB-15BC-4A8B-9A67-38C392DF9926}"/>
    <cellStyle name="SAPBEXfilterDrill 2 2 10" xfId="11900" xr:uid="{FFB7B5C5-D028-4774-9E25-446B7E1FD837}"/>
    <cellStyle name="SAPBEXfilterDrill 2 2 10 2" xfId="11901" xr:uid="{173FD161-CBAB-4798-880B-D4CB7C6C4D56}"/>
    <cellStyle name="SAPBEXfilterDrill 2 2 11" xfId="11902" xr:uid="{6A43BB10-D36C-4EEF-9FFC-27EF58862BFA}"/>
    <cellStyle name="SAPBEXfilterDrill 2 2 11 2" xfId="11903" xr:uid="{D61D1548-0C11-479F-80DF-85B146C5AA41}"/>
    <cellStyle name="SAPBEXfilterDrill 2 2 12" xfId="11904" xr:uid="{F3EFD7CB-91D3-4F13-BCD5-385EC19FFB46}"/>
    <cellStyle name="SAPBEXfilterDrill 2 2 12 2" xfId="11905" xr:uid="{BB9A2875-C186-499B-95CE-1A4775938E3A}"/>
    <cellStyle name="SAPBEXfilterDrill 2 2 13" xfId="11906" xr:uid="{E51584CD-A510-4D35-89D8-C25A58216C8A}"/>
    <cellStyle name="SAPBEXfilterDrill 2 2 13 2" xfId="11907" xr:uid="{A91A8692-C365-4B27-8F8F-BCF0A059637F}"/>
    <cellStyle name="SAPBEXfilterDrill 2 2 14" xfId="11908" xr:uid="{4A0822C4-B3D1-43C9-841E-8A1CE66D1199}"/>
    <cellStyle name="SAPBEXfilterDrill 2 2 14 2" xfId="11909" xr:uid="{196110F0-78DD-4247-9C72-3F4EC3851A94}"/>
    <cellStyle name="SAPBEXfilterDrill 2 2 15" xfId="11910" xr:uid="{72C55B4A-E5F7-4F78-A82D-59EEF069D267}"/>
    <cellStyle name="SAPBEXfilterDrill 2 2 15 2" xfId="11911" xr:uid="{6248715E-8F43-4ED8-831B-560935CB508E}"/>
    <cellStyle name="SAPBEXfilterDrill 2 2 16" xfId="11912" xr:uid="{2C9B1B05-3E88-4147-8E47-F9BBC61AB111}"/>
    <cellStyle name="SAPBEXfilterDrill 2 2 16 2" xfId="11913" xr:uid="{915DCC01-449B-40F1-B66A-732D6B3D9137}"/>
    <cellStyle name="SAPBEXfilterDrill 2 2 17" xfId="11914" xr:uid="{A8342318-9332-472F-ACB6-EA23CFAE4522}"/>
    <cellStyle name="SAPBEXfilterDrill 2 2 17 2" xfId="11915" xr:uid="{AE816E6F-2919-43C8-9638-291B1CE19A38}"/>
    <cellStyle name="SAPBEXfilterDrill 2 2 18" xfId="11916" xr:uid="{219DB4BD-CF08-47DF-90A7-38AC93E12972}"/>
    <cellStyle name="SAPBEXfilterDrill 2 2 2" xfId="11917" xr:uid="{98D224C1-DC26-48EE-BD8E-9F784029228E}"/>
    <cellStyle name="SAPBEXfilterDrill 2 2 2 10" xfId="11918" xr:uid="{6F9475F3-EC65-46F9-8CBE-11C03592DD88}"/>
    <cellStyle name="SAPBEXfilterDrill 2 2 2 10 2" xfId="11919" xr:uid="{DF0954BF-9710-4409-B391-8ABF56B3560A}"/>
    <cellStyle name="SAPBEXfilterDrill 2 2 2 11" xfId="11920" xr:uid="{C7A0C502-6818-4B9F-BFC4-9CE42D1845DD}"/>
    <cellStyle name="SAPBEXfilterDrill 2 2 2 11 2" xfId="11921" xr:uid="{12A36CCF-8E02-4A42-BA5A-5DD59EF2BD43}"/>
    <cellStyle name="SAPBEXfilterDrill 2 2 2 12" xfId="11922" xr:uid="{3455A376-24B6-4DA6-BAE8-F0EBF1FEDAA0}"/>
    <cellStyle name="SAPBEXfilterDrill 2 2 2 12 2" xfId="11923" xr:uid="{65D7A39A-B634-4B1C-BC11-483BC4327091}"/>
    <cellStyle name="SAPBEXfilterDrill 2 2 2 13" xfId="11924" xr:uid="{9AF9D07A-592B-4A06-8CD1-88FE83EEE792}"/>
    <cellStyle name="SAPBEXfilterDrill 2 2 2 13 2" xfId="11925" xr:uid="{4EE3AD3D-CE1A-4ACE-A6DB-0C154AE074F6}"/>
    <cellStyle name="SAPBEXfilterDrill 2 2 2 14" xfId="11926" xr:uid="{C805877C-391D-45B9-B68E-B717FEA429FF}"/>
    <cellStyle name="SAPBEXfilterDrill 2 2 2 14 2" xfId="11927" xr:uid="{5E2A3672-EF3D-4B34-9010-6C92E0DF5CD9}"/>
    <cellStyle name="SAPBEXfilterDrill 2 2 2 15" xfId="11928" xr:uid="{BF546DBE-3242-440E-85B5-3454A9EF691C}"/>
    <cellStyle name="SAPBEXfilterDrill 2 2 2 15 2" xfId="11929" xr:uid="{1CC4BAAF-1E27-476C-B39A-720049095F44}"/>
    <cellStyle name="SAPBEXfilterDrill 2 2 2 16" xfId="11930" xr:uid="{22E9FA43-FFFC-45F6-802D-29882CAD5471}"/>
    <cellStyle name="SAPBEXfilterDrill 2 2 2 2" xfId="11931" xr:uid="{0A64C9C8-AAC9-4551-97CD-9535B5624DBF}"/>
    <cellStyle name="SAPBEXfilterDrill 2 2 2 2 2" xfId="11932" xr:uid="{7890D021-7EC2-4A00-9BB8-AC6E7E127FC3}"/>
    <cellStyle name="SAPBEXfilterDrill 2 2 2 3" xfId="11933" xr:uid="{30A84899-BC97-4CD4-A057-06B4F29AAEB7}"/>
    <cellStyle name="SAPBEXfilterDrill 2 2 2 3 2" xfId="11934" xr:uid="{F2B07B60-393A-4DEC-8BA1-6CC37288E2BA}"/>
    <cellStyle name="SAPBEXfilterDrill 2 2 2 4" xfId="11935" xr:uid="{CDA66C78-63F3-490E-9C51-2A14F73C04E6}"/>
    <cellStyle name="SAPBEXfilterDrill 2 2 2 4 2" xfId="11936" xr:uid="{70503EF3-46E9-4B34-873A-79480E9A8DFF}"/>
    <cellStyle name="SAPBEXfilterDrill 2 2 2 5" xfId="11937" xr:uid="{309CD869-2D86-46E1-AB40-36C9615A8B74}"/>
    <cellStyle name="SAPBEXfilterDrill 2 2 2 5 2" xfId="11938" xr:uid="{65189B55-1F54-4602-8308-AB68ECF2E299}"/>
    <cellStyle name="SAPBEXfilterDrill 2 2 2 6" xfId="11939" xr:uid="{CCB1FF30-D502-4B7F-8551-83AA55620D45}"/>
    <cellStyle name="SAPBEXfilterDrill 2 2 2 6 2" xfId="11940" xr:uid="{77097B56-79A0-48CF-BBD0-D140EF499E3C}"/>
    <cellStyle name="SAPBEXfilterDrill 2 2 2 7" xfId="11941" xr:uid="{CC9C1FE2-1049-4512-A995-E2FDC1D89FD8}"/>
    <cellStyle name="SAPBEXfilterDrill 2 2 2 7 2" xfId="11942" xr:uid="{ABE8C3A2-FE5B-428B-9088-ACEC142AEE7C}"/>
    <cellStyle name="SAPBEXfilterDrill 2 2 2 8" xfId="11943" xr:uid="{2256DC28-0B91-42D1-B486-95CA544827BE}"/>
    <cellStyle name="SAPBEXfilterDrill 2 2 2 8 2" xfId="11944" xr:uid="{4B1AE091-487E-4C25-8455-D6EBF5DAF4CA}"/>
    <cellStyle name="SAPBEXfilterDrill 2 2 2 9" xfId="11945" xr:uid="{987E7E3E-C736-458F-B82A-C7C04EC863D3}"/>
    <cellStyle name="SAPBEXfilterDrill 2 2 2 9 2" xfId="11946" xr:uid="{20204ACD-8B8F-47CB-9FDA-C1CB57F2FCAE}"/>
    <cellStyle name="SAPBEXfilterDrill 2 2 3" xfId="11947" xr:uid="{C5B5EF2F-70DA-4106-B9F2-5A55F069A492}"/>
    <cellStyle name="SAPBEXfilterDrill 2 2 3 10" xfId="11948" xr:uid="{85DDC884-0623-4EF8-B1BD-9F18F50AA533}"/>
    <cellStyle name="SAPBEXfilterDrill 2 2 3 10 2" xfId="11949" xr:uid="{BE254B0C-0E2F-4022-97FB-EEECD381A232}"/>
    <cellStyle name="SAPBEXfilterDrill 2 2 3 11" xfId="11950" xr:uid="{F73AB338-009A-4811-AD0F-1853DF15FB86}"/>
    <cellStyle name="SAPBEXfilterDrill 2 2 3 11 2" xfId="11951" xr:uid="{37CEF898-4AB3-4203-9195-C41526422BF4}"/>
    <cellStyle name="SAPBEXfilterDrill 2 2 3 12" xfId="11952" xr:uid="{23A6004B-662D-482D-BF08-7D7D5D32EF87}"/>
    <cellStyle name="SAPBEXfilterDrill 2 2 3 12 2" xfId="11953" xr:uid="{A942DEA2-06F2-4DBA-9961-7C6EAD98C596}"/>
    <cellStyle name="SAPBEXfilterDrill 2 2 3 13" xfId="11954" xr:uid="{36C4A1BB-EA74-4A58-A8E4-BFAD2E52971A}"/>
    <cellStyle name="SAPBEXfilterDrill 2 2 3 13 2" xfId="11955" xr:uid="{0ECEC814-FC68-46FB-AF25-728C478C937C}"/>
    <cellStyle name="SAPBEXfilterDrill 2 2 3 14" xfId="11956" xr:uid="{1B38E65A-BA95-44F0-9D58-C343A0F93CDB}"/>
    <cellStyle name="SAPBEXfilterDrill 2 2 3 14 2" xfId="11957" xr:uid="{C351E64B-DC0B-4794-91AA-36888B6B84FE}"/>
    <cellStyle name="SAPBEXfilterDrill 2 2 3 15" xfId="11958" xr:uid="{FDB5854D-E714-4C1E-B977-FB92B2645DD8}"/>
    <cellStyle name="SAPBEXfilterDrill 2 2 3 15 2" xfId="11959" xr:uid="{00008B7B-07AE-4CC0-8C67-8832CB4C9755}"/>
    <cellStyle name="SAPBEXfilterDrill 2 2 3 16" xfId="11960" xr:uid="{EFAF6FF8-0222-4D12-B10E-606A4C5E04C2}"/>
    <cellStyle name="SAPBEXfilterDrill 2 2 3 2" xfId="11961" xr:uid="{8EC7A0E1-FFCA-422D-B395-6BE0696191D4}"/>
    <cellStyle name="SAPBEXfilterDrill 2 2 3 2 2" xfId="11962" xr:uid="{241AD5ED-7829-4CE9-967A-AEB12E25765E}"/>
    <cellStyle name="SAPBEXfilterDrill 2 2 3 3" xfId="11963" xr:uid="{61A7D084-6ADB-4A2A-B77C-C0300B3303FF}"/>
    <cellStyle name="SAPBEXfilterDrill 2 2 3 3 2" xfId="11964" xr:uid="{2ACE8B82-DDF0-475D-A390-226D0F5D2819}"/>
    <cellStyle name="SAPBEXfilterDrill 2 2 3 4" xfId="11965" xr:uid="{3158DDED-183B-4D15-A69B-7B4EB92253D5}"/>
    <cellStyle name="SAPBEXfilterDrill 2 2 3 4 2" xfId="11966" xr:uid="{05E00578-3A46-4628-B647-E36E1DE61738}"/>
    <cellStyle name="SAPBEXfilterDrill 2 2 3 5" xfId="11967" xr:uid="{6A5294B7-AB26-4E0D-B546-80EE77E93574}"/>
    <cellStyle name="SAPBEXfilterDrill 2 2 3 5 2" xfId="11968" xr:uid="{20259EBA-2EE8-45CB-8141-16C136B18514}"/>
    <cellStyle name="SAPBEXfilterDrill 2 2 3 6" xfId="11969" xr:uid="{BA4B874D-9292-47EA-8262-78350263B26C}"/>
    <cellStyle name="SAPBEXfilterDrill 2 2 3 6 2" xfId="11970" xr:uid="{85420086-792F-49E6-9ED5-E9A10DF06908}"/>
    <cellStyle name="SAPBEXfilterDrill 2 2 3 7" xfId="11971" xr:uid="{9B05B95E-2D5C-42C5-BC8C-FC9AC85BA94F}"/>
    <cellStyle name="SAPBEXfilterDrill 2 2 3 7 2" xfId="11972" xr:uid="{19797A9E-C32A-4C52-856A-5B54553AFDDE}"/>
    <cellStyle name="SAPBEXfilterDrill 2 2 3 8" xfId="11973" xr:uid="{04D034AD-0799-46F4-A6C6-528B1018A31C}"/>
    <cellStyle name="SAPBEXfilterDrill 2 2 3 8 2" xfId="11974" xr:uid="{48CB95BF-EB4E-44DC-BEEF-775D4F0DAF0C}"/>
    <cellStyle name="SAPBEXfilterDrill 2 2 3 9" xfId="11975" xr:uid="{969DD33B-98AC-4B25-AA1A-2C539846B572}"/>
    <cellStyle name="SAPBEXfilterDrill 2 2 3 9 2" xfId="11976" xr:uid="{E2FA3DCE-07BB-469F-A715-F3A6C4E288BE}"/>
    <cellStyle name="SAPBEXfilterDrill 2 2 4" xfId="11977" xr:uid="{B35F8A43-C85B-4229-894A-C66499EF007B}"/>
    <cellStyle name="SAPBEXfilterDrill 2 2 4 2" xfId="11978" xr:uid="{D9809805-1577-4339-A084-AC552F9682DB}"/>
    <cellStyle name="SAPBEXfilterDrill 2 2 5" xfId="11979" xr:uid="{8F0E1312-72C8-4FF2-B364-3BF867E70638}"/>
    <cellStyle name="SAPBEXfilterDrill 2 2 5 2" xfId="11980" xr:uid="{05E0A756-B3A6-4367-BDA2-A80676FBDAAE}"/>
    <cellStyle name="SAPBEXfilterDrill 2 2 6" xfId="11981" xr:uid="{F905E251-4CD7-4BCE-8B16-BB96CF637606}"/>
    <cellStyle name="SAPBEXfilterDrill 2 2 6 2" xfId="11982" xr:uid="{7AB880E0-9556-4E0A-AEA5-E4EAE7887978}"/>
    <cellStyle name="SAPBEXfilterDrill 2 2 7" xfId="11983" xr:uid="{D73A46F2-3E2D-4E24-878A-A845F3A53CA7}"/>
    <cellStyle name="SAPBEXfilterDrill 2 2 7 2" xfId="11984" xr:uid="{E95304E2-91FF-432D-A0F5-EBEFB9A08B44}"/>
    <cellStyle name="SAPBEXfilterDrill 2 2 8" xfId="11985" xr:uid="{4D15EEEF-4CBF-4065-86EA-46E05B00CC33}"/>
    <cellStyle name="SAPBEXfilterDrill 2 2 8 2" xfId="11986" xr:uid="{B2D027A9-A1CE-492A-8048-13132836FE88}"/>
    <cellStyle name="SAPBEXfilterDrill 2 2 9" xfId="11987" xr:uid="{B57F5F84-F140-413A-A761-9399495D9A64}"/>
    <cellStyle name="SAPBEXfilterDrill 2 2 9 2" xfId="11988" xr:uid="{B2BCC5D6-D28A-45F6-BF7D-410D8ADB0412}"/>
    <cellStyle name="SAPBEXfilterDrill 2 3" xfId="11989" xr:uid="{1238F51F-A966-44A6-A3B4-199BEEFC4376}"/>
    <cellStyle name="SAPBEXfilterDrill 2 3 10" xfId="11990" xr:uid="{746DB7F3-BD5A-43F2-815E-46E1F9A25AFC}"/>
    <cellStyle name="SAPBEXfilterDrill 2 3 10 2" xfId="11991" xr:uid="{EC24DF02-CAA8-4B39-B229-02F55A5EA14D}"/>
    <cellStyle name="SAPBEXfilterDrill 2 3 11" xfId="11992" xr:uid="{14629E54-C1DF-41C5-8E78-B5710F2DD078}"/>
    <cellStyle name="SAPBEXfilterDrill 2 3 11 2" xfId="11993" xr:uid="{7C725364-B77E-43DB-B561-C6D1E62EA537}"/>
    <cellStyle name="SAPBEXfilterDrill 2 3 12" xfId="11994" xr:uid="{B37641C9-A38F-47B0-9F5A-ABCF99339C97}"/>
    <cellStyle name="SAPBEXfilterDrill 2 3 12 2" xfId="11995" xr:uid="{F5C6241C-07E8-4D4C-BA0F-87A93FD48E3A}"/>
    <cellStyle name="SAPBEXfilterDrill 2 3 13" xfId="11996" xr:uid="{E6FC413D-06C5-4EFD-AFAA-1E077F08BAD0}"/>
    <cellStyle name="SAPBEXfilterDrill 2 3 13 2" xfId="11997" xr:uid="{B00CF0BB-8CB9-4E2E-87CF-F599894958F0}"/>
    <cellStyle name="SAPBEXfilterDrill 2 3 14" xfId="11998" xr:uid="{A2CC615F-CA41-4581-88B0-BE7AA38201D8}"/>
    <cellStyle name="SAPBEXfilterDrill 2 3 14 2" xfId="11999" xr:uid="{C9C465DD-C01C-49EA-9A44-2AF2027AA475}"/>
    <cellStyle name="SAPBEXfilterDrill 2 3 15" xfId="12000" xr:uid="{9F6233A4-A6F7-4E9A-ADC5-BE94AEDC7070}"/>
    <cellStyle name="SAPBEXfilterDrill 2 3 15 2" xfId="12001" xr:uid="{9D915162-46AD-4944-AACE-565AECDFCE86}"/>
    <cellStyle name="SAPBEXfilterDrill 2 3 16" xfId="12002" xr:uid="{8691936C-EE00-4D0F-9F0E-3A0059F556E9}"/>
    <cellStyle name="SAPBEXfilterDrill 2 3 16 2" xfId="12003" xr:uid="{9162F37C-B375-474E-804F-5523E821E8CC}"/>
    <cellStyle name="SAPBEXfilterDrill 2 3 17" xfId="12004" xr:uid="{40A83A22-D1F2-4E04-98F4-8FD060B6A1B0}"/>
    <cellStyle name="SAPBEXfilterDrill 2 3 17 2" xfId="12005" xr:uid="{6BF7F19C-5C8E-409C-8224-C988C5046A01}"/>
    <cellStyle name="SAPBEXfilterDrill 2 3 18" xfId="12006" xr:uid="{3937543E-3AFE-462E-93A1-0AB8AB0B30DD}"/>
    <cellStyle name="SAPBEXfilterDrill 2 3 2" xfId="12007" xr:uid="{2C57B80B-BFD3-4A43-9C3F-680DC1E740FD}"/>
    <cellStyle name="SAPBEXfilterDrill 2 3 2 10" xfId="12008" xr:uid="{276553DA-F5B4-4B21-B9CA-F0AAF6DBFB0F}"/>
    <cellStyle name="SAPBEXfilterDrill 2 3 2 10 2" xfId="12009" xr:uid="{C94C7C26-E475-4699-9521-35CFD019A988}"/>
    <cellStyle name="SAPBEXfilterDrill 2 3 2 11" xfId="12010" xr:uid="{750A2877-2AB0-4318-8CD4-9EB656E3DF05}"/>
    <cellStyle name="SAPBEXfilterDrill 2 3 2 11 2" xfId="12011" xr:uid="{171D1768-8BA4-4092-AA13-9233E0BB7ECD}"/>
    <cellStyle name="SAPBEXfilterDrill 2 3 2 12" xfId="12012" xr:uid="{24F0E5DF-9FCE-4075-ABB0-E086A3182FD4}"/>
    <cellStyle name="SAPBEXfilterDrill 2 3 2 12 2" xfId="12013" xr:uid="{9908B993-B8C0-4FE6-99AC-CBB36792BB89}"/>
    <cellStyle name="SAPBEXfilterDrill 2 3 2 13" xfId="12014" xr:uid="{D8D52B91-6879-464E-A252-E0274FECC78F}"/>
    <cellStyle name="SAPBEXfilterDrill 2 3 2 13 2" xfId="12015" xr:uid="{BBDBD336-1E09-440F-B1A1-3780016E783B}"/>
    <cellStyle name="SAPBEXfilterDrill 2 3 2 14" xfId="12016" xr:uid="{99D0D383-86AD-4114-9160-FEC258D626DC}"/>
    <cellStyle name="SAPBEXfilterDrill 2 3 2 14 2" xfId="12017" xr:uid="{1D2D3927-84C5-427E-932B-88CACBD8A0E8}"/>
    <cellStyle name="SAPBEXfilterDrill 2 3 2 15" xfId="12018" xr:uid="{EF087443-43E3-42BC-B3FB-F7E23D7B14B1}"/>
    <cellStyle name="SAPBEXfilterDrill 2 3 2 15 2" xfId="12019" xr:uid="{3FD118BA-833D-4F26-99B4-4FB4801E0D48}"/>
    <cellStyle name="SAPBEXfilterDrill 2 3 2 16" xfId="12020" xr:uid="{A9F46CA4-E1E5-40A3-9CB9-6AEA9255681E}"/>
    <cellStyle name="SAPBEXfilterDrill 2 3 2 2" xfId="12021" xr:uid="{F9621BD6-A063-4CD1-BBDE-0A241A80CB4B}"/>
    <cellStyle name="SAPBEXfilterDrill 2 3 2 2 2" xfId="12022" xr:uid="{1B0CF0F2-A5F8-4902-B79E-765A9D832537}"/>
    <cellStyle name="SAPBEXfilterDrill 2 3 2 3" xfId="12023" xr:uid="{CDF6C7DC-BEE4-4B93-B404-E9A9258F68F6}"/>
    <cellStyle name="SAPBEXfilterDrill 2 3 2 3 2" xfId="12024" xr:uid="{E7A204D3-D696-48CE-BDA6-CE04E98C1064}"/>
    <cellStyle name="SAPBEXfilterDrill 2 3 2 4" xfId="12025" xr:uid="{EBA331DA-5F87-4A02-85E3-8541C3645D8C}"/>
    <cellStyle name="SAPBEXfilterDrill 2 3 2 4 2" xfId="12026" xr:uid="{2DC448C9-971E-457F-9035-E046967DAE57}"/>
    <cellStyle name="SAPBEXfilterDrill 2 3 2 5" xfId="12027" xr:uid="{0ADFE38D-4015-456E-9AB3-F0FF55509395}"/>
    <cellStyle name="SAPBEXfilterDrill 2 3 2 5 2" xfId="12028" xr:uid="{CA087B41-0320-4BA4-A66A-3FBE5F24A35A}"/>
    <cellStyle name="SAPBEXfilterDrill 2 3 2 6" xfId="12029" xr:uid="{D7C27BC3-1EE5-4B1C-8F00-8E3761521235}"/>
    <cellStyle name="SAPBEXfilterDrill 2 3 2 6 2" xfId="12030" xr:uid="{C357AFC7-0973-4A98-A51A-D2909EAB32A7}"/>
    <cellStyle name="SAPBEXfilterDrill 2 3 2 7" xfId="12031" xr:uid="{078B462B-04F3-4076-8104-1AA96E3CDA02}"/>
    <cellStyle name="SAPBEXfilterDrill 2 3 2 7 2" xfId="12032" xr:uid="{C523FC2A-5043-474F-8629-390D16BBC890}"/>
    <cellStyle name="SAPBEXfilterDrill 2 3 2 8" xfId="12033" xr:uid="{BB8B6F04-80EE-46DB-B65A-F506F512C3A3}"/>
    <cellStyle name="SAPBEXfilterDrill 2 3 2 8 2" xfId="12034" xr:uid="{966196DE-5200-4C7A-ACCF-80B6FA6D9348}"/>
    <cellStyle name="SAPBEXfilterDrill 2 3 2 9" xfId="12035" xr:uid="{8DC7948F-2C37-490E-AF37-D14A51974E0B}"/>
    <cellStyle name="SAPBEXfilterDrill 2 3 2 9 2" xfId="12036" xr:uid="{1B8B50F6-F0EA-403B-A10A-22D32AFBBB17}"/>
    <cellStyle name="SAPBEXfilterDrill 2 3 3" xfId="12037" xr:uid="{47B125F2-6BA4-472F-A6CB-FC73F94E61BC}"/>
    <cellStyle name="SAPBEXfilterDrill 2 3 3 10" xfId="12038" xr:uid="{812B6B1D-4651-42AD-90E2-9CE511C60F75}"/>
    <cellStyle name="SAPBEXfilterDrill 2 3 3 10 2" xfId="12039" xr:uid="{7ED29E22-6524-4969-9350-4466094FE7C6}"/>
    <cellStyle name="SAPBEXfilterDrill 2 3 3 11" xfId="12040" xr:uid="{4F4F0CDA-CEAF-48CB-9E22-0C964366E64E}"/>
    <cellStyle name="SAPBEXfilterDrill 2 3 3 11 2" xfId="12041" xr:uid="{F450C908-0EE3-45B2-9630-F92643FF4878}"/>
    <cellStyle name="SAPBEXfilterDrill 2 3 3 12" xfId="12042" xr:uid="{8C1A32EF-6157-4038-A1AF-E8E5EBE9A421}"/>
    <cellStyle name="SAPBEXfilterDrill 2 3 3 12 2" xfId="12043" xr:uid="{6ECC49D7-BEAB-4103-B6A8-2F8ACDFAFC7E}"/>
    <cellStyle name="SAPBEXfilterDrill 2 3 3 13" xfId="12044" xr:uid="{0D71B716-8E24-4926-8FFA-A1BBD38D54C4}"/>
    <cellStyle name="SAPBEXfilterDrill 2 3 3 13 2" xfId="12045" xr:uid="{AEAD388C-96FA-480E-9626-D1100423CD68}"/>
    <cellStyle name="SAPBEXfilterDrill 2 3 3 14" xfId="12046" xr:uid="{B8170706-4BBB-4011-B023-3697FF8EFF64}"/>
    <cellStyle name="SAPBEXfilterDrill 2 3 3 14 2" xfId="12047" xr:uid="{42575E2C-E33A-4848-90C4-F299F44192FF}"/>
    <cellStyle name="SAPBEXfilterDrill 2 3 3 15" xfId="12048" xr:uid="{5A9C41DB-FBC4-49D7-BC23-3BEA68B9A5C5}"/>
    <cellStyle name="SAPBEXfilterDrill 2 3 3 15 2" xfId="12049" xr:uid="{B1377E38-2A8F-4B7A-90D5-5ECD21DCBBF2}"/>
    <cellStyle name="SAPBEXfilterDrill 2 3 3 16" xfId="12050" xr:uid="{AF423AE2-DC82-4DEB-B7DC-4B5DBE75FA4F}"/>
    <cellStyle name="SAPBEXfilterDrill 2 3 3 2" xfId="12051" xr:uid="{4029003E-157B-4A06-AB37-E3B975993770}"/>
    <cellStyle name="SAPBEXfilterDrill 2 3 3 2 2" xfId="12052" xr:uid="{ECF10A08-6ECD-4B5A-BEEE-AD8DA0216F93}"/>
    <cellStyle name="SAPBEXfilterDrill 2 3 3 3" xfId="12053" xr:uid="{27CCDEE2-4521-4536-BC12-E1D070743962}"/>
    <cellStyle name="SAPBEXfilterDrill 2 3 3 3 2" xfId="12054" xr:uid="{ACA6878B-3903-4914-9174-3EE2FDC1EE39}"/>
    <cellStyle name="SAPBEXfilterDrill 2 3 3 4" xfId="12055" xr:uid="{08B676AC-0DDE-48AF-86B6-33BF4E63B0DD}"/>
    <cellStyle name="SAPBEXfilterDrill 2 3 3 4 2" xfId="12056" xr:uid="{064CFE3C-8C4A-4413-8EA2-81E34F3E6077}"/>
    <cellStyle name="SAPBEXfilterDrill 2 3 3 5" xfId="12057" xr:uid="{EFECF63C-DF99-43D7-8B40-D866664F4E87}"/>
    <cellStyle name="SAPBEXfilterDrill 2 3 3 5 2" xfId="12058" xr:uid="{ABF63AD3-2F4C-49C9-9CC0-1FB745194A09}"/>
    <cellStyle name="SAPBEXfilterDrill 2 3 3 6" xfId="12059" xr:uid="{F9A87963-9127-4563-8609-34EEB8508302}"/>
    <cellStyle name="SAPBEXfilterDrill 2 3 3 6 2" xfId="12060" xr:uid="{2251105B-CF1C-42F9-B1FA-36F819985B04}"/>
    <cellStyle name="SAPBEXfilterDrill 2 3 3 7" xfId="12061" xr:uid="{249CAA2E-15B8-4C63-A442-D2D20E94658E}"/>
    <cellStyle name="SAPBEXfilterDrill 2 3 3 7 2" xfId="12062" xr:uid="{6976FF88-4867-41CC-95EF-28D1D90FC59F}"/>
    <cellStyle name="SAPBEXfilterDrill 2 3 3 8" xfId="12063" xr:uid="{0E628B61-1D6B-425E-B1F1-60F042067ED1}"/>
    <cellStyle name="SAPBEXfilterDrill 2 3 3 8 2" xfId="12064" xr:uid="{60FA2B48-940E-4188-A0A4-9C2376BF4CDC}"/>
    <cellStyle name="SAPBEXfilterDrill 2 3 3 9" xfId="12065" xr:uid="{CE7BED58-F055-4DED-8663-22CF271B3BE1}"/>
    <cellStyle name="SAPBEXfilterDrill 2 3 3 9 2" xfId="12066" xr:uid="{B840A371-8827-47AA-A846-A594E6294883}"/>
    <cellStyle name="SAPBEXfilterDrill 2 3 4" xfId="12067" xr:uid="{31C56EC5-EC02-47FE-9FFF-3264C44C1ECC}"/>
    <cellStyle name="SAPBEXfilterDrill 2 3 4 2" xfId="12068" xr:uid="{3C440EEA-2FDB-4242-BB39-64234D308D8D}"/>
    <cellStyle name="SAPBEXfilterDrill 2 3 5" xfId="12069" xr:uid="{0FFCE94D-1BFD-490C-9A58-C6EC2C3376D8}"/>
    <cellStyle name="SAPBEXfilterDrill 2 3 5 2" xfId="12070" xr:uid="{D5D5A9B7-57AD-4CFA-B8BB-30CFDE35FC66}"/>
    <cellStyle name="SAPBEXfilterDrill 2 3 6" xfId="12071" xr:uid="{898AF4A4-4787-4896-91A6-0BD6441E91FF}"/>
    <cellStyle name="SAPBEXfilterDrill 2 3 6 2" xfId="12072" xr:uid="{A75FB9DD-6A08-4792-93FB-E96B4057AEEA}"/>
    <cellStyle name="SAPBEXfilterDrill 2 3 7" xfId="12073" xr:uid="{A5FBE4C6-92C4-44E9-8414-100EA857C6C1}"/>
    <cellStyle name="SAPBEXfilterDrill 2 3 7 2" xfId="12074" xr:uid="{709A4DCD-A751-4162-BDCA-2D92121AE593}"/>
    <cellStyle name="SAPBEXfilterDrill 2 3 8" xfId="12075" xr:uid="{C8058F4D-1316-4233-AF9A-B89C28ACB449}"/>
    <cellStyle name="SAPBEXfilterDrill 2 3 8 2" xfId="12076" xr:uid="{3E68800C-5267-46EF-84C8-71001626C333}"/>
    <cellStyle name="SAPBEXfilterDrill 2 3 9" xfId="12077" xr:uid="{CA317DE9-E525-4A8A-9B75-617B5A4C14CC}"/>
    <cellStyle name="SAPBEXfilterDrill 2 3 9 2" xfId="12078" xr:uid="{6F84A295-7D33-470C-81C3-36E95FCE7927}"/>
    <cellStyle name="SAPBEXfilterDrill 2 4" xfId="12079" xr:uid="{44D8C1A6-82EC-4E9B-92F9-00541D0EFE66}"/>
    <cellStyle name="SAPBEXfilterDrill 2 4 10" xfId="12080" xr:uid="{54DC6700-86F0-45A2-9030-EFD0814624A8}"/>
    <cellStyle name="SAPBEXfilterDrill 2 4 10 2" xfId="12081" xr:uid="{C4D052C1-5620-4261-9A5F-66D811BE87B4}"/>
    <cellStyle name="SAPBEXfilterDrill 2 4 11" xfId="12082" xr:uid="{2517104C-8331-4B9B-94E9-AFB6C272850E}"/>
    <cellStyle name="SAPBEXfilterDrill 2 4 11 2" xfId="12083" xr:uid="{13320029-4E12-4A77-B268-01DECB93149B}"/>
    <cellStyle name="SAPBEXfilterDrill 2 4 12" xfId="12084" xr:uid="{0A0DBE66-DE2E-4845-A05A-61C2AAE5D046}"/>
    <cellStyle name="SAPBEXfilterDrill 2 4 12 2" xfId="12085" xr:uid="{A9B65321-A646-4AA3-A8AB-BCCC06646167}"/>
    <cellStyle name="SAPBEXfilterDrill 2 4 13" xfId="12086" xr:uid="{C0ECA6DC-B121-42F3-B084-D11C9B0DFFCD}"/>
    <cellStyle name="SAPBEXfilterDrill 2 4 13 2" xfId="12087" xr:uid="{63578E22-C1F7-4312-A74A-4444D35364DC}"/>
    <cellStyle name="SAPBEXfilterDrill 2 4 14" xfId="12088" xr:uid="{DD85C499-D575-4ED1-98A1-8FDB2F6F048D}"/>
    <cellStyle name="SAPBEXfilterDrill 2 4 14 2" xfId="12089" xr:uid="{BF13DE31-BD5E-48B0-8D73-AB9355B272DC}"/>
    <cellStyle name="SAPBEXfilterDrill 2 4 15" xfId="12090" xr:uid="{01712805-C185-4C6C-A062-AF11BAA04E32}"/>
    <cellStyle name="SAPBEXfilterDrill 2 4 15 2" xfId="12091" xr:uid="{3A96A172-0436-48F0-9A52-6074ACAF464D}"/>
    <cellStyle name="SAPBEXfilterDrill 2 4 16" xfId="12092" xr:uid="{D12EE918-862B-41F2-B4D2-EFC8D5D816B4}"/>
    <cellStyle name="SAPBEXfilterDrill 2 4 16 2" xfId="12093" xr:uid="{4DEB88FF-5FA3-42AD-8D5B-261A1416FB92}"/>
    <cellStyle name="SAPBEXfilterDrill 2 4 17" xfId="12094" xr:uid="{B85F2AC0-B9E9-45A6-8B50-BC0156D4B59A}"/>
    <cellStyle name="SAPBEXfilterDrill 2 4 17 2" xfId="12095" xr:uid="{1C407A7A-D773-4F5E-A325-2E7EFD650FDC}"/>
    <cellStyle name="SAPBEXfilterDrill 2 4 18" xfId="12096" xr:uid="{EB2DDFBB-2A9B-4A33-824B-658AEA9263BB}"/>
    <cellStyle name="SAPBEXfilterDrill 2 4 2" xfId="12097" xr:uid="{8E849A56-E8AC-4B2E-82F5-C646B403591D}"/>
    <cellStyle name="SAPBEXfilterDrill 2 4 2 10" xfId="12098" xr:uid="{9AF898B6-9CF7-4FBE-9AB3-D74FF213D130}"/>
    <cellStyle name="SAPBEXfilterDrill 2 4 2 10 2" xfId="12099" xr:uid="{A762A3FB-ECE8-43B7-BEB7-C2D94E5629CF}"/>
    <cellStyle name="SAPBEXfilterDrill 2 4 2 11" xfId="12100" xr:uid="{20F325B7-A270-48A4-B960-7FFA5570BC68}"/>
    <cellStyle name="SAPBEXfilterDrill 2 4 2 11 2" xfId="12101" xr:uid="{B2C07DE1-C1F0-4C69-A71A-653A7B2024A9}"/>
    <cellStyle name="SAPBEXfilterDrill 2 4 2 12" xfId="12102" xr:uid="{FCE3546B-4BD8-4398-8043-94BA547BDF78}"/>
    <cellStyle name="SAPBEXfilterDrill 2 4 2 12 2" xfId="12103" xr:uid="{238271B0-AB32-4D07-9BAC-7BDA56990EF5}"/>
    <cellStyle name="SAPBEXfilterDrill 2 4 2 13" xfId="12104" xr:uid="{2CF60C0B-CCF3-4D08-B3C7-3A43C2374D5D}"/>
    <cellStyle name="SAPBEXfilterDrill 2 4 2 13 2" xfId="12105" xr:uid="{C79FB2A0-9F94-4345-96F1-9976A8E1B5F2}"/>
    <cellStyle name="SAPBEXfilterDrill 2 4 2 14" xfId="12106" xr:uid="{E2AE81BB-0D39-41AE-BD7F-CC5EC9B4D126}"/>
    <cellStyle name="SAPBEXfilterDrill 2 4 2 14 2" xfId="12107" xr:uid="{BEB1B66D-DDEE-451D-94B4-CFC3644501BF}"/>
    <cellStyle name="SAPBEXfilterDrill 2 4 2 15" xfId="12108" xr:uid="{CB40B083-2AE8-4799-B9F8-8C01A87CB883}"/>
    <cellStyle name="SAPBEXfilterDrill 2 4 2 15 2" xfId="12109" xr:uid="{DF9B1E35-D4E8-4092-AD2D-324D0A77C29B}"/>
    <cellStyle name="SAPBEXfilterDrill 2 4 2 16" xfId="12110" xr:uid="{5FA4B61D-2D19-4D64-92FC-016AE6682630}"/>
    <cellStyle name="SAPBEXfilterDrill 2 4 2 2" xfId="12111" xr:uid="{7211C0EA-B30D-44E4-94CF-4E134ABC6FA8}"/>
    <cellStyle name="SAPBEXfilterDrill 2 4 2 2 2" xfId="12112" xr:uid="{62FF44AD-CAF6-4B3D-97D0-749C3F2827F0}"/>
    <cellStyle name="SAPBEXfilterDrill 2 4 2 3" xfId="12113" xr:uid="{7FDCA1B0-36CB-49C0-915A-64018FBA0326}"/>
    <cellStyle name="SAPBEXfilterDrill 2 4 2 3 2" xfId="12114" xr:uid="{5F5BEA31-F152-4D0F-9828-BC66E4B310B4}"/>
    <cellStyle name="SAPBEXfilterDrill 2 4 2 4" xfId="12115" xr:uid="{4A776650-EEDD-4A79-8DFD-D797F1282F39}"/>
    <cellStyle name="SAPBEXfilterDrill 2 4 2 4 2" xfId="12116" xr:uid="{73D1A5B2-65E8-4F4B-8AD9-017806AF8E2F}"/>
    <cellStyle name="SAPBEXfilterDrill 2 4 2 5" xfId="12117" xr:uid="{BF50AAD7-611A-462C-B717-CF1220DEC522}"/>
    <cellStyle name="SAPBEXfilterDrill 2 4 2 5 2" xfId="12118" xr:uid="{91E8515D-B324-4112-8F43-044091051394}"/>
    <cellStyle name="SAPBEXfilterDrill 2 4 2 6" xfId="12119" xr:uid="{DA1BC4AF-F0E5-4AC2-A853-74736A8D88B9}"/>
    <cellStyle name="SAPBEXfilterDrill 2 4 2 6 2" xfId="12120" xr:uid="{F46739BC-6EB7-4737-A9B9-73E40A57E0D2}"/>
    <cellStyle name="SAPBEXfilterDrill 2 4 2 7" xfId="12121" xr:uid="{CD42EEF5-AD43-46D0-B6D7-D03003543623}"/>
    <cellStyle name="SAPBEXfilterDrill 2 4 2 7 2" xfId="12122" xr:uid="{3C8BDC11-7B9F-40CD-9C45-61E2C7A7159D}"/>
    <cellStyle name="SAPBEXfilterDrill 2 4 2 8" xfId="12123" xr:uid="{3DEA75B7-7B19-40CE-89E6-BB328B166C5C}"/>
    <cellStyle name="SAPBEXfilterDrill 2 4 2 8 2" xfId="12124" xr:uid="{E88FEF0D-6B51-4237-9513-46E32A7F4A60}"/>
    <cellStyle name="SAPBEXfilterDrill 2 4 2 9" xfId="12125" xr:uid="{9E61BB12-F3D9-4F69-BEA4-5FBDB762F1D3}"/>
    <cellStyle name="SAPBEXfilterDrill 2 4 2 9 2" xfId="12126" xr:uid="{0A9FFC13-D608-465B-A38E-6567EE810203}"/>
    <cellStyle name="SAPBEXfilterDrill 2 4 3" xfId="12127" xr:uid="{A8BCEA7B-D22D-4364-B1C7-382E271BEB57}"/>
    <cellStyle name="SAPBEXfilterDrill 2 4 3 10" xfId="12128" xr:uid="{CF312B56-19B5-4CDC-85FF-10E57E7CC96B}"/>
    <cellStyle name="SAPBEXfilterDrill 2 4 3 10 2" xfId="12129" xr:uid="{06176CD3-3108-4140-A819-E09EAA0BB99A}"/>
    <cellStyle name="SAPBEXfilterDrill 2 4 3 11" xfId="12130" xr:uid="{98ADD8D9-60CC-40CD-9E91-98D43811E462}"/>
    <cellStyle name="SAPBEXfilterDrill 2 4 3 11 2" xfId="12131" xr:uid="{9BBE40D5-052A-4BAA-9778-1B258E0233FF}"/>
    <cellStyle name="SAPBEXfilterDrill 2 4 3 12" xfId="12132" xr:uid="{59F6495C-8570-4322-A2E7-A3FC0F8DB9C8}"/>
    <cellStyle name="SAPBEXfilterDrill 2 4 3 12 2" xfId="12133" xr:uid="{C2283952-16DD-4865-8D99-22D29742C862}"/>
    <cellStyle name="SAPBEXfilterDrill 2 4 3 13" xfId="12134" xr:uid="{7D33AD0B-D5C0-4CE2-A591-F6E13FEADDC4}"/>
    <cellStyle name="SAPBEXfilterDrill 2 4 3 13 2" xfId="12135" xr:uid="{048B0B49-58BD-4789-B7BC-3D194488E6CB}"/>
    <cellStyle name="SAPBEXfilterDrill 2 4 3 14" xfId="12136" xr:uid="{D40E84BC-6813-412A-A316-5A1480DEA2FE}"/>
    <cellStyle name="SAPBEXfilterDrill 2 4 3 14 2" xfId="12137" xr:uid="{C8B8BC1B-277C-4D70-AC8B-93395AC81668}"/>
    <cellStyle name="SAPBEXfilterDrill 2 4 3 15" xfId="12138" xr:uid="{225B0E89-754B-43D2-A8A6-98FBEED8B664}"/>
    <cellStyle name="SAPBEXfilterDrill 2 4 3 15 2" xfId="12139" xr:uid="{8D729A81-9F4E-4E36-9C2E-B2CFA9D49F2A}"/>
    <cellStyle name="SAPBEXfilterDrill 2 4 3 16" xfId="12140" xr:uid="{28A0C46A-08D7-4F5D-A867-81C44B27D7A1}"/>
    <cellStyle name="SAPBEXfilterDrill 2 4 3 2" xfId="12141" xr:uid="{B105E9BC-77E2-4078-B76D-6747F7946158}"/>
    <cellStyle name="SAPBEXfilterDrill 2 4 3 2 2" xfId="12142" xr:uid="{7413B104-9616-4097-8E0F-68A43D375107}"/>
    <cellStyle name="SAPBEXfilterDrill 2 4 3 3" xfId="12143" xr:uid="{3FD6EF12-2E3A-407E-8045-70D1136F2087}"/>
    <cellStyle name="SAPBEXfilterDrill 2 4 3 3 2" xfId="12144" xr:uid="{99B4641A-268E-44A1-8171-DC90273DC5A7}"/>
    <cellStyle name="SAPBEXfilterDrill 2 4 3 4" xfId="12145" xr:uid="{608FB217-8C41-4E6E-A6CA-9776B59B46E7}"/>
    <cellStyle name="SAPBEXfilterDrill 2 4 3 4 2" xfId="12146" xr:uid="{48A33465-7E1D-4966-B64D-2547F5F78524}"/>
    <cellStyle name="SAPBEXfilterDrill 2 4 3 5" xfId="12147" xr:uid="{93D656EB-BDAC-450E-8374-2D04E44F7E71}"/>
    <cellStyle name="SAPBEXfilterDrill 2 4 3 5 2" xfId="12148" xr:uid="{D22CDD06-C641-46AC-9A27-DF5E50BF6FD6}"/>
    <cellStyle name="SAPBEXfilterDrill 2 4 3 6" xfId="12149" xr:uid="{A612B022-767B-4A79-8440-ADEAD1807F83}"/>
    <cellStyle name="SAPBEXfilterDrill 2 4 3 6 2" xfId="12150" xr:uid="{959F842E-362D-40D2-92D5-CBA406A98E9F}"/>
    <cellStyle name="SAPBEXfilterDrill 2 4 3 7" xfId="12151" xr:uid="{D627C79D-C54A-4BE5-9034-B264B22CECF1}"/>
    <cellStyle name="SAPBEXfilterDrill 2 4 3 7 2" xfId="12152" xr:uid="{E6A077EA-D662-4CB4-B7F0-73976BE236C9}"/>
    <cellStyle name="SAPBEXfilterDrill 2 4 3 8" xfId="12153" xr:uid="{62393E72-57A0-441D-B0C5-8695C55231A2}"/>
    <cellStyle name="SAPBEXfilterDrill 2 4 3 8 2" xfId="12154" xr:uid="{391F4FD4-E1E4-4478-BDB9-7A9A5745C124}"/>
    <cellStyle name="SAPBEXfilterDrill 2 4 3 9" xfId="12155" xr:uid="{8C0CA4CB-2D34-44E9-90E5-ABCB84AF3D22}"/>
    <cellStyle name="SAPBEXfilterDrill 2 4 3 9 2" xfId="12156" xr:uid="{D6EBE878-5795-490D-9506-C95CA32391A1}"/>
    <cellStyle name="SAPBEXfilterDrill 2 4 4" xfId="12157" xr:uid="{F514E9C4-2F9B-461E-806B-5003DB1E6B69}"/>
    <cellStyle name="SAPBEXfilterDrill 2 4 4 2" xfId="12158" xr:uid="{02D6B188-9F00-48CE-BB1A-B7EB08881A54}"/>
    <cellStyle name="SAPBEXfilterDrill 2 4 5" xfId="12159" xr:uid="{1DB247C3-102F-4966-B3DB-4174EAEAD887}"/>
    <cellStyle name="SAPBEXfilterDrill 2 4 5 2" xfId="12160" xr:uid="{3C5A5AC4-FC23-4216-B4F6-C6F99B2F0D21}"/>
    <cellStyle name="SAPBEXfilterDrill 2 4 6" xfId="12161" xr:uid="{CA9675FF-8AE8-41B0-AB34-45665011A958}"/>
    <cellStyle name="SAPBEXfilterDrill 2 4 6 2" xfId="12162" xr:uid="{6FF4833F-495F-4E8A-AE16-FD41177FE41D}"/>
    <cellStyle name="SAPBEXfilterDrill 2 4 7" xfId="12163" xr:uid="{9BF1BC02-BF2D-4D6A-B592-8F173EFFB335}"/>
    <cellStyle name="SAPBEXfilterDrill 2 4 7 2" xfId="12164" xr:uid="{CB59F580-F468-478E-95B8-451B5BF30471}"/>
    <cellStyle name="SAPBEXfilterDrill 2 4 8" xfId="12165" xr:uid="{089715A4-9989-4D9C-91BD-DA20E54A04B1}"/>
    <cellStyle name="SAPBEXfilterDrill 2 4 8 2" xfId="12166" xr:uid="{066F4377-81B9-48BF-9CE7-4CEE4E6DC328}"/>
    <cellStyle name="SAPBEXfilterDrill 2 4 9" xfId="12167" xr:uid="{B3056C58-4A54-4882-B53E-CC333C60CEFD}"/>
    <cellStyle name="SAPBEXfilterDrill 2 4 9 2" xfId="12168" xr:uid="{C5673F4B-E518-4D33-806B-4652FB16EB71}"/>
    <cellStyle name="SAPBEXfilterDrill 2 5" xfId="12169" xr:uid="{E89EC98A-9D14-45DC-9287-4EA4BED84CB3}"/>
    <cellStyle name="SAPBEXfilterDrill 2 5 2" xfId="12170" xr:uid="{CE41A2E7-93CC-4B73-9DCA-257CF7A7E1CA}"/>
    <cellStyle name="SAPBEXfilterDrill 2 6" xfId="12171" xr:uid="{4D766C18-2C51-4C9A-8E26-BCB3DFE16DFD}"/>
    <cellStyle name="SAPBEXfilterDrill 2 6 2" xfId="12172" xr:uid="{46CC6FAC-6D82-4AA9-A8A5-33ECCC1692EB}"/>
    <cellStyle name="SAPBEXfilterDrill 2 7" xfId="12173" xr:uid="{162163A5-EC1A-4CA3-AECF-69D49440E57F}"/>
    <cellStyle name="SAPBEXfilterDrill 2 7 2" xfId="12174" xr:uid="{1B0D516C-DCB5-45D9-8E64-7955CC9DA7BA}"/>
    <cellStyle name="SAPBEXfilterDrill 2 8" xfId="12175" xr:uid="{CB49E94A-33AF-4FAB-B2DE-D4413E8A4A2B}"/>
    <cellStyle name="SAPBEXfilterDrill 2 8 2" xfId="12176" xr:uid="{ACDCAD54-DDEC-49D0-94E1-4290FD6DDE1A}"/>
    <cellStyle name="SAPBEXfilterDrill 2 9" xfId="12177" xr:uid="{663C41B3-7998-4C61-AE9C-A88D8CF9C131}"/>
    <cellStyle name="SAPBEXfilterDrill 2 9 2" xfId="12178" xr:uid="{3F7D84E6-072E-4A69-AAEA-0283BBB0D67D}"/>
    <cellStyle name="SAPBEXfilterDrill 2_T1 ANSP" xfId="11879" xr:uid="{0557903B-DDB9-4526-AD7F-5E83E0EF75D4}"/>
    <cellStyle name="SAPBEXfilterDrill 3" xfId="1514" xr:uid="{00000000-0005-0000-0000-00007D050000}"/>
    <cellStyle name="SAPBEXfilterDrill 4" xfId="12179" xr:uid="{18478C90-61DD-4E70-8218-26C4426D56A0}"/>
    <cellStyle name="SAPBEXfilterDrill 4 2" xfId="12180" xr:uid="{04626561-1648-4C74-98E7-61104DBA7897}"/>
    <cellStyle name="SAPBEXfilterDrill 5" xfId="12181" xr:uid="{A59AF41A-2135-43E5-9020-DF0D96A541BC}"/>
    <cellStyle name="SAPBEXfilterDrill 5 2" xfId="12182" xr:uid="{3D0083C0-570B-4F85-9183-F8E0B8E296DC}"/>
    <cellStyle name="SAPBEXfilterDrill 6" xfId="12183" xr:uid="{54804D18-3583-4FC4-97B3-16927D788807}"/>
    <cellStyle name="SAPBEXfilterDrill 6 2" xfId="12184" xr:uid="{2DD8C21D-A1A6-4901-A3A9-6DB1690090DF}"/>
    <cellStyle name="SAPBEXfilterDrill 7" xfId="12185" xr:uid="{E3F9B719-B396-4B71-AA2F-1DDFD0808091}"/>
    <cellStyle name="SAPBEXfilterDrill 7 2" xfId="12186" xr:uid="{796864AB-36FE-4222-854C-4B274E11E720}"/>
    <cellStyle name="SAPBEXfilterDrill 8" xfId="12187" xr:uid="{ED643A73-F0CC-4CD6-B930-7E9848CEC966}"/>
    <cellStyle name="SAPBEXfilterDrill 8 2" xfId="12188" xr:uid="{32CE284F-710D-4FA7-A693-83D32ABCF31F}"/>
    <cellStyle name="SAPBEXfilterDrill 9" xfId="12189" xr:uid="{BB93AF7C-0A42-4337-9751-1B0F7C7A45A3}"/>
    <cellStyle name="SAPBEXfilterDrill 9 2" xfId="12190" xr:uid="{90764EFF-D85A-4E80-937C-9D730F19649E}"/>
    <cellStyle name="SAPBEXfilterDrill_T1 ANSP" xfId="11861" xr:uid="{4C764779-EEFD-45A1-99BE-5BD9D6320B05}"/>
    <cellStyle name="SAPBEXfilterItem" xfId="741" xr:uid="{00000000-0005-0000-0000-00007E050000}"/>
    <cellStyle name="SAPBEXfilterItem 10" xfId="12192" xr:uid="{5199CDAB-23BC-48B2-8800-A5B04DF854C6}"/>
    <cellStyle name="SAPBEXfilterItem 10 2" xfId="12193" xr:uid="{18F29387-6E36-4D46-ACE3-15036B5220EA}"/>
    <cellStyle name="SAPBEXfilterItem 11" xfId="12194" xr:uid="{A2A27FC6-1C73-42DB-9C19-7B99B1A71CED}"/>
    <cellStyle name="SAPBEXfilterItem 11 2" xfId="12195" xr:uid="{F6882FBD-ECFE-45D7-9372-3C156D436656}"/>
    <cellStyle name="SAPBEXfilterItem 12" xfId="12196" xr:uid="{F97B6DD5-C3D1-442B-8982-FA93B465F0E0}"/>
    <cellStyle name="SAPBEXfilterItem 12 2" xfId="12197" xr:uid="{6E41DF20-3BDB-4D4A-BF22-FA19E5363BF9}"/>
    <cellStyle name="SAPBEXfilterItem 13" xfId="12198" xr:uid="{1DC1630E-4814-4C72-92C9-73495320BEB6}"/>
    <cellStyle name="SAPBEXfilterItem 13 2" xfId="12199" xr:uid="{69E5208C-AB9F-4504-BE84-9EFA4E3F7200}"/>
    <cellStyle name="SAPBEXfilterItem 14" xfId="12200" xr:uid="{843700A3-921D-48B4-A3D2-ECEFEA7A84FA}"/>
    <cellStyle name="SAPBEXfilterItem 14 2" xfId="12201" xr:uid="{B17DEC84-E02B-4CD1-8D29-81A9F5E21CD8}"/>
    <cellStyle name="SAPBEXfilterItem 15" xfId="12202" xr:uid="{85030F44-3E8E-4AB5-858F-162024F07FDD}"/>
    <cellStyle name="SAPBEXfilterItem 15 2" xfId="12203" xr:uid="{9F636955-28D9-4E83-8396-9A412EA62B5B}"/>
    <cellStyle name="SAPBEXfilterItem 16" xfId="12204" xr:uid="{6C8005BB-8CA2-4169-A25A-DA78A6D8A6DB}"/>
    <cellStyle name="SAPBEXfilterItem 16 2" xfId="12205" xr:uid="{DA20EDC6-4B63-4654-BF96-353A1FB1217E}"/>
    <cellStyle name="SAPBEXfilterItem 17" xfId="12206" xr:uid="{7BD5A41E-4626-48B6-85E1-F54616F52600}"/>
    <cellStyle name="SAPBEXfilterItem 17 2" xfId="12207" xr:uid="{939ABBE2-A20D-4839-A23C-943484D20BEE}"/>
    <cellStyle name="SAPBEXfilterItem 18" xfId="12208" xr:uid="{C284BA5C-8228-4037-A630-F9D7E09E2E8D}"/>
    <cellStyle name="SAPBEXfilterItem 18 2" xfId="12209" xr:uid="{6ED251A0-B015-460E-A7E8-DE4A0A66AFE8}"/>
    <cellStyle name="SAPBEXfilterItem 19" xfId="12210" xr:uid="{EDA33A2C-4B07-4A63-8B3E-BD19F42A5AEC}"/>
    <cellStyle name="SAPBEXfilterItem 2" xfId="1556" xr:uid="{00000000-0005-0000-0000-00007F050000}"/>
    <cellStyle name="SAPBEXfilterItem 2 10" xfId="12212" xr:uid="{1583EB19-54C2-4CD7-9B5A-C658AC76B1AF}"/>
    <cellStyle name="SAPBEXfilterItem 2 10 2" xfId="12213" xr:uid="{F8F55184-3090-4AF9-A0DD-1F72B2EB22F4}"/>
    <cellStyle name="SAPBEXfilterItem 2 11" xfId="12214" xr:uid="{41623AAD-84AE-4B2A-9E2A-B508D8A35A3C}"/>
    <cellStyle name="SAPBEXfilterItem 2 11 2" xfId="12215" xr:uid="{27665FF0-FE19-43F3-B575-DB9F1F0C3A2E}"/>
    <cellStyle name="SAPBEXfilterItem 2 12" xfId="12216" xr:uid="{CFCCCDAE-203F-4A8C-A4A2-93B86A2D3F6D}"/>
    <cellStyle name="SAPBEXfilterItem 2 12 2" xfId="12217" xr:uid="{08F60BE3-12E0-4A4E-A627-9B386751387F}"/>
    <cellStyle name="SAPBEXfilterItem 2 13" xfId="12218" xr:uid="{DB330A3D-0892-4F40-8538-9B3230D39C3D}"/>
    <cellStyle name="SAPBEXfilterItem 2 13 2" xfId="12219" xr:uid="{B7805ECA-5825-469C-A4A0-B32052581764}"/>
    <cellStyle name="SAPBEXfilterItem 2 14" xfId="12220" xr:uid="{8D0B181A-0E41-483D-A29B-668E8231103C}"/>
    <cellStyle name="SAPBEXfilterItem 2 14 2" xfId="12221" xr:uid="{5B214FDB-84AB-4FB1-B574-F1B3A1A1B415}"/>
    <cellStyle name="SAPBEXfilterItem 2 15" xfId="12222" xr:uid="{495E973B-6B2C-40D2-8B01-F9454709B129}"/>
    <cellStyle name="SAPBEXfilterItem 2 15 2" xfId="12223" xr:uid="{74F02E50-9190-4F83-9820-5CFB47DC13A9}"/>
    <cellStyle name="SAPBEXfilterItem 2 16" xfId="12224" xr:uid="{C05D8D4A-56CB-43D1-910D-B62C359D0721}"/>
    <cellStyle name="SAPBEXfilterItem 2 16 2" xfId="12225" xr:uid="{A609E504-C2D7-4DF7-B7AB-7D7D1BC3BA2F}"/>
    <cellStyle name="SAPBEXfilterItem 2 17" xfId="12226" xr:uid="{25F7AA73-AB06-4F5D-B3DF-F312505B4529}"/>
    <cellStyle name="SAPBEXfilterItem 2 17 2" xfId="12227" xr:uid="{080E9C17-060A-42AA-83C4-DA793D5DFF1F}"/>
    <cellStyle name="SAPBEXfilterItem 2 18" xfId="12228" xr:uid="{46DE9BA9-57CD-4281-B8FF-5DC48C003CDA}"/>
    <cellStyle name="SAPBEXfilterItem 2 18 2" xfId="12229" xr:uid="{4920D80F-36D0-4E3F-8DFD-6A0256C65970}"/>
    <cellStyle name="SAPBEXfilterItem 2 19" xfId="12230" xr:uid="{A350ED64-945E-40DF-96B0-84952A492870}"/>
    <cellStyle name="SAPBEXfilterItem 2 2" xfId="12231" xr:uid="{8B333E79-DFA1-4F33-B8CF-6B7896A8F29C}"/>
    <cellStyle name="SAPBEXfilterItem 2 2 10" xfId="12232" xr:uid="{947E4B5B-8797-45F3-8BF1-D56E01099207}"/>
    <cellStyle name="SAPBEXfilterItem 2 2 10 2" xfId="12233" xr:uid="{CE9DE771-6B3B-4E3D-A4D2-ACAE0F37FE9B}"/>
    <cellStyle name="SAPBEXfilterItem 2 2 11" xfId="12234" xr:uid="{662F8ACC-E459-421C-BAFF-53195A9CF532}"/>
    <cellStyle name="SAPBEXfilterItem 2 2 11 2" xfId="12235" xr:uid="{9FC77EDF-F23D-49AE-9B49-C8D5646BD3A3}"/>
    <cellStyle name="SAPBEXfilterItem 2 2 12" xfId="12236" xr:uid="{EEE48892-37EC-4BBE-9C18-9F5F5F2611BE}"/>
    <cellStyle name="SAPBEXfilterItem 2 2 12 2" xfId="12237" xr:uid="{3BBFB8D0-E686-49B9-AF69-CB07EA93AF55}"/>
    <cellStyle name="SAPBEXfilterItem 2 2 13" xfId="12238" xr:uid="{FB3F5D8B-4BAE-4701-8C86-98DEDE458BC8}"/>
    <cellStyle name="SAPBEXfilterItem 2 2 13 2" xfId="12239" xr:uid="{F17D74E4-1077-4677-9711-C1692881F16E}"/>
    <cellStyle name="SAPBEXfilterItem 2 2 14" xfId="12240" xr:uid="{3C008860-36BF-44F2-8164-E6EDF8E55906}"/>
    <cellStyle name="SAPBEXfilterItem 2 2 14 2" xfId="12241" xr:uid="{B5DF80D3-B663-455C-A089-47523999AB75}"/>
    <cellStyle name="SAPBEXfilterItem 2 2 15" xfId="12242" xr:uid="{9FFC7657-EE14-4297-A985-FDA8C5D2A761}"/>
    <cellStyle name="SAPBEXfilterItem 2 2 15 2" xfId="12243" xr:uid="{4CEC1165-974F-4226-8E51-515EB7396FF1}"/>
    <cellStyle name="SAPBEXfilterItem 2 2 16" xfId="12244" xr:uid="{A930E22C-B992-484D-B465-873C55E6CCC1}"/>
    <cellStyle name="SAPBEXfilterItem 2 2 16 2" xfId="12245" xr:uid="{DD89EC8A-EFC2-48DC-9FB0-92457C47DBBF}"/>
    <cellStyle name="SAPBEXfilterItem 2 2 17" xfId="12246" xr:uid="{941DC3AC-C42A-467D-842B-9EE8508F43E5}"/>
    <cellStyle name="SAPBEXfilterItem 2 2 17 2" xfId="12247" xr:uid="{F81BD442-F721-4C64-86F3-3A7572F9F73A}"/>
    <cellStyle name="SAPBEXfilterItem 2 2 18" xfId="12248" xr:uid="{EDD14945-DC76-41CA-A5ED-6047F335A0AC}"/>
    <cellStyle name="SAPBEXfilterItem 2 2 2" xfId="12249" xr:uid="{143C1862-CBB6-4D54-A595-56182E05876D}"/>
    <cellStyle name="SAPBEXfilterItem 2 2 2 10" xfId="12250" xr:uid="{E9DA6785-C85C-4D8B-BE1B-5AE0593FA9B7}"/>
    <cellStyle name="SAPBEXfilterItem 2 2 2 10 2" xfId="12251" xr:uid="{64023E74-3183-4914-AA28-0521FED03913}"/>
    <cellStyle name="SAPBEXfilterItem 2 2 2 11" xfId="12252" xr:uid="{3A095E9E-E81E-40C1-A10F-77CD55DFE3E5}"/>
    <cellStyle name="SAPBEXfilterItem 2 2 2 11 2" xfId="12253" xr:uid="{124F5E8C-CCC9-447E-91B5-7D675C046500}"/>
    <cellStyle name="SAPBEXfilterItem 2 2 2 12" xfId="12254" xr:uid="{21B3DDCF-C9AE-4504-948E-578ECF95544E}"/>
    <cellStyle name="SAPBEXfilterItem 2 2 2 12 2" xfId="12255" xr:uid="{2533511D-2AC3-4886-B481-D66B671C701A}"/>
    <cellStyle name="SAPBEXfilterItem 2 2 2 13" xfId="12256" xr:uid="{469AD054-283D-4249-8988-40AC40F3F46A}"/>
    <cellStyle name="SAPBEXfilterItem 2 2 2 13 2" xfId="12257" xr:uid="{F0205D97-18A1-4735-A55D-1CB38E186594}"/>
    <cellStyle name="SAPBEXfilterItem 2 2 2 14" xfId="12258" xr:uid="{91964767-70A7-4C60-B452-D41B53A96E0F}"/>
    <cellStyle name="SAPBEXfilterItem 2 2 2 14 2" xfId="12259" xr:uid="{F548EAF3-202B-4247-8403-51E8A002E13F}"/>
    <cellStyle name="SAPBEXfilterItem 2 2 2 15" xfId="12260" xr:uid="{DDA3B952-453E-45EE-BA3F-536EFE0F286E}"/>
    <cellStyle name="SAPBEXfilterItem 2 2 2 15 2" xfId="12261" xr:uid="{754BC497-F0FA-4AAD-B552-4FDEB90C863F}"/>
    <cellStyle name="SAPBEXfilterItem 2 2 2 16" xfId="12262" xr:uid="{EB76C936-E383-48DD-8F11-5BE29F8E90E2}"/>
    <cellStyle name="SAPBEXfilterItem 2 2 2 2" xfId="12263" xr:uid="{BAF209BF-BE14-428C-87EE-44E9FFD43E79}"/>
    <cellStyle name="SAPBEXfilterItem 2 2 2 2 2" xfId="12264" xr:uid="{0E61BACF-3549-4176-9B51-885EBB91FF66}"/>
    <cellStyle name="SAPBEXfilterItem 2 2 2 3" xfId="12265" xr:uid="{C9A43848-375D-45BC-A64D-BEE2E81A36FD}"/>
    <cellStyle name="SAPBEXfilterItem 2 2 2 3 2" xfId="12266" xr:uid="{FD0DD09E-FD9D-454D-BDA7-3B8065B9A9D9}"/>
    <cellStyle name="SAPBEXfilterItem 2 2 2 4" xfId="12267" xr:uid="{8825140F-6482-431A-B599-DB694EE04D3D}"/>
    <cellStyle name="SAPBEXfilterItem 2 2 2 4 2" xfId="12268" xr:uid="{CC021673-5FBC-4365-88C6-11C72D18CB2A}"/>
    <cellStyle name="SAPBEXfilterItem 2 2 2 5" xfId="12269" xr:uid="{19D71204-991F-47FB-BFAA-AAC77DE22D91}"/>
    <cellStyle name="SAPBEXfilterItem 2 2 2 5 2" xfId="12270" xr:uid="{15E5AE8C-3696-4718-B3DE-F957A51D2584}"/>
    <cellStyle name="SAPBEXfilterItem 2 2 2 6" xfId="12271" xr:uid="{80B0D8FF-C258-4143-9A87-5E5AE16464BB}"/>
    <cellStyle name="SAPBEXfilterItem 2 2 2 6 2" xfId="12272" xr:uid="{92506D60-9DAA-45F8-B574-67A902FC1053}"/>
    <cellStyle name="SAPBEXfilterItem 2 2 2 7" xfId="12273" xr:uid="{B6E8FE99-FDC1-4E5D-A72A-B0D5EA655A6B}"/>
    <cellStyle name="SAPBEXfilterItem 2 2 2 7 2" xfId="12274" xr:uid="{2C2C910E-6975-461F-9758-D0F1D4680D97}"/>
    <cellStyle name="SAPBEXfilterItem 2 2 2 8" xfId="12275" xr:uid="{E4D520A8-BA6F-4FCC-BAED-836F4C0EEA60}"/>
    <cellStyle name="SAPBEXfilterItem 2 2 2 8 2" xfId="12276" xr:uid="{F05D9DCE-5D95-43A7-9A89-26555680B369}"/>
    <cellStyle name="SAPBEXfilterItem 2 2 2 9" xfId="12277" xr:uid="{DD17053C-B0B0-4D8D-B449-98AA17ACC5C2}"/>
    <cellStyle name="SAPBEXfilterItem 2 2 2 9 2" xfId="12278" xr:uid="{DE2DF1AE-3C15-4424-B475-D4F993DFAE09}"/>
    <cellStyle name="SAPBEXfilterItem 2 2 3" xfId="12279" xr:uid="{6218C3ED-990C-4B0B-BEF8-61B90FC4B9A1}"/>
    <cellStyle name="SAPBEXfilterItem 2 2 3 10" xfId="12280" xr:uid="{7754E809-0B75-4BE3-A954-7ABE9174C4F5}"/>
    <cellStyle name="SAPBEXfilterItem 2 2 3 10 2" xfId="12281" xr:uid="{B96585B1-E81A-445F-A6C2-1B44F078F118}"/>
    <cellStyle name="SAPBEXfilterItem 2 2 3 11" xfId="12282" xr:uid="{34FA517A-CCD9-4364-8EE7-0FEACF680E45}"/>
    <cellStyle name="SAPBEXfilterItem 2 2 3 11 2" xfId="12283" xr:uid="{A44837A4-F8B8-4577-AD03-A0EEF45E9AA7}"/>
    <cellStyle name="SAPBEXfilterItem 2 2 3 12" xfId="12284" xr:uid="{974A9E09-2717-47AE-84B3-ED94FFFD74C1}"/>
    <cellStyle name="SAPBEXfilterItem 2 2 3 12 2" xfId="12285" xr:uid="{3E99982E-0952-4074-910C-9F392D871395}"/>
    <cellStyle name="SAPBEXfilterItem 2 2 3 13" xfId="12286" xr:uid="{526CC300-2FF7-422E-99DE-BF996B0C3755}"/>
    <cellStyle name="SAPBEXfilterItem 2 2 3 13 2" xfId="12287" xr:uid="{FA4AB04B-C307-4C48-8656-C94068A3959B}"/>
    <cellStyle name="SAPBEXfilterItem 2 2 3 14" xfId="12288" xr:uid="{0EE294CC-E885-4E9B-8282-CC156B816E54}"/>
    <cellStyle name="SAPBEXfilterItem 2 2 3 14 2" xfId="12289" xr:uid="{A80B13AE-0FC5-42ED-B4FC-3E27F242C394}"/>
    <cellStyle name="SAPBEXfilterItem 2 2 3 15" xfId="12290" xr:uid="{F28A8CC0-389E-4E2B-A777-8CF3FA1D598D}"/>
    <cellStyle name="SAPBEXfilterItem 2 2 3 15 2" xfId="12291" xr:uid="{19E0F217-3BCF-4305-B8E0-7A4996CA615F}"/>
    <cellStyle name="SAPBEXfilterItem 2 2 3 16" xfId="12292" xr:uid="{C2989514-DBD9-48A2-9F3F-E92D15D098BE}"/>
    <cellStyle name="SAPBEXfilterItem 2 2 3 2" xfId="12293" xr:uid="{DF06AB36-8D7B-432E-9110-54AADEBD7F18}"/>
    <cellStyle name="SAPBEXfilterItem 2 2 3 2 2" xfId="12294" xr:uid="{BBBB5574-5CFD-411D-B8E5-1252407E3421}"/>
    <cellStyle name="SAPBEXfilterItem 2 2 3 3" xfId="12295" xr:uid="{96AE58E8-F40E-4030-A42A-DF41D75AD3CE}"/>
    <cellStyle name="SAPBEXfilterItem 2 2 3 3 2" xfId="12296" xr:uid="{D21D1F0B-EBC4-4756-91C3-BA8DE9B3B07B}"/>
    <cellStyle name="SAPBEXfilterItem 2 2 3 4" xfId="12297" xr:uid="{007D5E8D-5284-407A-9FE5-DA33FFE254AF}"/>
    <cellStyle name="SAPBEXfilterItem 2 2 3 4 2" xfId="12298" xr:uid="{5C2E20CF-ACA7-4F67-986C-1EA464547566}"/>
    <cellStyle name="SAPBEXfilterItem 2 2 3 5" xfId="12299" xr:uid="{D4E808E5-62F5-49BF-A17A-085CD5ED615C}"/>
    <cellStyle name="SAPBEXfilterItem 2 2 3 5 2" xfId="12300" xr:uid="{00D1CE14-E551-480C-9B11-07E7126C25B4}"/>
    <cellStyle name="SAPBEXfilterItem 2 2 3 6" xfId="12301" xr:uid="{7E46F0E4-08A3-4B7D-A474-8F7C99CB1830}"/>
    <cellStyle name="SAPBEXfilterItem 2 2 3 6 2" xfId="12302" xr:uid="{6A1B3700-A897-41A8-A3D5-46EBFB62EE67}"/>
    <cellStyle name="SAPBEXfilterItem 2 2 3 7" xfId="12303" xr:uid="{FFD234A5-E3F9-4067-B6A9-01DFE2A76DC1}"/>
    <cellStyle name="SAPBEXfilterItem 2 2 3 7 2" xfId="12304" xr:uid="{376A0BE5-E1B0-4DBD-906E-D10C41DAE083}"/>
    <cellStyle name="SAPBEXfilterItem 2 2 3 8" xfId="12305" xr:uid="{74AADB07-9042-4EE7-85F0-90BFB38A7E5B}"/>
    <cellStyle name="SAPBEXfilterItem 2 2 3 8 2" xfId="12306" xr:uid="{DD483921-A5EB-478A-BBA4-4D60B86BACDD}"/>
    <cellStyle name="SAPBEXfilterItem 2 2 3 9" xfId="12307" xr:uid="{10FDB8F4-0B7D-402E-BF33-79FEAF5CDAA0}"/>
    <cellStyle name="SAPBEXfilterItem 2 2 3 9 2" xfId="12308" xr:uid="{60E60B0D-C0CC-4C2B-9F08-56708CF8C6AE}"/>
    <cellStyle name="SAPBEXfilterItem 2 2 4" xfId="12309" xr:uid="{97432685-3B61-4D6F-BAE6-C68F443A88D1}"/>
    <cellStyle name="SAPBEXfilterItem 2 2 4 2" xfId="12310" xr:uid="{E04F94C1-128D-4557-ACC3-5C989FD58C8F}"/>
    <cellStyle name="SAPBEXfilterItem 2 2 5" xfId="12311" xr:uid="{886FBF24-C6F8-4856-8EF2-44DF9A35CA40}"/>
    <cellStyle name="SAPBEXfilterItem 2 2 5 2" xfId="12312" xr:uid="{C498D424-5A42-4216-86ED-907BF99C6F77}"/>
    <cellStyle name="SAPBEXfilterItem 2 2 6" xfId="12313" xr:uid="{CF646984-96C9-4A43-B670-6AF6839E7F97}"/>
    <cellStyle name="SAPBEXfilterItem 2 2 6 2" xfId="12314" xr:uid="{17583653-5645-4F7D-9FD6-0615C0A97219}"/>
    <cellStyle name="SAPBEXfilterItem 2 2 7" xfId="12315" xr:uid="{D0C4E518-C0AF-4B51-BB68-AFB473B741CB}"/>
    <cellStyle name="SAPBEXfilterItem 2 2 7 2" xfId="12316" xr:uid="{E0589F9A-9C94-43D7-B400-19719E4F7B7E}"/>
    <cellStyle name="SAPBEXfilterItem 2 2 8" xfId="12317" xr:uid="{32CAB6A6-6AD2-4E27-93B9-31F917DBB5D8}"/>
    <cellStyle name="SAPBEXfilterItem 2 2 8 2" xfId="12318" xr:uid="{1BADECC8-9C2D-4141-A34A-D2F3C6A8251E}"/>
    <cellStyle name="SAPBEXfilterItem 2 2 9" xfId="12319" xr:uid="{6C9ECA44-579A-4A18-801A-0581F0C8354F}"/>
    <cellStyle name="SAPBEXfilterItem 2 2 9 2" xfId="12320" xr:uid="{1EEFC3E4-9481-409C-801B-B8F56D557E3A}"/>
    <cellStyle name="SAPBEXfilterItem 2 3" xfId="12321" xr:uid="{45A2444D-C5B8-4D30-8129-F58F0D039F3C}"/>
    <cellStyle name="SAPBEXfilterItem 2 3 10" xfId="12322" xr:uid="{D7A275CD-90F8-41ED-89F7-6740E917D296}"/>
    <cellStyle name="SAPBEXfilterItem 2 3 10 2" xfId="12323" xr:uid="{74688A0F-2682-41FB-B090-0DD314015ABA}"/>
    <cellStyle name="SAPBEXfilterItem 2 3 11" xfId="12324" xr:uid="{4E6DECE9-B2C2-44AC-9E10-2DE5B8829037}"/>
    <cellStyle name="SAPBEXfilterItem 2 3 11 2" xfId="12325" xr:uid="{CEB40165-CEA4-4C63-AC56-A1D52DBC21C5}"/>
    <cellStyle name="SAPBEXfilterItem 2 3 12" xfId="12326" xr:uid="{7A44D8B3-99FD-4FFF-A97E-349E9878E9B0}"/>
    <cellStyle name="SAPBEXfilterItem 2 3 12 2" xfId="12327" xr:uid="{983D1A94-4B13-4F9A-A860-33E5221614B6}"/>
    <cellStyle name="SAPBEXfilterItem 2 3 13" xfId="12328" xr:uid="{9B763CBB-13A3-46BB-98CD-BBDDEC72B95F}"/>
    <cellStyle name="SAPBEXfilterItem 2 3 13 2" xfId="12329" xr:uid="{C6F8B437-9A8A-40DF-98F1-C8B8462BCC9A}"/>
    <cellStyle name="SAPBEXfilterItem 2 3 14" xfId="12330" xr:uid="{57E1BB05-B513-42E8-8031-B553833C7930}"/>
    <cellStyle name="SAPBEXfilterItem 2 3 14 2" xfId="12331" xr:uid="{9D7A5BF4-9B33-47D0-8A7E-2A79E5A9C6DC}"/>
    <cellStyle name="SAPBEXfilterItem 2 3 15" xfId="12332" xr:uid="{169E1D80-7864-4008-8212-859449A7BEFE}"/>
    <cellStyle name="SAPBEXfilterItem 2 3 15 2" xfId="12333" xr:uid="{B543F1FA-370B-4819-948B-7C1DF19F13EF}"/>
    <cellStyle name="SAPBEXfilterItem 2 3 16" xfId="12334" xr:uid="{1E5FF3B3-574D-4DA5-92FB-FA989EC8FA72}"/>
    <cellStyle name="SAPBEXfilterItem 2 3 16 2" xfId="12335" xr:uid="{3E8C7322-522C-4891-8004-BB92D7641B8F}"/>
    <cellStyle name="SAPBEXfilterItem 2 3 17" xfId="12336" xr:uid="{E6AD7DE6-54C1-44C4-A560-3FD8330EEC9B}"/>
    <cellStyle name="SAPBEXfilterItem 2 3 17 2" xfId="12337" xr:uid="{16CEB247-0036-4562-95ED-DE5DE97C7703}"/>
    <cellStyle name="SAPBEXfilterItem 2 3 18" xfId="12338" xr:uid="{081B4DC1-B202-4B17-B1A3-F4446F1428F8}"/>
    <cellStyle name="SAPBEXfilterItem 2 3 2" xfId="12339" xr:uid="{DDE75EB1-ACD3-40D0-AA35-D394F3D8AFCA}"/>
    <cellStyle name="SAPBEXfilterItem 2 3 2 10" xfId="12340" xr:uid="{966D8C1C-AD2D-4AE5-9F72-58189DEA3ABA}"/>
    <cellStyle name="SAPBEXfilterItem 2 3 2 10 2" xfId="12341" xr:uid="{F828BA50-0C53-4637-9A84-185E1FB0D472}"/>
    <cellStyle name="SAPBEXfilterItem 2 3 2 11" xfId="12342" xr:uid="{FCE88B8B-2B57-4D4C-8FB6-63637AF6DDF9}"/>
    <cellStyle name="SAPBEXfilterItem 2 3 2 11 2" xfId="12343" xr:uid="{F424E8A0-3B1A-4C20-B10A-7B5500B813F8}"/>
    <cellStyle name="SAPBEXfilterItem 2 3 2 12" xfId="12344" xr:uid="{FD43FD4E-6C91-44D2-8FB5-553E9C8CD4E0}"/>
    <cellStyle name="SAPBEXfilterItem 2 3 2 12 2" xfId="12345" xr:uid="{BB75225F-7968-4549-8A85-58A2780E87C9}"/>
    <cellStyle name="SAPBEXfilterItem 2 3 2 13" xfId="12346" xr:uid="{A2A599E6-2F41-460B-B065-177456A47D36}"/>
    <cellStyle name="SAPBEXfilterItem 2 3 2 13 2" xfId="12347" xr:uid="{70E5AE61-64FC-4FA6-8156-F19118502ED5}"/>
    <cellStyle name="SAPBEXfilterItem 2 3 2 14" xfId="12348" xr:uid="{DB977731-6D00-4033-A73B-C6C7AF79623F}"/>
    <cellStyle name="SAPBEXfilterItem 2 3 2 14 2" xfId="12349" xr:uid="{7F994B0C-AD4F-4809-889F-D0AD1957EC9F}"/>
    <cellStyle name="SAPBEXfilterItem 2 3 2 15" xfId="12350" xr:uid="{B8997146-C951-4353-AA97-A447A2B20126}"/>
    <cellStyle name="SAPBEXfilterItem 2 3 2 15 2" xfId="12351" xr:uid="{2C8745EF-AD85-48F6-9841-09E4E2E896DF}"/>
    <cellStyle name="SAPBEXfilterItem 2 3 2 16" xfId="12352" xr:uid="{57BD03E0-AD06-42C2-8503-3C1A5AD81B63}"/>
    <cellStyle name="SAPBEXfilterItem 2 3 2 2" xfId="12353" xr:uid="{A32C6A6C-5724-4B11-9B59-C8E2A86F1AB5}"/>
    <cellStyle name="SAPBEXfilterItem 2 3 2 2 2" xfId="12354" xr:uid="{7B3ED381-3352-4B0F-B89C-92E08EF34BFC}"/>
    <cellStyle name="SAPBEXfilterItem 2 3 2 3" xfId="12355" xr:uid="{F0D950E0-5F7E-4F9F-9121-7E6E9C3989FC}"/>
    <cellStyle name="SAPBEXfilterItem 2 3 2 3 2" xfId="12356" xr:uid="{83D7B725-091B-4F5E-A1EF-B595882B9416}"/>
    <cellStyle name="SAPBEXfilterItem 2 3 2 4" xfId="12357" xr:uid="{C4CFAEB5-0495-4380-A182-F761E2392542}"/>
    <cellStyle name="SAPBEXfilterItem 2 3 2 4 2" xfId="12358" xr:uid="{1E060D03-A581-4F05-AD20-3CE963281ECB}"/>
    <cellStyle name="SAPBEXfilterItem 2 3 2 5" xfId="12359" xr:uid="{ABA8BF7F-8635-4337-8F4E-FBF54AF5067A}"/>
    <cellStyle name="SAPBEXfilterItem 2 3 2 5 2" xfId="12360" xr:uid="{58764DDE-E3C5-4EAC-8BAE-ECCE7B71BC10}"/>
    <cellStyle name="SAPBEXfilterItem 2 3 2 6" xfId="12361" xr:uid="{9E6B3661-B4FB-4824-AA3E-EDC99D2DEA5D}"/>
    <cellStyle name="SAPBEXfilterItem 2 3 2 6 2" xfId="12362" xr:uid="{0C1FB33D-1DF5-461F-9831-288C79BE0F8C}"/>
    <cellStyle name="SAPBEXfilterItem 2 3 2 7" xfId="12363" xr:uid="{9788E825-BCF3-4331-B9AB-95D3DC90DF3A}"/>
    <cellStyle name="SAPBEXfilterItem 2 3 2 7 2" xfId="12364" xr:uid="{FAC13D58-AB3B-4C08-B9A9-7B3BB80E07D3}"/>
    <cellStyle name="SAPBEXfilterItem 2 3 2 8" xfId="12365" xr:uid="{3F42133B-2E45-4B3A-A188-A67EAF57709E}"/>
    <cellStyle name="SAPBEXfilterItem 2 3 2 8 2" xfId="12366" xr:uid="{C8F3EB01-54C6-447E-AA61-F8AC9050DDE8}"/>
    <cellStyle name="SAPBEXfilterItem 2 3 2 9" xfId="12367" xr:uid="{02C1CC08-B2B2-4B55-BC2C-B0CB9CF5B964}"/>
    <cellStyle name="SAPBEXfilterItem 2 3 2 9 2" xfId="12368" xr:uid="{A406DEAC-67E1-4D86-A3B5-054DADFBAC61}"/>
    <cellStyle name="SAPBEXfilterItem 2 3 3" xfId="12369" xr:uid="{E117261E-4DE8-4732-A4A7-C0391782E831}"/>
    <cellStyle name="SAPBEXfilterItem 2 3 3 10" xfId="12370" xr:uid="{0DB381BF-F3B9-4947-BA83-D05DE7FB795A}"/>
    <cellStyle name="SAPBEXfilterItem 2 3 3 10 2" xfId="12371" xr:uid="{6B18D70C-B16F-4615-9621-5D8335B6B7EE}"/>
    <cellStyle name="SAPBEXfilterItem 2 3 3 11" xfId="12372" xr:uid="{8D4A9B10-5A71-42BE-9E5A-270923FF80D9}"/>
    <cellStyle name="SAPBEXfilterItem 2 3 3 11 2" xfId="12373" xr:uid="{6DCA39D1-223A-4CC5-B797-3BAF76F022ED}"/>
    <cellStyle name="SAPBEXfilterItem 2 3 3 12" xfId="12374" xr:uid="{06633E7C-5F53-4DBC-B00D-1CA13A7231AD}"/>
    <cellStyle name="SAPBEXfilterItem 2 3 3 12 2" xfId="12375" xr:uid="{F7767391-4A2F-4585-B4B4-048C0D87A5E6}"/>
    <cellStyle name="SAPBEXfilterItem 2 3 3 13" xfId="12376" xr:uid="{D6CAA8DB-2B30-43AE-9425-573A2D27DCD9}"/>
    <cellStyle name="SAPBEXfilterItem 2 3 3 13 2" xfId="12377" xr:uid="{9BD827FF-EFA9-427A-B899-A5916D53705F}"/>
    <cellStyle name="SAPBEXfilterItem 2 3 3 14" xfId="12378" xr:uid="{7884A5EA-8BF5-4FC9-BBF8-C1F7D3B5456A}"/>
    <cellStyle name="SAPBEXfilterItem 2 3 3 14 2" xfId="12379" xr:uid="{AFFA0F52-AF59-4A5C-92DD-E1717823602A}"/>
    <cellStyle name="SAPBEXfilterItem 2 3 3 15" xfId="12380" xr:uid="{B05FBC87-F20D-4C1F-BA10-98F5580FE15B}"/>
    <cellStyle name="SAPBEXfilterItem 2 3 3 15 2" xfId="12381" xr:uid="{CB89433E-25C6-40C8-9E40-36E212C7A984}"/>
    <cellStyle name="SAPBEXfilterItem 2 3 3 16" xfId="12382" xr:uid="{944F8504-A7AF-4B29-B005-70654BC74F74}"/>
    <cellStyle name="SAPBEXfilterItem 2 3 3 2" xfId="12383" xr:uid="{412D6204-8C3D-4BD3-A688-60B0A7446055}"/>
    <cellStyle name="SAPBEXfilterItem 2 3 3 2 2" xfId="12384" xr:uid="{06BF8A01-68B2-45A5-ACC9-6C8BBF252BF1}"/>
    <cellStyle name="SAPBEXfilterItem 2 3 3 3" xfId="12385" xr:uid="{A2F615B7-7D6C-4145-ADAC-75FA1A2F7B19}"/>
    <cellStyle name="SAPBEXfilterItem 2 3 3 3 2" xfId="12386" xr:uid="{C12A9EE5-7A9B-4BDB-A312-ACBF124455AC}"/>
    <cellStyle name="SAPBEXfilterItem 2 3 3 4" xfId="12387" xr:uid="{76BC3CE6-A050-4A12-896C-B13B35E455F8}"/>
    <cellStyle name="SAPBEXfilterItem 2 3 3 4 2" xfId="12388" xr:uid="{A2AB5653-3B3D-4DDE-855D-5AA63C2DE914}"/>
    <cellStyle name="SAPBEXfilterItem 2 3 3 5" xfId="12389" xr:uid="{265996E1-564D-4FD1-AF32-B76B1A8C620A}"/>
    <cellStyle name="SAPBEXfilterItem 2 3 3 5 2" xfId="12390" xr:uid="{5DFC46A0-00C7-4A42-B2BD-32536FFAED9F}"/>
    <cellStyle name="SAPBEXfilterItem 2 3 3 6" xfId="12391" xr:uid="{C436B622-83A7-49C5-BCB5-D740A6686D7E}"/>
    <cellStyle name="SAPBEXfilterItem 2 3 3 6 2" xfId="12392" xr:uid="{949D0735-FA20-4C50-81CC-CAB20586E37D}"/>
    <cellStyle name="SAPBEXfilterItem 2 3 3 7" xfId="12393" xr:uid="{961F906B-7464-4086-A43A-7A8E0AFA90AA}"/>
    <cellStyle name="SAPBEXfilterItem 2 3 3 7 2" xfId="12394" xr:uid="{679770F3-D403-478C-B8D8-B88A075D1DEC}"/>
    <cellStyle name="SAPBEXfilterItem 2 3 3 8" xfId="12395" xr:uid="{6DFF0340-5DC9-43C4-9208-91CA5C822F50}"/>
    <cellStyle name="SAPBEXfilterItem 2 3 3 8 2" xfId="12396" xr:uid="{F1D8AC1B-A082-4CA1-939F-DEFED9F3BEB6}"/>
    <cellStyle name="SAPBEXfilterItem 2 3 3 9" xfId="12397" xr:uid="{EE9BB6BB-9E03-4F81-A524-D0052D70CD8F}"/>
    <cellStyle name="SAPBEXfilterItem 2 3 3 9 2" xfId="12398" xr:uid="{4A71F027-A921-4A7D-92AA-DDEEEBCCE003}"/>
    <cellStyle name="SAPBEXfilterItem 2 3 4" xfId="12399" xr:uid="{25072471-AF7B-458F-93E3-6F66323BFFAD}"/>
    <cellStyle name="SAPBEXfilterItem 2 3 4 2" xfId="12400" xr:uid="{564D9D9D-96B3-4578-8342-BFFE263B3DB1}"/>
    <cellStyle name="SAPBEXfilterItem 2 3 5" xfId="12401" xr:uid="{F11874A6-7A33-40E3-98BA-552123A581E1}"/>
    <cellStyle name="SAPBEXfilterItem 2 3 5 2" xfId="12402" xr:uid="{956A9D6F-91C9-4BD5-9DF0-1AB0B3C30782}"/>
    <cellStyle name="SAPBEXfilterItem 2 3 6" xfId="12403" xr:uid="{7FD96115-1BDF-4F34-8F2E-4BB5656EB80F}"/>
    <cellStyle name="SAPBEXfilterItem 2 3 6 2" xfId="12404" xr:uid="{B1D84180-1992-4599-88B8-78D072B7C401}"/>
    <cellStyle name="SAPBEXfilterItem 2 3 7" xfId="12405" xr:uid="{90DAC797-01E5-4A5B-9BEC-CB1A73839FB1}"/>
    <cellStyle name="SAPBEXfilterItem 2 3 7 2" xfId="12406" xr:uid="{5B0E4557-BC27-4A85-9E89-8E658122AE00}"/>
    <cellStyle name="SAPBEXfilterItem 2 3 8" xfId="12407" xr:uid="{7E1F4A7C-EA35-46EE-95FB-8574FA762C6A}"/>
    <cellStyle name="SAPBEXfilterItem 2 3 8 2" xfId="12408" xr:uid="{F9FDCF8B-C812-43B9-B1A0-FF2FAF407E67}"/>
    <cellStyle name="SAPBEXfilterItem 2 3 9" xfId="12409" xr:uid="{7855B7F2-8CA7-4D00-8230-D9D8E5CFC593}"/>
    <cellStyle name="SAPBEXfilterItem 2 3 9 2" xfId="12410" xr:uid="{4A8F859E-6C48-46E2-9EC7-F1A2546D568A}"/>
    <cellStyle name="SAPBEXfilterItem 2 4" xfId="12411" xr:uid="{CE0C64BD-7B4E-4FAD-9A1B-EC37D7916AAE}"/>
    <cellStyle name="SAPBEXfilterItem 2 4 10" xfId="12412" xr:uid="{06FD429A-B558-481A-BC42-D5927D9A1707}"/>
    <cellStyle name="SAPBEXfilterItem 2 4 10 2" xfId="12413" xr:uid="{FB354F08-BCDF-41F8-8595-A788AA7F3546}"/>
    <cellStyle name="SAPBEXfilterItem 2 4 11" xfId="12414" xr:uid="{07BF79F1-336C-43F7-A49D-2CBF4AEF0028}"/>
    <cellStyle name="SAPBEXfilterItem 2 4 11 2" xfId="12415" xr:uid="{4E8B2FE3-AA8F-473D-B9FC-7EF8B226EE10}"/>
    <cellStyle name="SAPBEXfilterItem 2 4 12" xfId="12416" xr:uid="{98296565-6109-4058-9ED5-8F1DE46484E8}"/>
    <cellStyle name="SAPBEXfilterItem 2 4 12 2" xfId="12417" xr:uid="{5FB8D192-730E-4107-81C9-B0046D1F1F95}"/>
    <cellStyle name="SAPBEXfilterItem 2 4 13" xfId="12418" xr:uid="{9D62FA46-2909-4C2D-84DD-7C240E1885D6}"/>
    <cellStyle name="SAPBEXfilterItem 2 4 13 2" xfId="12419" xr:uid="{4AF80455-5810-4C3B-BAA1-B3BC7BF9F606}"/>
    <cellStyle name="SAPBEXfilterItem 2 4 14" xfId="12420" xr:uid="{F672C45D-500E-4F9C-9BE7-F70627FD13BA}"/>
    <cellStyle name="SAPBEXfilterItem 2 4 14 2" xfId="12421" xr:uid="{81E2FA39-C133-401A-9C00-E36BAD684453}"/>
    <cellStyle name="SAPBEXfilterItem 2 4 15" xfId="12422" xr:uid="{8DEEBB8E-4834-4FBD-BF5F-D184CBDFCCF4}"/>
    <cellStyle name="SAPBEXfilterItem 2 4 15 2" xfId="12423" xr:uid="{A08496B8-F784-4A18-AFB3-C63FE23907C7}"/>
    <cellStyle name="SAPBEXfilterItem 2 4 16" xfId="12424" xr:uid="{5C978735-17F6-45A3-8FB3-3A414AA8AAAA}"/>
    <cellStyle name="SAPBEXfilterItem 2 4 16 2" xfId="12425" xr:uid="{33B94C28-D88F-492F-BDF6-C7DA6584AF48}"/>
    <cellStyle name="SAPBEXfilterItem 2 4 17" xfId="12426" xr:uid="{E7B52A45-2321-4377-BA77-7A85D96C393B}"/>
    <cellStyle name="SAPBEXfilterItem 2 4 17 2" xfId="12427" xr:uid="{B152EED4-8F21-4BC7-8F33-F194B8384C55}"/>
    <cellStyle name="SAPBEXfilterItem 2 4 18" xfId="12428" xr:uid="{B5EC6CAA-674F-4700-8834-9EA575F1EA0E}"/>
    <cellStyle name="SAPBEXfilterItem 2 4 2" xfId="12429" xr:uid="{F2B979CD-7D14-490E-A37C-920C2FFC3255}"/>
    <cellStyle name="SAPBEXfilterItem 2 4 2 10" xfId="12430" xr:uid="{6D70D3E4-8517-4CDB-B800-DB4D4F1CEB3C}"/>
    <cellStyle name="SAPBEXfilterItem 2 4 2 10 2" xfId="12431" xr:uid="{15914CC8-A0BA-4B35-B7D4-5DFC75E89A29}"/>
    <cellStyle name="SAPBEXfilterItem 2 4 2 11" xfId="12432" xr:uid="{221A7A78-85A4-4226-8A68-7FDF9F2B9895}"/>
    <cellStyle name="SAPBEXfilterItem 2 4 2 11 2" xfId="12433" xr:uid="{DE87C81E-1732-416A-94D8-73E63FF657B0}"/>
    <cellStyle name="SAPBEXfilterItem 2 4 2 12" xfId="12434" xr:uid="{C9CA0947-EC93-4B6F-980C-81FDC42C3612}"/>
    <cellStyle name="SAPBEXfilterItem 2 4 2 12 2" xfId="12435" xr:uid="{0518B89E-8235-4CF0-9035-DA62F190C47F}"/>
    <cellStyle name="SAPBEXfilterItem 2 4 2 13" xfId="12436" xr:uid="{B4B7FEE2-12D3-4F6A-8B5C-02E84BB41278}"/>
    <cellStyle name="SAPBEXfilterItem 2 4 2 13 2" xfId="12437" xr:uid="{1C6EBA72-3157-440A-8E6C-8A2E313D24D1}"/>
    <cellStyle name="SAPBEXfilterItem 2 4 2 14" xfId="12438" xr:uid="{FC7C3A6A-A581-4E06-8B9D-492B2E500802}"/>
    <cellStyle name="SAPBEXfilterItem 2 4 2 14 2" xfId="12439" xr:uid="{11614E2F-DAC7-4AAA-93FA-0D49A11B47A2}"/>
    <cellStyle name="SAPBEXfilterItem 2 4 2 15" xfId="12440" xr:uid="{AF996361-FC52-4316-BAAD-A314A93C593C}"/>
    <cellStyle name="SAPBEXfilterItem 2 4 2 15 2" xfId="12441" xr:uid="{B6320EBC-6C26-4097-AA66-271EF6359F62}"/>
    <cellStyle name="SAPBEXfilterItem 2 4 2 16" xfId="12442" xr:uid="{BB0FFF5E-8ED0-4F4C-BE22-15190B1A71C0}"/>
    <cellStyle name="SAPBEXfilterItem 2 4 2 2" xfId="12443" xr:uid="{B08BDEA8-A2A8-4C48-91E1-FA694F875735}"/>
    <cellStyle name="SAPBEXfilterItem 2 4 2 2 2" xfId="12444" xr:uid="{6E1E155B-71A9-4366-80B8-4BA71BAF1D78}"/>
    <cellStyle name="SAPBEXfilterItem 2 4 2 3" xfId="12445" xr:uid="{9918F85D-FCFA-47FA-80F7-1FE3FB10837F}"/>
    <cellStyle name="SAPBEXfilterItem 2 4 2 3 2" xfId="12446" xr:uid="{8A39F3C2-DA22-4BC2-953B-B49D36BF94FD}"/>
    <cellStyle name="SAPBEXfilterItem 2 4 2 4" xfId="12447" xr:uid="{0A95E7A2-78AE-4DE5-B437-02F14124D510}"/>
    <cellStyle name="SAPBEXfilterItem 2 4 2 4 2" xfId="12448" xr:uid="{A2BD6DE6-38B3-4E77-8FEB-948A10AD5962}"/>
    <cellStyle name="SAPBEXfilterItem 2 4 2 5" xfId="12449" xr:uid="{599CC7D2-EAA1-4B53-849A-457E512DC602}"/>
    <cellStyle name="SAPBEXfilterItem 2 4 2 5 2" xfId="12450" xr:uid="{6B8E9E4F-2E5B-47C6-A662-6D6138684D10}"/>
    <cellStyle name="SAPBEXfilterItem 2 4 2 6" xfId="12451" xr:uid="{3A3FDB8F-6C64-4D7A-8CA2-E6EC5AE11DCC}"/>
    <cellStyle name="SAPBEXfilterItem 2 4 2 6 2" xfId="12452" xr:uid="{FCCB270F-7B7F-4F60-8F78-237B77748324}"/>
    <cellStyle name="SAPBEXfilterItem 2 4 2 7" xfId="12453" xr:uid="{8DBF3565-38C7-476C-A035-11A9DBE899B5}"/>
    <cellStyle name="SAPBEXfilterItem 2 4 2 7 2" xfId="12454" xr:uid="{66EF2244-BF1B-447C-A1B5-06C4895F8E7B}"/>
    <cellStyle name="SAPBEXfilterItem 2 4 2 8" xfId="12455" xr:uid="{CB0E1F7F-AB2B-439D-AD1D-F97D932B69E2}"/>
    <cellStyle name="SAPBEXfilterItem 2 4 2 8 2" xfId="12456" xr:uid="{1C018217-50AD-4FED-99CF-1E7E925F139F}"/>
    <cellStyle name="SAPBEXfilterItem 2 4 2 9" xfId="12457" xr:uid="{60CBEEEE-C9C5-474C-ABA0-E9FA115D86DC}"/>
    <cellStyle name="SAPBEXfilterItem 2 4 2 9 2" xfId="12458" xr:uid="{D9E2DDA1-52C0-4771-9D0B-EA81770BB2B1}"/>
    <cellStyle name="SAPBEXfilterItem 2 4 3" xfId="12459" xr:uid="{F8CC5A8A-D881-46D1-8729-4BD6B4CFE242}"/>
    <cellStyle name="SAPBEXfilterItem 2 4 3 10" xfId="12460" xr:uid="{F334A15C-BA98-42BB-AB1C-7AF60F460E92}"/>
    <cellStyle name="SAPBEXfilterItem 2 4 3 10 2" xfId="12461" xr:uid="{07D14322-6CF5-4758-8F3C-8AADC8268642}"/>
    <cellStyle name="SAPBEXfilterItem 2 4 3 11" xfId="12462" xr:uid="{B918FC78-34E6-4B14-BE01-A5D5859612B3}"/>
    <cellStyle name="SAPBEXfilterItem 2 4 3 11 2" xfId="12463" xr:uid="{0CCF54BB-DF4E-444A-9D2C-44BF133CBC95}"/>
    <cellStyle name="SAPBEXfilterItem 2 4 3 12" xfId="12464" xr:uid="{BC4236C8-E5D3-4BF7-86FD-46B6B4A0C1D4}"/>
    <cellStyle name="SAPBEXfilterItem 2 4 3 12 2" xfId="12465" xr:uid="{8AC531BB-53C4-4D43-8F65-F08DD8043155}"/>
    <cellStyle name="SAPBEXfilterItem 2 4 3 13" xfId="12466" xr:uid="{4361214D-3E90-4FE5-920C-F83B4BC73EE9}"/>
    <cellStyle name="SAPBEXfilterItem 2 4 3 13 2" xfId="12467" xr:uid="{71E60B8D-B115-48C1-9633-889698083BF5}"/>
    <cellStyle name="SAPBEXfilterItem 2 4 3 14" xfId="12468" xr:uid="{839AE9BB-CF13-43A7-B8EE-0E871C21C5D0}"/>
    <cellStyle name="SAPBEXfilterItem 2 4 3 14 2" xfId="12469" xr:uid="{5D5E3AE3-8BBA-4DE7-AAA7-0164782791EA}"/>
    <cellStyle name="SAPBEXfilterItem 2 4 3 15" xfId="12470" xr:uid="{5B1286BD-A744-4312-885C-B8FB9F9EB56B}"/>
    <cellStyle name="SAPBEXfilterItem 2 4 3 15 2" xfId="12471" xr:uid="{36F81373-FC25-4DC8-A7F0-25DE77FCE101}"/>
    <cellStyle name="SAPBEXfilterItem 2 4 3 16" xfId="12472" xr:uid="{896467E6-4B36-4B3A-86E1-C55340BEE526}"/>
    <cellStyle name="SAPBEXfilterItem 2 4 3 2" xfId="12473" xr:uid="{CBC7578C-F3FA-4E5F-85DB-79508B1DB6C5}"/>
    <cellStyle name="SAPBEXfilterItem 2 4 3 2 2" xfId="12474" xr:uid="{F5D4C422-1220-4FE4-92A7-03F621662FC5}"/>
    <cellStyle name="SAPBEXfilterItem 2 4 3 3" xfId="12475" xr:uid="{A93217BD-63FB-4973-92A0-E11183BED0AE}"/>
    <cellStyle name="SAPBEXfilterItem 2 4 3 3 2" xfId="12476" xr:uid="{0479777A-4F7A-4440-8E68-B01786C3049F}"/>
    <cellStyle name="SAPBEXfilterItem 2 4 3 4" xfId="12477" xr:uid="{C9C4F772-7039-4FD2-8F76-8BFAF6293881}"/>
    <cellStyle name="SAPBEXfilterItem 2 4 3 4 2" xfId="12478" xr:uid="{4AA6BE74-87D5-47DA-B9BD-297D86F7A25B}"/>
    <cellStyle name="SAPBEXfilterItem 2 4 3 5" xfId="12479" xr:uid="{E27807A1-835C-4A8E-B7E5-7511C31A8F5E}"/>
    <cellStyle name="SAPBEXfilterItem 2 4 3 5 2" xfId="12480" xr:uid="{EB4B7D82-3B05-402B-8EAF-738EA1AFDAE2}"/>
    <cellStyle name="SAPBEXfilterItem 2 4 3 6" xfId="12481" xr:uid="{48BD99EF-CB26-442E-9D5F-258C89E8BB96}"/>
    <cellStyle name="SAPBEXfilterItem 2 4 3 6 2" xfId="12482" xr:uid="{937DBC81-42AA-4392-8935-11F6B26AE1DD}"/>
    <cellStyle name="SAPBEXfilterItem 2 4 3 7" xfId="12483" xr:uid="{14EE13AA-8902-4382-896B-9FF367759FF4}"/>
    <cellStyle name="SAPBEXfilterItem 2 4 3 7 2" xfId="12484" xr:uid="{47AA9679-F5D0-438A-A340-A4FBAE033D48}"/>
    <cellStyle name="SAPBEXfilterItem 2 4 3 8" xfId="12485" xr:uid="{9ED033F2-8447-4B3C-9CA7-53CA0194A17C}"/>
    <cellStyle name="SAPBEXfilterItem 2 4 3 8 2" xfId="12486" xr:uid="{D53EFC60-59F3-484D-8DFC-DA7D422748D9}"/>
    <cellStyle name="SAPBEXfilterItem 2 4 3 9" xfId="12487" xr:uid="{B7A0B151-EFC7-4801-B92B-CF9318F0514E}"/>
    <cellStyle name="SAPBEXfilterItem 2 4 3 9 2" xfId="12488" xr:uid="{71C5D848-0F2F-4804-8E9E-3A231AA00DB3}"/>
    <cellStyle name="SAPBEXfilterItem 2 4 4" xfId="12489" xr:uid="{47AB0852-21DC-4F73-B7AF-ADCECCD23969}"/>
    <cellStyle name="SAPBEXfilterItem 2 4 4 2" xfId="12490" xr:uid="{84966D41-2C35-4A48-B2E6-967736E7AD2B}"/>
    <cellStyle name="SAPBEXfilterItem 2 4 5" xfId="12491" xr:uid="{BFE37A1A-6B9C-469C-B093-7789B7BB2445}"/>
    <cellStyle name="SAPBEXfilterItem 2 4 5 2" xfId="12492" xr:uid="{17E64260-A29A-4BCB-9377-1EFCE2D195E2}"/>
    <cellStyle name="SAPBEXfilterItem 2 4 6" xfId="12493" xr:uid="{D06F373C-418E-4594-922F-D230F75A2B82}"/>
    <cellStyle name="SAPBEXfilterItem 2 4 6 2" xfId="12494" xr:uid="{232A5D39-693E-4D49-9EDA-98531F3251E3}"/>
    <cellStyle name="SAPBEXfilterItem 2 4 7" xfId="12495" xr:uid="{C8D675A6-03C0-44BB-8DFC-594FBCBF905D}"/>
    <cellStyle name="SAPBEXfilterItem 2 4 7 2" xfId="12496" xr:uid="{7D380772-ADD6-4557-89AD-DEEB06847474}"/>
    <cellStyle name="SAPBEXfilterItem 2 4 8" xfId="12497" xr:uid="{53ABFD30-06E6-4EF3-9727-0B3F1548B09A}"/>
    <cellStyle name="SAPBEXfilterItem 2 4 8 2" xfId="12498" xr:uid="{8CDC7E5C-B951-452A-85FA-F21117D9DBFC}"/>
    <cellStyle name="SAPBEXfilterItem 2 4 9" xfId="12499" xr:uid="{22E80EB9-EA3F-40CE-95A9-544E04AA0803}"/>
    <cellStyle name="SAPBEXfilterItem 2 4 9 2" xfId="12500" xr:uid="{183368B5-AD1D-4F6D-9FF5-27A34D385664}"/>
    <cellStyle name="SAPBEXfilterItem 2 5" xfId="12501" xr:uid="{4D77B787-164E-4928-A29D-FBAD1E25C716}"/>
    <cellStyle name="SAPBEXfilterItem 2 5 2" xfId="12502" xr:uid="{4AD355ED-0488-4900-A560-46A75D731A20}"/>
    <cellStyle name="SAPBEXfilterItem 2 6" xfId="12503" xr:uid="{1E2436E7-D8FF-4B2D-B5EB-33ACF4044B46}"/>
    <cellStyle name="SAPBEXfilterItem 2 6 2" xfId="12504" xr:uid="{535D3FCD-3DAA-4599-8BA7-888CC0C0192F}"/>
    <cellStyle name="SAPBEXfilterItem 2 7" xfId="12505" xr:uid="{A0442F74-B11B-4C65-B21B-F411F419E15B}"/>
    <cellStyle name="SAPBEXfilterItem 2 7 2" xfId="12506" xr:uid="{EF08329F-8932-4B37-8DAA-24F4516C692B}"/>
    <cellStyle name="SAPBEXfilterItem 2 8" xfId="12507" xr:uid="{E5ECB9E3-919B-4FC9-99E3-C54B30260416}"/>
    <cellStyle name="SAPBEXfilterItem 2 8 2" xfId="12508" xr:uid="{ED169EC7-8F1A-4D54-A11E-F4719756FA63}"/>
    <cellStyle name="SAPBEXfilterItem 2 9" xfId="12509" xr:uid="{8B0BC452-2186-4C1D-9BC5-60B1EDF4AC65}"/>
    <cellStyle name="SAPBEXfilterItem 2 9 2" xfId="12510" xr:uid="{7021BEF1-F024-403C-9018-8F8D0FCC4FCA}"/>
    <cellStyle name="SAPBEXfilterItem 2_T1 ANSP" xfId="12211" xr:uid="{C8589034-2D7F-4273-8C84-2BA5AD535D54}"/>
    <cellStyle name="SAPBEXfilterItem 20" xfId="12511" xr:uid="{56907B42-269F-49F7-8B91-3188EBC70D23}"/>
    <cellStyle name="SAPBEXfilterItem 3" xfId="1515" xr:uid="{00000000-0005-0000-0000-000080050000}"/>
    <cellStyle name="SAPBEXfilterItem 3 10" xfId="12513" xr:uid="{92E27CFD-FC40-4D8E-971E-8C8FA0CF1358}"/>
    <cellStyle name="SAPBEXfilterItem 3 10 2" xfId="12514" xr:uid="{04CD43D3-23C8-4CBF-BCEF-CF830F95EAF5}"/>
    <cellStyle name="SAPBEXfilterItem 3 11" xfId="12515" xr:uid="{F8E43C3F-6845-4C1F-946B-430642B90FEB}"/>
    <cellStyle name="SAPBEXfilterItem 3 11 2" xfId="12516" xr:uid="{C5BB8765-06A6-4CD2-B285-5F7D6E63DC4C}"/>
    <cellStyle name="SAPBEXfilterItem 3 12" xfId="12517" xr:uid="{1542A25A-A7AE-4EF9-AACD-32D505507A3F}"/>
    <cellStyle name="SAPBEXfilterItem 3 12 2" xfId="12518" xr:uid="{596FF8F9-BD58-4C06-8502-B93707D61B99}"/>
    <cellStyle name="SAPBEXfilterItem 3 13" xfId="12519" xr:uid="{409A586F-28F1-4D39-AA36-EDF7047AC27A}"/>
    <cellStyle name="SAPBEXfilterItem 3 13 2" xfId="12520" xr:uid="{81B5C153-897A-44C7-9767-A6BC70833246}"/>
    <cellStyle name="SAPBEXfilterItem 3 14" xfId="12521" xr:uid="{52D2CFDD-6915-4721-AA3F-7578F340958A}"/>
    <cellStyle name="SAPBEXfilterItem 3 14 2" xfId="12522" xr:uid="{732B8CA8-28CA-4D00-A406-8A453E4B217B}"/>
    <cellStyle name="SAPBEXfilterItem 3 15" xfId="12523" xr:uid="{B597C096-D825-47AF-BC25-7930B3EEC8A2}"/>
    <cellStyle name="SAPBEXfilterItem 3 15 2" xfId="12524" xr:uid="{3ACED15B-2D00-4EA8-81C2-9D0B30E07D23}"/>
    <cellStyle name="SAPBEXfilterItem 3 16" xfId="12525" xr:uid="{06C5A546-9A83-49C1-9407-B413E9F4DB74}"/>
    <cellStyle name="SAPBEXfilterItem 3 16 2" xfId="12526" xr:uid="{4559F525-A342-48E2-AC1F-9E43494CF9F8}"/>
    <cellStyle name="SAPBEXfilterItem 3 17" xfId="12527" xr:uid="{60086FE2-EEE7-4682-94E4-0BC93C0CBBBF}"/>
    <cellStyle name="SAPBEXfilterItem 3 17 2" xfId="12528" xr:uid="{45379C0C-FC96-43CB-B472-7DEDA5DD7A26}"/>
    <cellStyle name="SAPBEXfilterItem 3 18" xfId="12529" xr:uid="{91501C36-E938-4063-AC1B-395D1400AE8F}"/>
    <cellStyle name="SAPBEXfilterItem 3 18 2" xfId="12530" xr:uid="{6B9EB214-ABBE-4CD9-A21C-7AEFEB28C324}"/>
    <cellStyle name="SAPBEXfilterItem 3 19" xfId="12531" xr:uid="{E375BD47-43E4-4D35-8D85-04CC999800DE}"/>
    <cellStyle name="SAPBEXfilterItem 3 2" xfId="12532" xr:uid="{007ADB9F-0AA3-4855-ADD8-3CABFA0A8D65}"/>
    <cellStyle name="SAPBEXfilterItem 3 2 10" xfId="12533" xr:uid="{FF82958E-01A8-4BDF-8645-0A0F3E4E59A5}"/>
    <cellStyle name="SAPBEXfilterItem 3 2 10 2" xfId="12534" xr:uid="{9C5CC6A4-2087-42FB-87BE-7F98C351EDC3}"/>
    <cellStyle name="SAPBEXfilterItem 3 2 11" xfId="12535" xr:uid="{0813120A-15B2-489D-8ED8-8BC7866DC18A}"/>
    <cellStyle name="SAPBEXfilterItem 3 2 11 2" xfId="12536" xr:uid="{1C9BB4E2-0F74-4E01-B8D4-2EFCA299FEEA}"/>
    <cellStyle name="SAPBEXfilterItem 3 2 12" xfId="12537" xr:uid="{24E01999-BAE7-416B-B2FD-779749A8F632}"/>
    <cellStyle name="SAPBEXfilterItem 3 2 12 2" xfId="12538" xr:uid="{BA298713-7910-45C3-AD7C-D709A8669ECA}"/>
    <cellStyle name="SAPBEXfilterItem 3 2 13" xfId="12539" xr:uid="{8CB96041-29F9-4146-8E3E-2A6415512BAA}"/>
    <cellStyle name="SAPBEXfilterItem 3 2 13 2" xfId="12540" xr:uid="{BC625BD0-77B7-4A2B-A498-A5F77BEA7E37}"/>
    <cellStyle name="SAPBEXfilterItem 3 2 14" xfId="12541" xr:uid="{F1846CD2-209F-475F-A4DE-DA191F99C7C8}"/>
    <cellStyle name="SAPBEXfilterItem 3 2 14 2" xfId="12542" xr:uid="{3955E051-9F33-4987-A32D-A0EA2C548992}"/>
    <cellStyle name="SAPBEXfilterItem 3 2 15" xfId="12543" xr:uid="{363B715E-04B6-49CE-B381-3B7F6C601C40}"/>
    <cellStyle name="SAPBEXfilterItem 3 2 15 2" xfId="12544" xr:uid="{B7E79F85-1246-44F5-838A-25265FED95A8}"/>
    <cellStyle name="SAPBEXfilterItem 3 2 16" xfId="12545" xr:uid="{4F531824-5EA5-4483-B219-20E23D7FD954}"/>
    <cellStyle name="SAPBEXfilterItem 3 2 16 2" xfId="12546" xr:uid="{DBB74D58-299E-44B6-9EA0-F38AF7DB751B}"/>
    <cellStyle name="SAPBEXfilterItem 3 2 17" xfId="12547" xr:uid="{791C8D04-CF20-4BCF-B18F-595E7CB3F7E4}"/>
    <cellStyle name="SAPBEXfilterItem 3 2 17 2" xfId="12548" xr:uid="{172656A7-5581-4A59-8495-8ACFBF776788}"/>
    <cellStyle name="SAPBEXfilterItem 3 2 18" xfId="12549" xr:uid="{FE708140-6C1D-440C-99FD-15A3CC49E79C}"/>
    <cellStyle name="SAPBEXfilterItem 3 2 2" xfId="12550" xr:uid="{5C231777-79CD-4824-88CE-2104302FA83B}"/>
    <cellStyle name="SAPBEXfilterItem 3 2 2 10" xfId="12551" xr:uid="{25EE9DA5-608B-4A3F-BD4F-7653E23CD99D}"/>
    <cellStyle name="SAPBEXfilterItem 3 2 2 10 2" xfId="12552" xr:uid="{4B176105-892D-462B-AB41-8A42E27CF495}"/>
    <cellStyle name="SAPBEXfilterItem 3 2 2 11" xfId="12553" xr:uid="{47F384E2-1985-4FA8-B2A6-81E1896352FA}"/>
    <cellStyle name="SAPBEXfilterItem 3 2 2 11 2" xfId="12554" xr:uid="{A9A434CD-BC43-4800-9BAE-842C85676AC8}"/>
    <cellStyle name="SAPBEXfilterItem 3 2 2 12" xfId="12555" xr:uid="{3CB3DCD1-583D-4FCD-8915-3C5CF9FEBEF8}"/>
    <cellStyle name="SAPBEXfilterItem 3 2 2 12 2" xfId="12556" xr:uid="{C89D2D40-A7D5-4118-83BD-9D83D115359D}"/>
    <cellStyle name="SAPBEXfilterItem 3 2 2 13" xfId="12557" xr:uid="{DBB1251B-718B-43BF-AB90-30E58409FA5B}"/>
    <cellStyle name="SAPBEXfilterItem 3 2 2 13 2" xfId="12558" xr:uid="{727267CA-01D8-40EC-998F-98F277DEEE1F}"/>
    <cellStyle name="SAPBEXfilterItem 3 2 2 14" xfId="12559" xr:uid="{EF465B42-274D-4722-BC6B-EAAF90BD6E2B}"/>
    <cellStyle name="SAPBEXfilterItem 3 2 2 14 2" xfId="12560" xr:uid="{E47070AB-4CA2-4424-B820-D2667AFD7243}"/>
    <cellStyle name="SAPBEXfilterItem 3 2 2 15" xfId="12561" xr:uid="{B3224BBF-ACE1-4051-B3DE-1D2201D93CA1}"/>
    <cellStyle name="SAPBEXfilterItem 3 2 2 15 2" xfId="12562" xr:uid="{203C413F-E4DB-4BAE-B531-A72F9DC62D6A}"/>
    <cellStyle name="SAPBEXfilterItem 3 2 2 16" xfId="12563" xr:uid="{FA59C1C2-0C8E-421A-BABA-EFC67DEB3B71}"/>
    <cellStyle name="SAPBEXfilterItem 3 2 2 2" xfId="12564" xr:uid="{793FA5D7-81D6-4F3F-82D1-DA0007E33F90}"/>
    <cellStyle name="SAPBEXfilterItem 3 2 2 2 2" xfId="12565" xr:uid="{78366569-5487-41D8-BF22-B6F6441559F6}"/>
    <cellStyle name="SAPBEXfilterItem 3 2 2 3" xfId="12566" xr:uid="{53091908-083C-413C-909C-874972BE1F2C}"/>
    <cellStyle name="SAPBEXfilterItem 3 2 2 3 2" xfId="12567" xr:uid="{A22FFE01-1594-4385-80A3-F07C547996B1}"/>
    <cellStyle name="SAPBEXfilterItem 3 2 2 4" xfId="12568" xr:uid="{2C911ABF-8A01-4124-B4F0-67B9A39CC368}"/>
    <cellStyle name="SAPBEXfilterItem 3 2 2 4 2" xfId="12569" xr:uid="{0DB09CF1-6407-4205-9DF8-03B0980E5D21}"/>
    <cellStyle name="SAPBEXfilterItem 3 2 2 5" xfId="12570" xr:uid="{B1DFB01F-28A0-4BE7-893F-7242CCEB5547}"/>
    <cellStyle name="SAPBEXfilterItem 3 2 2 5 2" xfId="12571" xr:uid="{08A270E4-7264-4DE0-BB31-4CE5E0CB7245}"/>
    <cellStyle name="SAPBEXfilterItem 3 2 2 6" xfId="12572" xr:uid="{75F93A0D-1E08-449E-9118-66C972059C32}"/>
    <cellStyle name="SAPBEXfilterItem 3 2 2 6 2" xfId="12573" xr:uid="{EF037DE0-A818-4FC2-8910-BF55BD4D490E}"/>
    <cellStyle name="SAPBEXfilterItem 3 2 2 7" xfId="12574" xr:uid="{3F60F3F2-AFBB-4C47-87BE-97D08EE93852}"/>
    <cellStyle name="SAPBEXfilterItem 3 2 2 7 2" xfId="12575" xr:uid="{1C639FC7-7B24-4578-B023-8F2C10A70956}"/>
    <cellStyle name="SAPBEXfilterItem 3 2 2 8" xfId="12576" xr:uid="{84AE6887-14DF-4D75-8338-1BA8921D636E}"/>
    <cellStyle name="SAPBEXfilterItem 3 2 2 8 2" xfId="12577" xr:uid="{C971B190-A544-4521-BF52-EC0BB4E0F64A}"/>
    <cellStyle name="SAPBEXfilterItem 3 2 2 9" xfId="12578" xr:uid="{790C7502-C965-4029-A8F0-A1A20DA8C872}"/>
    <cellStyle name="SAPBEXfilterItem 3 2 2 9 2" xfId="12579" xr:uid="{9DCF4C1A-D0EB-4EDF-AD68-8284A63C7E87}"/>
    <cellStyle name="SAPBEXfilterItem 3 2 3" xfId="12580" xr:uid="{DCEC1C78-BF3B-487A-910F-1DC93981C05A}"/>
    <cellStyle name="SAPBEXfilterItem 3 2 3 10" xfId="12581" xr:uid="{5824E4E5-CECE-4ABE-8491-253C2E2B25B7}"/>
    <cellStyle name="SAPBEXfilterItem 3 2 3 10 2" xfId="12582" xr:uid="{D3EC69FF-6CCC-446A-BCC3-55ACD96DE533}"/>
    <cellStyle name="SAPBEXfilterItem 3 2 3 11" xfId="12583" xr:uid="{D3888972-8A7B-4AF4-AC5A-15408011752C}"/>
    <cellStyle name="SAPBEXfilterItem 3 2 3 11 2" xfId="12584" xr:uid="{2B224FD0-DDEE-419F-83B9-9254066C21E7}"/>
    <cellStyle name="SAPBEXfilterItem 3 2 3 12" xfId="12585" xr:uid="{3CD8238D-9CA6-44B2-AA7F-3A4249BA7E7F}"/>
    <cellStyle name="SAPBEXfilterItem 3 2 3 12 2" xfId="12586" xr:uid="{F120B650-C1D6-4B3C-AC36-0518640D90CF}"/>
    <cellStyle name="SAPBEXfilterItem 3 2 3 13" xfId="12587" xr:uid="{69EC4637-709E-4741-9785-74A46A6BD566}"/>
    <cellStyle name="SAPBEXfilterItem 3 2 3 13 2" xfId="12588" xr:uid="{71A522A6-3A44-4554-8AED-488C601A1C8F}"/>
    <cellStyle name="SAPBEXfilterItem 3 2 3 14" xfId="12589" xr:uid="{7334CD73-FEE7-4A41-82F0-AF263B302337}"/>
    <cellStyle name="SAPBEXfilterItem 3 2 3 14 2" xfId="12590" xr:uid="{A15A57C9-A194-4044-93F2-D92BC4DD8737}"/>
    <cellStyle name="SAPBEXfilterItem 3 2 3 15" xfId="12591" xr:uid="{1D71396D-9133-4B08-8E61-BCF4D9D5D888}"/>
    <cellStyle name="SAPBEXfilterItem 3 2 3 15 2" xfId="12592" xr:uid="{77DDA523-B5AF-42F7-A8DF-E108AE257534}"/>
    <cellStyle name="SAPBEXfilterItem 3 2 3 16" xfId="12593" xr:uid="{7A2A0CB4-2842-4D25-8608-002B55D06908}"/>
    <cellStyle name="SAPBEXfilterItem 3 2 3 2" xfId="12594" xr:uid="{261258FF-0B07-407D-9F17-787C1857F481}"/>
    <cellStyle name="SAPBEXfilterItem 3 2 3 2 2" xfId="12595" xr:uid="{1353AECD-FE3A-458B-B566-06BB92B0E2F9}"/>
    <cellStyle name="SAPBEXfilterItem 3 2 3 3" xfId="12596" xr:uid="{E388AF51-5C99-47C1-8717-A353D8C3FD5F}"/>
    <cellStyle name="SAPBEXfilterItem 3 2 3 3 2" xfId="12597" xr:uid="{70EC9E5C-0B46-45B3-9447-869EE7C6A669}"/>
    <cellStyle name="SAPBEXfilterItem 3 2 3 4" xfId="12598" xr:uid="{7FFB9769-FBCA-4BD1-90FB-C91404CB527E}"/>
    <cellStyle name="SAPBEXfilterItem 3 2 3 4 2" xfId="12599" xr:uid="{9CB1206C-F832-4454-8BF0-D45EAD8FBDF4}"/>
    <cellStyle name="SAPBEXfilterItem 3 2 3 5" xfId="12600" xr:uid="{EE59DC1B-B7E6-4C3A-958C-356110421DDD}"/>
    <cellStyle name="SAPBEXfilterItem 3 2 3 5 2" xfId="12601" xr:uid="{203A4054-8EB9-45A7-B8BA-6881717A7AD7}"/>
    <cellStyle name="SAPBEXfilterItem 3 2 3 6" xfId="12602" xr:uid="{14FAD126-4D48-4D0F-89F9-38081DB793E5}"/>
    <cellStyle name="SAPBEXfilterItem 3 2 3 6 2" xfId="12603" xr:uid="{C018983C-7C09-4740-8154-A2B6F44F3BF3}"/>
    <cellStyle name="SAPBEXfilterItem 3 2 3 7" xfId="12604" xr:uid="{AC8E5F42-8373-45F2-BE44-75990029B651}"/>
    <cellStyle name="SAPBEXfilterItem 3 2 3 7 2" xfId="12605" xr:uid="{577CDB29-176F-49F5-B3E0-45CB25588EEB}"/>
    <cellStyle name="SAPBEXfilterItem 3 2 3 8" xfId="12606" xr:uid="{29C1135E-9663-4F0E-A6B7-2EC6B0FD1E80}"/>
    <cellStyle name="SAPBEXfilterItem 3 2 3 8 2" xfId="12607" xr:uid="{DF0EB792-D63D-4F67-A8D6-6EAEB5A63FD2}"/>
    <cellStyle name="SAPBEXfilterItem 3 2 3 9" xfId="12608" xr:uid="{59F25976-6EEA-4124-BE7E-4195FC47A880}"/>
    <cellStyle name="SAPBEXfilterItem 3 2 3 9 2" xfId="12609" xr:uid="{04BE64F0-FCE1-4F4A-A412-1C7E7EAB9922}"/>
    <cellStyle name="SAPBEXfilterItem 3 2 4" xfId="12610" xr:uid="{DC6D3278-938D-4E21-BC08-BC80D3B56257}"/>
    <cellStyle name="SAPBEXfilterItem 3 2 4 2" xfId="12611" xr:uid="{163A4151-8A50-42F6-B4FF-46E2EAA06B46}"/>
    <cellStyle name="SAPBEXfilterItem 3 2 5" xfId="12612" xr:uid="{53089D33-D23F-4229-A983-6972A735D764}"/>
    <cellStyle name="SAPBEXfilterItem 3 2 5 2" xfId="12613" xr:uid="{E5920FD6-483A-4C30-B168-F8965BE7B0FC}"/>
    <cellStyle name="SAPBEXfilterItem 3 2 6" xfId="12614" xr:uid="{DE8574AA-21B6-4BB5-A988-750766EAE40E}"/>
    <cellStyle name="SAPBEXfilterItem 3 2 6 2" xfId="12615" xr:uid="{C3DE76D9-0616-453F-A716-9854778B29D2}"/>
    <cellStyle name="SAPBEXfilterItem 3 2 7" xfId="12616" xr:uid="{0BBE61FB-AEE4-4D34-A8F2-D0A37938085A}"/>
    <cellStyle name="SAPBEXfilterItem 3 2 7 2" xfId="12617" xr:uid="{C47017A2-2F30-4395-8DDD-79BDEDC32841}"/>
    <cellStyle name="SAPBEXfilterItem 3 2 8" xfId="12618" xr:uid="{6324E872-7C02-48B3-B1BF-9972AE179EFF}"/>
    <cellStyle name="SAPBEXfilterItem 3 2 8 2" xfId="12619" xr:uid="{247BC848-F644-4026-9DCC-5B88A25AC31C}"/>
    <cellStyle name="SAPBEXfilterItem 3 2 9" xfId="12620" xr:uid="{64AE11E6-EFB3-4143-9ABC-E1D4F5117AC8}"/>
    <cellStyle name="SAPBEXfilterItem 3 2 9 2" xfId="12621" xr:uid="{C844CE4D-9BC5-45D7-A468-8B37B259E8C4}"/>
    <cellStyle name="SAPBEXfilterItem 3 3" xfId="12622" xr:uid="{4E8F087C-3379-4EB8-B4AA-0BE8B207EC48}"/>
    <cellStyle name="SAPBEXfilterItem 3 3 10" xfId="12623" xr:uid="{EDC6737F-4BB8-4E43-B394-F9C52A41EF40}"/>
    <cellStyle name="SAPBEXfilterItem 3 3 10 2" xfId="12624" xr:uid="{75809C91-1C81-4A4C-BD40-E6BAB8AC2947}"/>
    <cellStyle name="SAPBEXfilterItem 3 3 11" xfId="12625" xr:uid="{2E2AB4E9-F5CE-4C98-A002-332AF853DA7D}"/>
    <cellStyle name="SAPBEXfilterItem 3 3 11 2" xfId="12626" xr:uid="{FE63C082-0A07-41FF-BE2A-4269DDC49654}"/>
    <cellStyle name="SAPBEXfilterItem 3 3 12" xfId="12627" xr:uid="{3FCEEB22-A44B-46E7-8AB5-49F86D079FA3}"/>
    <cellStyle name="SAPBEXfilterItem 3 3 12 2" xfId="12628" xr:uid="{CD4EB18A-ED93-4A8F-B5D2-33F36637BE3A}"/>
    <cellStyle name="SAPBEXfilterItem 3 3 13" xfId="12629" xr:uid="{0C0C5B86-0B44-470D-94D4-8526ABAB7E55}"/>
    <cellStyle name="SAPBEXfilterItem 3 3 13 2" xfId="12630" xr:uid="{EF63E41A-B23B-476A-97CC-5E980CABEA7F}"/>
    <cellStyle name="SAPBEXfilterItem 3 3 14" xfId="12631" xr:uid="{4F910440-F6B3-45BD-A248-30653F6B94D3}"/>
    <cellStyle name="SAPBEXfilterItem 3 3 14 2" xfId="12632" xr:uid="{F5FCCCC0-A359-455A-A5E8-EE488EB07092}"/>
    <cellStyle name="SAPBEXfilterItem 3 3 15" xfId="12633" xr:uid="{5533101F-3658-41BE-BF23-9632E1D41AC8}"/>
    <cellStyle name="SAPBEXfilterItem 3 3 15 2" xfId="12634" xr:uid="{E9DC0578-1BEE-4A54-8520-A6024A4E3F19}"/>
    <cellStyle name="SAPBEXfilterItem 3 3 16" xfId="12635" xr:uid="{4BA03323-9555-41D7-A13A-6BA8396C7DA4}"/>
    <cellStyle name="SAPBEXfilterItem 3 3 16 2" xfId="12636" xr:uid="{52671C5B-187E-4E6C-9CB8-5689707D5C32}"/>
    <cellStyle name="SAPBEXfilterItem 3 3 17" xfId="12637" xr:uid="{989D43FE-A5BA-48A5-8BBD-1C1191F73CC1}"/>
    <cellStyle name="SAPBEXfilterItem 3 3 17 2" xfId="12638" xr:uid="{B9E4A482-11A1-44E1-BE07-15C07B940CE4}"/>
    <cellStyle name="SAPBEXfilterItem 3 3 18" xfId="12639" xr:uid="{75DE33CE-F58D-49A6-96EB-E2F955129984}"/>
    <cellStyle name="SAPBEXfilterItem 3 3 2" xfId="12640" xr:uid="{B004E9D4-A4EA-4B9D-AE75-73C4EA4531DB}"/>
    <cellStyle name="SAPBEXfilterItem 3 3 2 10" xfId="12641" xr:uid="{E0B17C65-BCAD-4425-99F4-224FDA609C71}"/>
    <cellStyle name="SAPBEXfilterItem 3 3 2 10 2" xfId="12642" xr:uid="{CDF77D37-C5FD-4B83-8F25-34B53980B0DE}"/>
    <cellStyle name="SAPBEXfilterItem 3 3 2 11" xfId="12643" xr:uid="{4026CA67-A2CF-4FF3-A010-132C3AD17346}"/>
    <cellStyle name="SAPBEXfilterItem 3 3 2 11 2" xfId="12644" xr:uid="{9D949283-DE04-411A-ACF7-FB0E305970EC}"/>
    <cellStyle name="SAPBEXfilterItem 3 3 2 12" xfId="12645" xr:uid="{BEECA126-5AA0-4B3D-A8D7-28BF7F01A830}"/>
    <cellStyle name="SAPBEXfilterItem 3 3 2 12 2" xfId="12646" xr:uid="{3847051C-E27B-4BB6-828B-4866EE040084}"/>
    <cellStyle name="SAPBEXfilterItem 3 3 2 13" xfId="12647" xr:uid="{E21E398C-9A71-4717-88AB-B648A5C9E1F9}"/>
    <cellStyle name="SAPBEXfilterItem 3 3 2 13 2" xfId="12648" xr:uid="{829FD85F-4E21-4826-AF1E-EE88B3392AE8}"/>
    <cellStyle name="SAPBEXfilterItem 3 3 2 14" xfId="12649" xr:uid="{30DA893E-F874-4F80-B93C-E08EFFBD013B}"/>
    <cellStyle name="SAPBEXfilterItem 3 3 2 14 2" xfId="12650" xr:uid="{CA883CD1-8E09-4B00-AA89-8042C2EE69CC}"/>
    <cellStyle name="SAPBEXfilterItem 3 3 2 15" xfId="12651" xr:uid="{1C4B431C-5D07-4890-9B81-170CBEF16B0A}"/>
    <cellStyle name="SAPBEXfilterItem 3 3 2 15 2" xfId="12652" xr:uid="{00C5F260-29B4-461D-AC15-6566E9DC22E5}"/>
    <cellStyle name="SAPBEXfilterItem 3 3 2 16" xfId="12653" xr:uid="{F644C983-93FF-4AE5-AEB2-794213DB8BE6}"/>
    <cellStyle name="SAPBEXfilterItem 3 3 2 2" xfId="12654" xr:uid="{F5B92D35-94FF-4169-B0D6-64FA0701F419}"/>
    <cellStyle name="SAPBEXfilterItem 3 3 2 2 2" xfId="12655" xr:uid="{81F1707F-0C7B-4CF2-BBC7-CAC584307FB1}"/>
    <cellStyle name="SAPBEXfilterItem 3 3 2 3" xfId="12656" xr:uid="{EAC5B33B-052D-4628-8EA0-D564F85963D0}"/>
    <cellStyle name="SAPBEXfilterItem 3 3 2 3 2" xfId="12657" xr:uid="{7BC10004-5B57-41FA-8F25-87D49844BDEE}"/>
    <cellStyle name="SAPBEXfilterItem 3 3 2 4" xfId="12658" xr:uid="{65C7CCA7-BBAA-4B98-B304-C018BE3AB9C8}"/>
    <cellStyle name="SAPBEXfilterItem 3 3 2 4 2" xfId="12659" xr:uid="{EE6185DC-9E73-4AD8-AD03-BAD894709C2E}"/>
    <cellStyle name="SAPBEXfilterItem 3 3 2 5" xfId="12660" xr:uid="{BC102D81-F226-42EC-8FA5-648F5DA9D182}"/>
    <cellStyle name="SAPBEXfilterItem 3 3 2 5 2" xfId="12661" xr:uid="{4D98359B-1C27-4A09-BCCF-5BB5DA5A0049}"/>
    <cellStyle name="SAPBEXfilterItem 3 3 2 6" xfId="12662" xr:uid="{F5A09D5B-A4AB-4160-883E-16577151499F}"/>
    <cellStyle name="SAPBEXfilterItem 3 3 2 6 2" xfId="12663" xr:uid="{2FDD3AA4-206C-47C6-98BC-804266F4F696}"/>
    <cellStyle name="SAPBEXfilterItem 3 3 2 7" xfId="12664" xr:uid="{B5CAFB7F-D999-4F3A-B8C1-581751172A87}"/>
    <cellStyle name="SAPBEXfilterItem 3 3 2 7 2" xfId="12665" xr:uid="{FF4A5163-B190-4394-B383-33A44711E273}"/>
    <cellStyle name="SAPBEXfilterItem 3 3 2 8" xfId="12666" xr:uid="{A23025E3-8C5D-4275-BD08-F5D1E163056A}"/>
    <cellStyle name="SAPBEXfilterItem 3 3 2 8 2" xfId="12667" xr:uid="{8A8B8274-B455-4468-88BC-B328863F3D69}"/>
    <cellStyle name="SAPBEXfilterItem 3 3 2 9" xfId="12668" xr:uid="{C439C5B0-13CA-4DB5-AB34-1AE96992750B}"/>
    <cellStyle name="SAPBEXfilterItem 3 3 2 9 2" xfId="12669" xr:uid="{339ECCFD-9788-457E-B46A-4C4AB96CB9A4}"/>
    <cellStyle name="SAPBEXfilterItem 3 3 3" xfId="12670" xr:uid="{02472753-1FCB-493F-95C7-150F214C04A8}"/>
    <cellStyle name="SAPBEXfilterItem 3 3 3 10" xfId="12671" xr:uid="{22B501A0-A196-4ABB-AF7E-786BA81028B4}"/>
    <cellStyle name="SAPBEXfilterItem 3 3 3 10 2" xfId="12672" xr:uid="{E4EA0203-837E-48B1-96E1-B1969CC3995A}"/>
    <cellStyle name="SAPBEXfilterItem 3 3 3 11" xfId="12673" xr:uid="{2B9A6603-8AD0-4A8C-8354-ACAF316E49E9}"/>
    <cellStyle name="SAPBEXfilterItem 3 3 3 11 2" xfId="12674" xr:uid="{26144E04-7C7C-4F54-BAE4-CF30D34AA550}"/>
    <cellStyle name="SAPBEXfilterItem 3 3 3 12" xfId="12675" xr:uid="{51BA57EA-E4B9-4C27-8BE5-23394A37C9BF}"/>
    <cellStyle name="SAPBEXfilterItem 3 3 3 12 2" xfId="12676" xr:uid="{3554EE53-E92F-4FC8-AFFD-A6C000EA4BD9}"/>
    <cellStyle name="SAPBEXfilterItem 3 3 3 13" xfId="12677" xr:uid="{D3C229DC-DBBD-4741-8B82-A8533C0BBD91}"/>
    <cellStyle name="SAPBEXfilterItem 3 3 3 13 2" xfId="12678" xr:uid="{2205EA4E-E88C-4475-8904-9361F4446E35}"/>
    <cellStyle name="SAPBEXfilterItem 3 3 3 14" xfId="12679" xr:uid="{242DB699-FBA1-4EF0-B221-731BE5483B0D}"/>
    <cellStyle name="SAPBEXfilterItem 3 3 3 14 2" xfId="12680" xr:uid="{09C65D2C-36A4-47A7-89B1-BC276B89D17B}"/>
    <cellStyle name="SAPBEXfilterItem 3 3 3 15" xfId="12681" xr:uid="{07EB4C56-7781-46F7-92F3-620732CDDADD}"/>
    <cellStyle name="SAPBEXfilterItem 3 3 3 15 2" xfId="12682" xr:uid="{5CD45E15-435E-48AC-B4CB-DDAAFCD3D28D}"/>
    <cellStyle name="SAPBEXfilterItem 3 3 3 16" xfId="12683" xr:uid="{C51219BE-4E2C-426B-9A34-4728C764A872}"/>
    <cellStyle name="SAPBEXfilterItem 3 3 3 2" xfId="12684" xr:uid="{0C01DBD3-EB0A-44E0-9AB7-D2EFF59CA4D5}"/>
    <cellStyle name="SAPBEXfilterItem 3 3 3 2 2" xfId="12685" xr:uid="{7C38E039-ACD9-4EB9-B9BA-53EFE580379E}"/>
    <cellStyle name="SAPBEXfilterItem 3 3 3 3" xfId="12686" xr:uid="{E9F25720-4856-41B1-B41B-33FFF7D82004}"/>
    <cellStyle name="SAPBEXfilterItem 3 3 3 3 2" xfId="12687" xr:uid="{022B1AE3-469A-4F3A-8014-0AEB7E5BA852}"/>
    <cellStyle name="SAPBEXfilterItem 3 3 3 4" xfId="12688" xr:uid="{DB186207-BC78-4BD8-9AD5-795477C6FAB1}"/>
    <cellStyle name="SAPBEXfilterItem 3 3 3 4 2" xfId="12689" xr:uid="{509980ED-48DD-41B6-9B48-54C433158BC4}"/>
    <cellStyle name="SAPBEXfilterItem 3 3 3 5" xfId="12690" xr:uid="{F8C2E325-16DB-4340-AB5D-31BA11E21B1F}"/>
    <cellStyle name="SAPBEXfilterItem 3 3 3 5 2" xfId="12691" xr:uid="{BBD8A229-6B2E-422F-897D-8863F1AEC11B}"/>
    <cellStyle name="SAPBEXfilterItem 3 3 3 6" xfId="12692" xr:uid="{8258117E-951C-431E-9A33-18213F66CAEE}"/>
    <cellStyle name="SAPBEXfilterItem 3 3 3 6 2" xfId="12693" xr:uid="{839AE444-06D0-404A-B92D-BACBD4615ABD}"/>
    <cellStyle name="SAPBEXfilterItem 3 3 3 7" xfId="12694" xr:uid="{7DBB2659-F297-4086-99DB-D13741CB833A}"/>
    <cellStyle name="SAPBEXfilterItem 3 3 3 7 2" xfId="12695" xr:uid="{703AB94A-F9B9-4D6A-977C-6ED62D509490}"/>
    <cellStyle name="SAPBEXfilterItem 3 3 3 8" xfId="12696" xr:uid="{44E2ACB2-3339-47C3-AFE9-9BE50FE12BB7}"/>
    <cellStyle name="SAPBEXfilterItem 3 3 3 8 2" xfId="12697" xr:uid="{3DC77A52-98E5-41F3-89B9-8CA20E499C2C}"/>
    <cellStyle name="SAPBEXfilterItem 3 3 3 9" xfId="12698" xr:uid="{F68C0AF1-51CD-4BB0-8573-3AEB433A9100}"/>
    <cellStyle name="SAPBEXfilterItem 3 3 3 9 2" xfId="12699" xr:uid="{7896F15D-4749-4DFF-9D5E-4FB1F28BD97F}"/>
    <cellStyle name="SAPBEXfilterItem 3 3 4" xfId="12700" xr:uid="{FF00634D-E0CB-4673-A192-BAC8980AEC0A}"/>
    <cellStyle name="SAPBEXfilterItem 3 3 4 2" xfId="12701" xr:uid="{14974B37-D49A-471D-8932-665E3E29E39E}"/>
    <cellStyle name="SAPBEXfilterItem 3 3 5" xfId="12702" xr:uid="{7F79EC96-0FE0-48FD-AD92-1B2A406FFBEB}"/>
    <cellStyle name="SAPBEXfilterItem 3 3 5 2" xfId="12703" xr:uid="{BB05682A-CC3C-4572-BF17-5C872CEAFDE2}"/>
    <cellStyle name="SAPBEXfilterItem 3 3 6" xfId="12704" xr:uid="{1EBE2438-49B4-498D-9F59-2B11973341C7}"/>
    <cellStyle name="SAPBEXfilterItem 3 3 6 2" xfId="12705" xr:uid="{22934998-7FD4-4169-B5B4-C6EB937578B7}"/>
    <cellStyle name="SAPBEXfilterItem 3 3 7" xfId="12706" xr:uid="{49F29E70-BA4F-4B33-A618-528B36C791C1}"/>
    <cellStyle name="SAPBEXfilterItem 3 3 7 2" xfId="12707" xr:uid="{8DD662F7-0231-49A9-A493-CC60FDB9F45C}"/>
    <cellStyle name="SAPBEXfilterItem 3 3 8" xfId="12708" xr:uid="{B112804D-B5B2-49AF-B1FD-F0185349FCF9}"/>
    <cellStyle name="SAPBEXfilterItem 3 3 8 2" xfId="12709" xr:uid="{BCB8F492-4869-4301-85D8-C4468005C6D1}"/>
    <cellStyle name="SAPBEXfilterItem 3 3 9" xfId="12710" xr:uid="{85EC5A28-B639-4A52-BD90-BC00B46D806F}"/>
    <cellStyle name="SAPBEXfilterItem 3 3 9 2" xfId="12711" xr:uid="{C5F9ED9A-F25A-4D96-B2E9-2EB4FB66C384}"/>
    <cellStyle name="SAPBEXfilterItem 3 4" xfId="12712" xr:uid="{789E031A-B759-4787-BB3C-D1710B5C9807}"/>
    <cellStyle name="SAPBEXfilterItem 3 4 10" xfId="12713" xr:uid="{61E13780-2F6A-4F80-A109-11CE50C28153}"/>
    <cellStyle name="SAPBEXfilterItem 3 4 10 2" xfId="12714" xr:uid="{F6167F6A-8D69-4D30-924C-62AD56EF73D1}"/>
    <cellStyle name="SAPBEXfilterItem 3 4 11" xfId="12715" xr:uid="{F58B3012-575B-45AA-AE40-EF3058466DAC}"/>
    <cellStyle name="SAPBEXfilterItem 3 4 11 2" xfId="12716" xr:uid="{878900A0-31A0-421E-B239-A48974E9A577}"/>
    <cellStyle name="SAPBEXfilterItem 3 4 12" xfId="12717" xr:uid="{A58C7F98-342B-4062-9201-B501C971C968}"/>
    <cellStyle name="SAPBEXfilterItem 3 4 12 2" xfId="12718" xr:uid="{AE5A44D0-0CAB-40E8-8346-89FC62B88A7B}"/>
    <cellStyle name="SAPBEXfilterItem 3 4 13" xfId="12719" xr:uid="{4A370DDF-4797-481D-8B34-BBBD74685128}"/>
    <cellStyle name="SAPBEXfilterItem 3 4 13 2" xfId="12720" xr:uid="{3ACA7AE8-8BE0-494F-9EA2-BD4ECC6C8423}"/>
    <cellStyle name="SAPBEXfilterItem 3 4 14" xfId="12721" xr:uid="{838C1236-6DAC-4CB9-8ABB-CDF518461A85}"/>
    <cellStyle name="SAPBEXfilterItem 3 4 14 2" xfId="12722" xr:uid="{DFE9A43A-3564-4BED-BA45-C97A6D465542}"/>
    <cellStyle name="SAPBEXfilterItem 3 4 15" xfId="12723" xr:uid="{C5637B12-A9BB-4DA3-9901-FE056161A714}"/>
    <cellStyle name="SAPBEXfilterItem 3 4 15 2" xfId="12724" xr:uid="{AED4A36B-8CC9-4077-A31B-C4ABF98B37EB}"/>
    <cellStyle name="SAPBEXfilterItem 3 4 16" xfId="12725" xr:uid="{5BF1B27D-76C9-4D0A-8F63-1DCC948AB9A1}"/>
    <cellStyle name="SAPBEXfilterItem 3 4 16 2" xfId="12726" xr:uid="{87F89521-5769-4ACA-AEA1-52CF05E46CAD}"/>
    <cellStyle name="SAPBEXfilterItem 3 4 17" xfId="12727" xr:uid="{0ECACA2A-584B-4756-AB88-1D84AB11BD9B}"/>
    <cellStyle name="SAPBEXfilterItem 3 4 17 2" xfId="12728" xr:uid="{37050D0B-8C9C-4511-9133-F0C5B884D958}"/>
    <cellStyle name="SAPBEXfilterItem 3 4 18" xfId="12729" xr:uid="{147FC446-B50F-44E1-B3EE-BD63A7EB06F0}"/>
    <cellStyle name="SAPBEXfilterItem 3 4 2" xfId="12730" xr:uid="{0D83CFD8-1719-4B73-A7D1-2900C5BD6A48}"/>
    <cellStyle name="SAPBEXfilterItem 3 4 2 10" xfId="12731" xr:uid="{4C6771D2-ADE7-49F8-82A4-CECAF41075E0}"/>
    <cellStyle name="SAPBEXfilterItem 3 4 2 10 2" xfId="12732" xr:uid="{F02C5FCF-F64E-4D6A-A4C4-C20535047AB6}"/>
    <cellStyle name="SAPBEXfilterItem 3 4 2 11" xfId="12733" xr:uid="{4BE2CE44-3F17-46BF-BF42-F82151B0B980}"/>
    <cellStyle name="SAPBEXfilterItem 3 4 2 11 2" xfId="12734" xr:uid="{9D011DF2-C156-4366-9C09-DC451432F26E}"/>
    <cellStyle name="SAPBEXfilterItem 3 4 2 12" xfId="12735" xr:uid="{BF510C8C-269E-4E32-8ABD-0C4699AEEA26}"/>
    <cellStyle name="SAPBEXfilterItem 3 4 2 12 2" xfId="12736" xr:uid="{93CB92AF-7186-4586-9060-1A500551A49E}"/>
    <cellStyle name="SAPBEXfilterItem 3 4 2 13" xfId="12737" xr:uid="{34918707-CA85-49E0-88FC-0082AD2381C4}"/>
    <cellStyle name="SAPBEXfilterItem 3 4 2 13 2" xfId="12738" xr:uid="{4EC2C593-5E1D-414B-85A3-C0DB59DFAC6A}"/>
    <cellStyle name="SAPBEXfilterItem 3 4 2 14" xfId="12739" xr:uid="{4630F373-6E8A-43CB-975C-0DE2AABEE350}"/>
    <cellStyle name="SAPBEXfilterItem 3 4 2 14 2" xfId="12740" xr:uid="{2BF5E44B-2C9A-433A-B756-A82904D60113}"/>
    <cellStyle name="SAPBEXfilterItem 3 4 2 15" xfId="12741" xr:uid="{2325CDE1-5339-48FB-9D75-396E494DB01C}"/>
    <cellStyle name="SAPBEXfilterItem 3 4 2 15 2" xfId="12742" xr:uid="{438DCD86-9598-4242-ADFB-5EE98008D5DE}"/>
    <cellStyle name="SAPBEXfilterItem 3 4 2 16" xfId="12743" xr:uid="{9A22A530-16FA-4851-8B4A-E8E2F1D5E784}"/>
    <cellStyle name="SAPBEXfilterItem 3 4 2 2" xfId="12744" xr:uid="{51AA3E69-7F0F-441B-87CC-9FF95B02B3DA}"/>
    <cellStyle name="SAPBEXfilterItem 3 4 2 2 2" xfId="12745" xr:uid="{D675BC41-37A2-43B8-9298-7BAF66523013}"/>
    <cellStyle name="SAPBEXfilterItem 3 4 2 3" xfId="12746" xr:uid="{7EC57745-56EB-47B5-9689-9F018FB1552B}"/>
    <cellStyle name="SAPBEXfilterItem 3 4 2 3 2" xfId="12747" xr:uid="{2951150E-4A28-473D-9C4C-9A9DDA4E40D5}"/>
    <cellStyle name="SAPBEXfilterItem 3 4 2 4" xfId="12748" xr:uid="{17D466DA-FD24-4D8D-B57D-B0A8492656BA}"/>
    <cellStyle name="SAPBEXfilterItem 3 4 2 4 2" xfId="12749" xr:uid="{1A4E4A91-D9D4-4939-8482-0253005B855B}"/>
    <cellStyle name="SAPBEXfilterItem 3 4 2 5" xfId="12750" xr:uid="{6EE931AA-BB1A-4ACC-9929-21F7CFFAC970}"/>
    <cellStyle name="SAPBEXfilterItem 3 4 2 5 2" xfId="12751" xr:uid="{2F370B88-2069-48B0-B31F-EE132811B94B}"/>
    <cellStyle name="SAPBEXfilterItem 3 4 2 6" xfId="12752" xr:uid="{B9C6FA85-AA51-459C-85CA-5564CEFD620B}"/>
    <cellStyle name="SAPBEXfilterItem 3 4 2 6 2" xfId="12753" xr:uid="{B53E80E4-968A-459E-990A-2EE58F4DCE1D}"/>
    <cellStyle name="SAPBEXfilterItem 3 4 2 7" xfId="12754" xr:uid="{44817DF9-3D57-4D71-9903-E9A16EB811F8}"/>
    <cellStyle name="SAPBEXfilterItem 3 4 2 7 2" xfId="12755" xr:uid="{F4BF73A8-92E4-4045-9C0A-40EEE5898A31}"/>
    <cellStyle name="SAPBEXfilterItem 3 4 2 8" xfId="12756" xr:uid="{D3E0BBE4-20C4-4DA3-9850-A98358477916}"/>
    <cellStyle name="SAPBEXfilterItem 3 4 2 8 2" xfId="12757" xr:uid="{41F2D9D9-FBBB-4D06-8B7F-FA3443A78502}"/>
    <cellStyle name="SAPBEXfilterItem 3 4 2 9" xfId="12758" xr:uid="{F7122267-F556-46D0-AF45-7B4FE601614B}"/>
    <cellStyle name="SAPBEXfilterItem 3 4 2 9 2" xfId="12759" xr:uid="{DE8D36B2-E18F-4B97-815A-8C1DFB472FE6}"/>
    <cellStyle name="SAPBEXfilterItem 3 4 3" xfId="12760" xr:uid="{6CD36A70-0C1E-41B1-960D-D140A2BC4B06}"/>
    <cellStyle name="SAPBEXfilterItem 3 4 3 10" xfId="12761" xr:uid="{F62AA11D-F887-4500-A3BB-8A4544915911}"/>
    <cellStyle name="SAPBEXfilterItem 3 4 3 10 2" xfId="12762" xr:uid="{852F4742-2894-44E1-99C1-538856341E9F}"/>
    <cellStyle name="SAPBEXfilterItem 3 4 3 11" xfId="12763" xr:uid="{56E7D512-3451-4C17-8D20-56303EE28AED}"/>
    <cellStyle name="SAPBEXfilterItem 3 4 3 11 2" xfId="12764" xr:uid="{9173C92C-6C67-4D64-B4D3-A0AB81D529C9}"/>
    <cellStyle name="SAPBEXfilterItem 3 4 3 12" xfId="12765" xr:uid="{5A282173-8689-4938-B0F1-C083178D199B}"/>
    <cellStyle name="SAPBEXfilterItem 3 4 3 12 2" xfId="12766" xr:uid="{F137819D-5A27-4F74-912A-562954CC19D0}"/>
    <cellStyle name="SAPBEXfilterItem 3 4 3 13" xfId="12767" xr:uid="{01622A4A-C4BB-41FD-B17C-3CE73180A9A1}"/>
    <cellStyle name="SAPBEXfilterItem 3 4 3 13 2" xfId="12768" xr:uid="{66617A82-C54D-4029-8B29-ED4231CE15E3}"/>
    <cellStyle name="SAPBEXfilterItem 3 4 3 14" xfId="12769" xr:uid="{E834DE91-DAD7-49CC-8FF3-34C62B5D0260}"/>
    <cellStyle name="SAPBEXfilterItem 3 4 3 14 2" xfId="12770" xr:uid="{869C0C4F-BC9F-4B70-B4F6-B1F2F479B790}"/>
    <cellStyle name="SAPBEXfilterItem 3 4 3 15" xfId="12771" xr:uid="{6470FE00-791E-4071-BEEE-F71CC0DBA00D}"/>
    <cellStyle name="SAPBEXfilterItem 3 4 3 15 2" xfId="12772" xr:uid="{6189230F-31DE-4578-8011-15CD5B744038}"/>
    <cellStyle name="SAPBEXfilterItem 3 4 3 16" xfId="12773" xr:uid="{B1B9FEEA-0D1D-430C-9D1E-F64BD73E9963}"/>
    <cellStyle name="SAPBEXfilterItem 3 4 3 2" xfId="12774" xr:uid="{C7E4D8AF-455A-4AC9-873D-9EF57B733554}"/>
    <cellStyle name="SAPBEXfilterItem 3 4 3 2 2" xfId="12775" xr:uid="{B1C8ABDA-7B02-4779-BF5A-BDD4937FFEE4}"/>
    <cellStyle name="SAPBEXfilterItem 3 4 3 3" xfId="12776" xr:uid="{F8BBB606-DCE4-42C2-AD3C-034AF4267A5F}"/>
    <cellStyle name="SAPBEXfilterItem 3 4 3 3 2" xfId="12777" xr:uid="{893A3CAE-10D5-4B71-A0A1-3426F11900C9}"/>
    <cellStyle name="SAPBEXfilterItem 3 4 3 4" xfId="12778" xr:uid="{28A1281D-920F-47ED-80DF-66C0286F511E}"/>
    <cellStyle name="SAPBEXfilterItem 3 4 3 4 2" xfId="12779" xr:uid="{31C82601-65A1-45E8-8A0F-7F80CD945AEF}"/>
    <cellStyle name="SAPBEXfilterItem 3 4 3 5" xfId="12780" xr:uid="{BF162772-653F-4082-B861-086BD9579C51}"/>
    <cellStyle name="SAPBEXfilterItem 3 4 3 5 2" xfId="12781" xr:uid="{3C010C35-3B77-4FC7-9634-C6EA456F8449}"/>
    <cellStyle name="SAPBEXfilterItem 3 4 3 6" xfId="12782" xr:uid="{3283F812-2E8C-4D3C-AA18-7A72C4EF3EF4}"/>
    <cellStyle name="SAPBEXfilterItem 3 4 3 6 2" xfId="12783" xr:uid="{80C62DBE-9712-482E-B586-E549364E891F}"/>
    <cellStyle name="SAPBEXfilterItem 3 4 3 7" xfId="12784" xr:uid="{AA3F5501-E2ED-4FFC-A618-B156DC5D527B}"/>
    <cellStyle name="SAPBEXfilterItem 3 4 3 7 2" xfId="12785" xr:uid="{5498676E-0690-4FDB-9165-9BDE48AA17DA}"/>
    <cellStyle name="SAPBEXfilterItem 3 4 3 8" xfId="12786" xr:uid="{21104BFF-778E-41AE-9ED6-37D474F6264D}"/>
    <cellStyle name="SAPBEXfilterItem 3 4 3 8 2" xfId="12787" xr:uid="{B89D4628-977F-4C65-8911-42EA5CCAFC37}"/>
    <cellStyle name="SAPBEXfilterItem 3 4 3 9" xfId="12788" xr:uid="{0248754D-4B7C-4A21-AF7C-1600F9CEAECD}"/>
    <cellStyle name="SAPBEXfilterItem 3 4 3 9 2" xfId="12789" xr:uid="{6EF04376-9D4F-4DBC-AEF6-656C6836933B}"/>
    <cellStyle name="SAPBEXfilterItem 3 4 4" xfId="12790" xr:uid="{9D528328-D61F-4CF1-9ECB-63BB4914F807}"/>
    <cellStyle name="SAPBEXfilterItem 3 4 4 2" xfId="12791" xr:uid="{0AAA30C8-EFC7-4AF9-8769-8679907AD5AB}"/>
    <cellStyle name="SAPBEXfilterItem 3 4 5" xfId="12792" xr:uid="{DA716BC9-73DA-447A-B4CF-3552A32E90AC}"/>
    <cellStyle name="SAPBEXfilterItem 3 4 5 2" xfId="12793" xr:uid="{2EBFA0FF-42AA-409B-8C19-7FB3F3CEAA40}"/>
    <cellStyle name="SAPBEXfilterItem 3 4 6" xfId="12794" xr:uid="{E11B27D5-8F24-43DF-8551-EFDDF1AFA875}"/>
    <cellStyle name="SAPBEXfilterItem 3 4 6 2" xfId="12795" xr:uid="{B8A09A83-AB40-4C38-84A2-230F8474F5D8}"/>
    <cellStyle name="SAPBEXfilterItem 3 4 7" xfId="12796" xr:uid="{FA8456D8-9495-4F3C-A952-6CDF33945DD8}"/>
    <cellStyle name="SAPBEXfilterItem 3 4 7 2" xfId="12797" xr:uid="{A1A66A18-7657-47C9-984B-F828B74BF795}"/>
    <cellStyle name="SAPBEXfilterItem 3 4 8" xfId="12798" xr:uid="{41D2871C-9214-4FD9-8735-1B0356B4114A}"/>
    <cellStyle name="SAPBEXfilterItem 3 4 8 2" xfId="12799" xr:uid="{87F14196-C6AB-4E10-8363-1E42E20257E5}"/>
    <cellStyle name="SAPBEXfilterItem 3 4 9" xfId="12800" xr:uid="{C07B8365-35AA-4383-BE86-A4024F85A875}"/>
    <cellStyle name="SAPBEXfilterItem 3 4 9 2" xfId="12801" xr:uid="{44C322F2-7F2D-42FE-8A78-78E07308C1B6}"/>
    <cellStyle name="SAPBEXfilterItem 3 5" xfId="12802" xr:uid="{501E50F5-1E6B-4E21-8463-30039989C6BF}"/>
    <cellStyle name="SAPBEXfilterItem 3 5 2" xfId="12803" xr:uid="{2B879515-F1DD-4985-9F8D-AC7D87BC5AC2}"/>
    <cellStyle name="SAPBEXfilterItem 3 6" xfId="12804" xr:uid="{6BF9C927-992F-4444-9847-DA984D15CD53}"/>
    <cellStyle name="SAPBEXfilterItem 3 6 2" xfId="12805" xr:uid="{74D5EDE0-2C54-4336-8811-FD0B6568E1FE}"/>
    <cellStyle name="SAPBEXfilterItem 3 7" xfId="12806" xr:uid="{A9600F4E-66C9-4ACC-B3D8-CD6D5A8E7A67}"/>
    <cellStyle name="SAPBEXfilterItem 3 7 2" xfId="12807" xr:uid="{97842F37-320A-4D4F-9D0A-B0E3174A455A}"/>
    <cellStyle name="SAPBEXfilterItem 3 8" xfId="12808" xr:uid="{6294F4C1-AD5A-4341-A803-863652A84746}"/>
    <cellStyle name="SAPBEXfilterItem 3 8 2" xfId="12809" xr:uid="{FCEDF79C-C4EB-4FF7-BF28-397ADEAC1BE2}"/>
    <cellStyle name="SAPBEXfilterItem 3 9" xfId="12810" xr:uid="{3C05F9CB-9A27-4BCD-AF7C-BE0ED9B7B1BC}"/>
    <cellStyle name="SAPBEXfilterItem 3 9 2" xfId="12811" xr:uid="{A6D7302C-E5AB-4693-9D02-AEA229292A96}"/>
    <cellStyle name="SAPBEXfilterItem 3_T1 ANSP" xfId="12512" xr:uid="{1FD5A5AD-1755-439A-B89D-564E226F7408}"/>
    <cellStyle name="SAPBEXfilterItem 4" xfId="12812" xr:uid="{80204695-CB11-44B7-A94B-D41974B1623D}"/>
    <cellStyle name="SAPBEXfilterItem 5" xfId="12813" xr:uid="{F8EA7B43-11DC-47E7-8CA5-4A4F99F2AF35}"/>
    <cellStyle name="SAPBEXfilterItem 5 2" xfId="12814" xr:uid="{B171D69B-C214-4D0D-8934-3E4C05E3212A}"/>
    <cellStyle name="SAPBEXfilterItem 6" xfId="12815" xr:uid="{4DB012CE-86B0-4577-A39F-A88E3FADA733}"/>
    <cellStyle name="SAPBEXfilterItem 6 2" xfId="12816" xr:uid="{64D851A4-7263-4CAD-88AE-6241DF7A53B6}"/>
    <cellStyle name="SAPBEXfilterItem 7" xfId="12817" xr:uid="{5EA5DE73-89F5-4A40-A20E-FECE246E7300}"/>
    <cellStyle name="SAPBEXfilterItem 7 2" xfId="12818" xr:uid="{82A3BEB7-C968-4319-9EA2-E0154EFF77EF}"/>
    <cellStyle name="SAPBEXfilterItem 8" xfId="12819" xr:uid="{9A5E2E3E-CEB8-46E6-9A09-5657767754FE}"/>
    <cellStyle name="SAPBEXfilterItem 8 2" xfId="12820" xr:uid="{EE215B3D-E1D4-4EC2-8801-CD202AB66123}"/>
    <cellStyle name="SAPBEXfilterItem 9" xfId="12821" xr:uid="{71D2C10A-92C5-4052-91C2-EA67E39AA0DE}"/>
    <cellStyle name="SAPBEXfilterItem 9 2" xfId="12822" xr:uid="{F6285E23-5CE1-424B-9F06-D4962419F846}"/>
    <cellStyle name="SAPBEXfilterItem_T1 ANSP" xfId="12191" xr:uid="{2B0676FE-4559-4612-8D8A-CFB3C177E214}"/>
    <cellStyle name="SAPBEXfilterText" xfId="742" xr:uid="{00000000-0005-0000-0000-000081050000}"/>
    <cellStyle name="SAPBEXfilterText 2" xfId="12824" xr:uid="{2E607AEF-3B91-4D06-BD6A-640C66DBE18E}"/>
    <cellStyle name="SAPBEXfilterText 2 10" xfId="12825" xr:uid="{EB31C7CC-6904-4D1F-9EA6-59494DB61702}"/>
    <cellStyle name="SAPBEXfilterText 2 10 2" xfId="12826" xr:uid="{19B7D42C-5A7F-4521-AF4F-B61BCC09B68D}"/>
    <cellStyle name="SAPBEXfilterText 2 11" xfId="12827" xr:uid="{75255078-8223-443E-8515-520BD6ABE878}"/>
    <cellStyle name="SAPBEXfilterText 2 11 2" xfId="12828" xr:uid="{74D6CBA9-FDAF-4A28-98A8-E02F65EC9AE5}"/>
    <cellStyle name="SAPBEXfilterText 2 12" xfId="12829" xr:uid="{32FE1EB5-72AB-4213-B4E3-32CEF56D3846}"/>
    <cellStyle name="SAPBEXfilterText 2 12 2" xfId="12830" xr:uid="{4209A510-03D1-40AA-A1BF-255D82280BE9}"/>
    <cellStyle name="SAPBEXfilterText 2 13" xfId="12831" xr:uid="{234222B2-50F7-4B2F-A2DF-6ED23221A0CF}"/>
    <cellStyle name="SAPBEXfilterText 2 13 2" xfId="12832" xr:uid="{DAC04879-884E-4ADF-83B7-68F76AD5F58E}"/>
    <cellStyle name="SAPBEXfilterText 2 14" xfId="12833" xr:uid="{D4F16F56-22B0-499C-A876-184144114003}"/>
    <cellStyle name="SAPBEXfilterText 2 14 2" xfId="12834" xr:uid="{6F079EC5-074A-4AD2-9277-5D7815395BBE}"/>
    <cellStyle name="SAPBEXfilterText 2 15" xfId="12835" xr:uid="{B8964A38-01A3-4608-96E4-39A7CFF16398}"/>
    <cellStyle name="SAPBEXfilterText 2 15 2" xfId="12836" xr:uid="{4C9C05F5-5366-470B-93B7-A6319AA6A8A9}"/>
    <cellStyle name="SAPBEXfilterText 2 16" xfId="12837" xr:uid="{0826FDDC-99C8-40C8-9A22-9EFE306934A1}"/>
    <cellStyle name="SAPBEXfilterText 2 16 2" xfId="12838" xr:uid="{5991DCF0-61A5-478C-BD0E-C1B81A7C9A64}"/>
    <cellStyle name="SAPBEXfilterText 2 17" xfId="12839" xr:uid="{C96DC942-C330-46B8-B2AD-ECDBE4EA3923}"/>
    <cellStyle name="SAPBEXfilterText 2 17 2" xfId="12840" xr:uid="{DE19FBAB-7204-4345-B8D0-5A2638594C93}"/>
    <cellStyle name="SAPBEXfilterText 2 18" xfId="12841" xr:uid="{102C9F2F-63A7-4A83-85BE-630FFC745C3F}"/>
    <cellStyle name="SAPBEXfilterText 2 18 2" xfId="12842" xr:uid="{94A7B262-85E1-46F8-807F-58F7DD08366F}"/>
    <cellStyle name="SAPBEXfilterText 2 19" xfId="12843" xr:uid="{C44D495E-0727-4B9E-BC40-EC793AAB75E5}"/>
    <cellStyle name="SAPBEXfilterText 2 2" xfId="12844" xr:uid="{137F063E-A724-4E05-95DC-3794E320A26A}"/>
    <cellStyle name="SAPBEXfilterText 2 2 10" xfId="12845" xr:uid="{030033F6-4E0C-4C16-9AED-43463E1107C1}"/>
    <cellStyle name="SAPBEXfilterText 2 2 10 2" xfId="12846" xr:uid="{89358506-B982-446A-A2E3-BF025BD124C9}"/>
    <cellStyle name="SAPBEXfilterText 2 2 11" xfId="12847" xr:uid="{E3E2F0B3-2C29-45DD-A0F3-D7555BB4A1CE}"/>
    <cellStyle name="SAPBEXfilterText 2 2 11 2" xfId="12848" xr:uid="{58E97FEA-4BDC-47E8-8F3C-9645BADDFDFD}"/>
    <cellStyle name="SAPBEXfilterText 2 2 12" xfId="12849" xr:uid="{3CD38248-A305-4329-A328-8BB646FFE2C7}"/>
    <cellStyle name="SAPBEXfilterText 2 2 12 2" xfId="12850" xr:uid="{1C47EFB9-291E-45C5-AF88-654820A8DC0E}"/>
    <cellStyle name="SAPBEXfilterText 2 2 13" xfId="12851" xr:uid="{ED6DCD99-C56B-4C36-A94C-0A31B6895431}"/>
    <cellStyle name="SAPBEXfilterText 2 2 13 2" xfId="12852" xr:uid="{3B44BF1E-3A9D-4CD4-86B0-3B3528B9E0D4}"/>
    <cellStyle name="SAPBEXfilterText 2 2 14" xfId="12853" xr:uid="{88627E9B-98D2-45E9-A9F4-75E543465CA6}"/>
    <cellStyle name="SAPBEXfilterText 2 2 14 2" xfId="12854" xr:uid="{076C9EB3-DAE3-48D8-A986-8187D015A0C3}"/>
    <cellStyle name="SAPBEXfilterText 2 2 15" xfId="12855" xr:uid="{15A40C1E-EB64-4FB6-AE2B-FB54641567E5}"/>
    <cellStyle name="SAPBEXfilterText 2 2 15 2" xfId="12856" xr:uid="{DC163E89-F6C5-4001-BB16-EC67BC2CEFC7}"/>
    <cellStyle name="SAPBEXfilterText 2 2 16" xfId="12857" xr:uid="{40A61BF4-AAB0-4910-BBE8-5DFF1A630A51}"/>
    <cellStyle name="SAPBEXfilterText 2 2 16 2" xfId="12858" xr:uid="{DA6F72F3-C66F-42F3-BE13-7670C41BA45F}"/>
    <cellStyle name="SAPBEXfilterText 2 2 17" xfId="12859" xr:uid="{0C62C2BF-6B61-4D75-A881-EDE6A6C0F662}"/>
    <cellStyle name="SAPBEXfilterText 2 2 17 2" xfId="12860" xr:uid="{D8FCBB66-CC83-4C38-8ED1-27507482A1AE}"/>
    <cellStyle name="SAPBEXfilterText 2 2 18" xfId="12861" xr:uid="{B1D2CF0A-CCEC-444C-BE9F-B700BFE4133C}"/>
    <cellStyle name="SAPBEXfilterText 2 2 2" xfId="12862" xr:uid="{BEC5837C-AD51-414F-AD7F-E7B6F8CEF8D2}"/>
    <cellStyle name="SAPBEXfilterText 2 2 2 10" xfId="12863" xr:uid="{8C8A9DEB-95C7-40F5-A530-EA0FA663CA02}"/>
    <cellStyle name="SAPBEXfilterText 2 2 2 10 2" xfId="12864" xr:uid="{44105165-1016-4645-8A90-65C77C4AF771}"/>
    <cellStyle name="SAPBEXfilterText 2 2 2 11" xfId="12865" xr:uid="{A6161C29-521B-45BA-94E5-4E09357842D1}"/>
    <cellStyle name="SAPBEXfilterText 2 2 2 11 2" xfId="12866" xr:uid="{064987EB-6FB1-4298-8211-05F9A759BBBA}"/>
    <cellStyle name="SAPBEXfilterText 2 2 2 12" xfId="12867" xr:uid="{35887222-8B6F-4A42-B723-D2250829D8ED}"/>
    <cellStyle name="SAPBEXfilterText 2 2 2 12 2" xfId="12868" xr:uid="{AC819C37-A079-4B7F-A848-D105F72FE8EE}"/>
    <cellStyle name="SAPBEXfilterText 2 2 2 13" xfId="12869" xr:uid="{474F8E3A-98D0-4A59-B16C-1A069095FED2}"/>
    <cellStyle name="SAPBEXfilterText 2 2 2 13 2" xfId="12870" xr:uid="{11F503F1-24E1-4F69-8315-7A096ABC1259}"/>
    <cellStyle name="SAPBEXfilterText 2 2 2 14" xfId="12871" xr:uid="{D24CFE28-580C-4990-9B80-3DA1CB3507F7}"/>
    <cellStyle name="SAPBEXfilterText 2 2 2 14 2" xfId="12872" xr:uid="{AED2889F-5DEB-4DBC-8A34-8878F854C1B4}"/>
    <cellStyle name="SAPBEXfilterText 2 2 2 15" xfId="12873" xr:uid="{8BDEF126-CEAD-411D-ACBC-AE90856509D2}"/>
    <cellStyle name="SAPBEXfilterText 2 2 2 15 2" xfId="12874" xr:uid="{C0C183ED-02C1-4EE1-8B96-1D140A63C417}"/>
    <cellStyle name="SAPBEXfilterText 2 2 2 16" xfId="12875" xr:uid="{B5D852C0-EB12-4129-8186-8E9AE2750AC7}"/>
    <cellStyle name="SAPBEXfilterText 2 2 2 2" xfId="12876" xr:uid="{2E50A311-F13A-4BEC-90F8-257A0BEA3069}"/>
    <cellStyle name="SAPBEXfilterText 2 2 2 2 2" xfId="12877" xr:uid="{30CE23E5-060A-4DFB-B01E-FD2F270B13C1}"/>
    <cellStyle name="SAPBEXfilterText 2 2 2 3" xfId="12878" xr:uid="{24965A23-D2AA-4C05-B316-0A04305ADD10}"/>
    <cellStyle name="SAPBEXfilterText 2 2 2 3 2" xfId="12879" xr:uid="{8233D3E9-8E2C-4DF5-B30B-CD7037431A78}"/>
    <cellStyle name="SAPBEXfilterText 2 2 2 4" xfId="12880" xr:uid="{C48E6865-5A6C-436F-8911-9C83DE734650}"/>
    <cellStyle name="SAPBEXfilterText 2 2 2 4 2" xfId="12881" xr:uid="{F9817539-5AC4-4E2D-B787-C2087BC48BCD}"/>
    <cellStyle name="SAPBEXfilterText 2 2 2 5" xfId="12882" xr:uid="{F0CB0458-F7FB-44E2-A923-DE9E16B0CFD4}"/>
    <cellStyle name="SAPBEXfilterText 2 2 2 5 2" xfId="12883" xr:uid="{A2DB22E1-D1B1-4D83-8357-6F4552FA05E6}"/>
    <cellStyle name="SAPBEXfilterText 2 2 2 6" xfId="12884" xr:uid="{E12FA51E-3F37-451D-9FA7-F5346C0B668A}"/>
    <cellStyle name="SAPBEXfilterText 2 2 2 6 2" xfId="12885" xr:uid="{57576904-AA28-456C-9721-0E4C7FE841FE}"/>
    <cellStyle name="SAPBEXfilterText 2 2 2 7" xfId="12886" xr:uid="{E904946B-034D-45B5-A286-5239E37454A9}"/>
    <cellStyle name="SAPBEXfilterText 2 2 2 7 2" xfId="12887" xr:uid="{CC5D43B9-FABA-49DE-ABDE-36CDA300125E}"/>
    <cellStyle name="SAPBEXfilterText 2 2 2 8" xfId="12888" xr:uid="{7B93B097-DFEF-4CDF-B7D2-BDC0F534C7DA}"/>
    <cellStyle name="SAPBEXfilterText 2 2 2 8 2" xfId="12889" xr:uid="{C4A3FFB4-5410-4CA0-8E4A-A1F2082C3451}"/>
    <cellStyle name="SAPBEXfilterText 2 2 2 9" xfId="12890" xr:uid="{9CB16317-9523-42DE-BE2D-9AC6243790A3}"/>
    <cellStyle name="SAPBEXfilterText 2 2 2 9 2" xfId="12891" xr:uid="{17FF1C15-8C0A-4416-BEC0-8DBC71C41B4A}"/>
    <cellStyle name="SAPBEXfilterText 2 2 3" xfId="12892" xr:uid="{2977EA8C-480D-4EF2-94F4-C21CAB3ECBD7}"/>
    <cellStyle name="SAPBEXfilterText 2 2 3 10" xfId="12893" xr:uid="{81D8B604-381C-4B91-8CB2-C4D89DE5E9E8}"/>
    <cellStyle name="SAPBEXfilterText 2 2 3 10 2" xfId="12894" xr:uid="{24AA7F4E-CBAD-4728-AB5E-213D7259DD15}"/>
    <cellStyle name="SAPBEXfilterText 2 2 3 11" xfId="12895" xr:uid="{6EDFAFBC-6106-4F6E-B90A-35683CBA756C}"/>
    <cellStyle name="SAPBEXfilterText 2 2 3 11 2" xfId="12896" xr:uid="{97C7B019-D33C-4651-B713-7D98C890AD4C}"/>
    <cellStyle name="SAPBEXfilterText 2 2 3 12" xfId="12897" xr:uid="{C2BD7E8C-9D8A-4B6D-A2A5-482FC82C8E7E}"/>
    <cellStyle name="SAPBEXfilterText 2 2 3 12 2" xfId="12898" xr:uid="{7FE58AE4-302A-432D-AE41-62A44536CC15}"/>
    <cellStyle name="SAPBEXfilterText 2 2 3 13" xfId="12899" xr:uid="{9058B758-8762-420F-80FF-024060E4C3BD}"/>
    <cellStyle name="SAPBEXfilterText 2 2 3 13 2" xfId="12900" xr:uid="{685AE365-150A-4743-89E6-BD7181539481}"/>
    <cellStyle name="SAPBEXfilterText 2 2 3 14" xfId="12901" xr:uid="{01BAC638-DE86-4F42-8F08-52B6E768F80F}"/>
    <cellStyle name="SAPBEXfilterText 2 2 3 14 2" xfId="12902" xr:uid="{D9E24ABD-AA42-474F-9DBE-D63C11253D86}"/>
    <cellStyle name="SAPBEXfilterText 2 2 3 15" xfId="12903" xr:uid="{7A2E00E7-8C3F-4615-82F5-4714C61043A0}"/>
    <cellStyle name="SAPBEXfilterText 2 2 3 15 2" xfId="12904" xr:uid="{C596D77F-3EB3-4D4E-B474-703B34450C20}"/>
    <cellStyle name="SAPBEXfilterText 2 2 3 16" xfId="12905" xr:uid="{22D46770-05F3-46BA-85BD-442EAA9FCB77}"/>
    <cellStyle name="SAPBEXfilterText 2 2 3 2" xfId="12906" xr:uid="{0AFCF7A9-564B-4080-AF1E-EF49F9FEB485}"/>
    <cellStyle name="SAPBEXfilterText 2 2 3 2 2" xfId="12907" xr:uid="{0B295BD2-C537-40E7-9E5F-EE068F832CB1}"/>
    <cellStyle name="SAPBEXfilterText 2 2 3 3" xfId="12908" xr:uid="{D258E57F-A49A-47B5-B89E-ECC33F730201}"/>
    <cellStyle name="SAPBEXfilterText 2 2 3 3 2" xfId="12909" xr:uid="{D644B5D5-E87A-4D21-B873-4A4655B32058}"/>
    <cellStyle name="SAPBEXfilterText 2 2 3 4" xfId="12910" xr:uid="{5C2F2EB6-19B7-4E01-9B2A-7E7487A48CA4}"/>
    <cellStyle name="SAPBEXfilterText 2 2 3 4 2" xfId="12911" xr:uid="{EF7214D3-AD93-4119-99D1-D78320F0C886}"/>
    <cellStyle name="SAPBEXfilterText 2 2 3 5" xfId="12912" xr:uid="{1FBB4075-A833-49C0-A6F1-1A29B8921AF4}"/>
    <cellStyle name="SAPBEXfilterText 2 2 3 5 2" xfId="12913" xr:uid="{A5B77BD4-A39C-4A5C-AF8F-349F85641FB2}"/>
    <cellStyle name="SAPBEXfilterText 2 2 3 6" xfId="12914" xr:uid="{F4A6AC2D-0BEE-4F13-8E0B-113757E2307B}"/>
    <cellStyle name="SAPBEXfilterText 2 2 3 6 2" xfId="12915" xr:uid="{4CB80F8A-AB40-45EF-94B9-A85C5EDBF5C4}"/>
    <cellStyle name="SAPBEXfilterText 2 2 3 7" xfId="12916" xr:uid="{623F2E13-1F9F-4D6B-8069-39BB2E165995}"/>
    <cellStyle name="SAPBEXfilterText 2 2 3 7 2" xfId="12917" xr:uid="{738763B3-8C3A-4F45-9BAD-5776FBD7A8EA}"/>
    <cellStyle name="SAPBEXfilterText 2 2 3 8" xfId="12918" xr:uid="{5E868F89-2C55-43A5-9513-061906D95D7E}"/>
    <cellStyle name="SAPBEXfilterText 2 2 3 8 2" xfId="12919" xr:uid="{C83D5F98-C260-47D2-98F5-7F9C3B6C687A}"/>
    <cellStyle name="SAPBEXfilterText 2 2 3 9" xfId="12920" xr:uid="{2034F534-DD67-44A7-830C-F3A753F95D4A}"/>
    <cellStyle name="SAPBEXfilterText 2 2 3 9 2" xfId="12921" xr:uid="{92CA6A56-DFAC-4DFB-803B-4CC2E615BCFE}"/>
    <cellStyle name="SAPBEXfilterText 2 2 4" xfId="12922" xr:uid="{0E438B5F-E38E-4504-AEB0-98DD63CD860B}"/>
    <cellStyle name="SAPBEXfilterText 2 2 4 2" xfId="12923" xr:uid="{975F8882-9A72-4487-A713-FCFCDC3625F6}"/>
    <cellStyle name="SAPBEXfilterText 2 2 5" xfId="12924" xr:uid="{82F39C44-D975-4ECF-989B-00DC83CCEB30}"/>
    <cellStyle name="SAPBEXfilterText 2 2 5 2" xfId="12925" xr:uid="{54DA0ABB-50BE-4D11-97FD-C68C5DB0636B}"/>
    <cellStyle name="SAPBEXfilterText 2 2 6" xfId="12926" xr:uid="{FFB58C1A-3BD1-40C0-B19E-F9F5DAB0BEF5}"/>
    <cellStyle name="SAPBEXfilterText 2 2 6 2" xfId="12927" xr:uid="{5E9805AF-64F2-420C-B54E-B97C63AAB166}"/>
    <cellStyle name="SAPBEXfilterText 2 2 7" xfId="12928" xr:uid="{1EB96B8B-8C1E-47B3-B786-73F9A13B6F5E}"/>
    <cellStyle name="SAPBEXfilterText 2 2 7 2" xfId="12929" xr:uid="{3DD18638-2965-497F-BAC2-882E18463470}"/>
    <cellStyle name="SAPBEXfilterText 2 2 8" xfId="12930" xr:uid="{A7516F98-596E-403E-B2EC-E94936E439A4}"/>
    <cellStyle name="SAPBEXfilterText 2 2 8 2" xfId="12931" xr:uid="{24EAD33F-018C-4A64-BFF1-0A29238240C7}"/>
    <cellStyle name="SAPBEXfilterText 2 2 9" xfId="12932" xr:uid="{DDDCE499-8A34-4277-9EB5-70AACC3F1099}"/>
    <cellStyle name="SAPBEXfilterText 2 2 9 2" xfId="12933" xr:uid="{F22560AA-A757-4388-9AFD-D5B0EAC4853A}"/>
    <cellStyle name="SAPBEXfilterText 2 3" xfId="12934" xr:uid="{3C43F763-58F3-4EFF-B457-57EC21AB249C}"/>
    <cellStyle name="SAPBEXfilterText 2 3 10" xfId="12935" xr:uid="{7FB73851-46D4-4656-85FE-2A5ED96602B6}"/>
    <cellStyle name="SAPBEXfilterText 2 3 10 2" xfId="12936" xr:uid="{214793C6-2559-4F53-9940-83DE280F1829}"/>
    <cellStyle name="SAPBEXfilterText 2 3 11" xfId="12937" xr:uid="{3A2D225C-371E-4867-9DE0-1CF65D248240}"/>
    <cellStyle name="SAPBEXfilterText 2 3 11 2" xfId="12938" xr:uid="{2A26EAB3-6B91-42AD-BA04-23E086AFA3D1}"/>
    <cellStyle name="SAPBEXfilterText 2 3 12" xfId="12939" xr:uid="{0D20E3C9-163D-4A64-AEFF-4BF69A25B3C0}"/>
    <cellStyle name="SAPBEXfilterText 2 3 12 2" xfId="12940" xr:uid="{7D05AE31-1912-4D50-8700-12BAF5082A1F}"/>
    <cellStyle name="SAPBEXfilterText 2 3 13" xfId="12941" xr:uid="{E771FCC9-3EE1-4212-BCA0-E3481C54EA7F}"/>
    <cellStyle name="SAPBEXfilterText 2 3 13 2" xfId="12942" xr:uid="{11E63641-375C-4183-8AB5-F41C8AAD125D}"/>
    <cellStyle name="SAPBEXfilterText 2 3 14" xfId="12943" xr:uid="{690280F9-932E-4362-BEE6-F3B0260F54E4}"/>
    <cellStyle name="SAPBEXfilterText 2 3 14 2" xfId="12944" xr:uid="{620B8628-A196-4E52-ADFD-8007F1DC623E}"/>
    <cellStyle name="SAPBEXfilterText 2 3 15" xfId="12945" xr:uid="{447E69E3-58B6-4995-BF9C-F13197EA9A6B}"/>
    <cellStyle name="SAPBEXfilterText 2 3 15 2" xfId="12946" xr:uid="{ACCCA7F4-8128-4FEC-BE68-54793B5EB58D}"/>
    <cellStyle name="SAPBEXfilterText 2 3 16" xfId="12947" xr:uid="{7DEA87E1-298C-4768-8B5E-FA33755D13FB}"/>
    <cellStyle name="SAPBEXfilterText 2 3 16 2" xfId="12948" xr:uid="{24381CFC-4A05-44B5-A6E7-F89A617DF344}"/>
    <cellStyle name="SAPBEXfilterText 2 3 17" xfId="12949" xr:uid="{D83518D4-26F0-4367-9029-81B04C8B2D78}"/>
    <cellStyle name="SAPBEXfilterText 2 3 17 2" xfId="12950" xr:uid="{DC114077-53B5-4CAC-B2F6-B7E611C1D3EF}"/>
    <cellStyle name="SAPBEXfilterText 2 3 18" xfId="12951" xr:uid="{57540ADA-9AEA-412D-998A-6A26AA5783D8}"/>
    <cellStyle name="SAPBEXfilterText 2 3 2" xfId="12952" xr:uid="{7B009CEE-CBAE-48DD-B0D4-A5A22268FF48}"/>
    <cellStyle name="SAPBEXfilterText 2 3 2 10" xfId="12953" xr:uid="{4F2290AC-F5B1-4D28-A795-A01BA8AAB0EB}"/>
    <cellStyle name="SAPBEXfilterText 2 3 2 10 2" xfId="12954" xr:uid="{63D1386B-4DB1-4504-BF27-E5C6D1AC98DB}"/>
    <cellStyle name="SAPBEXfilterText 2 3 2 11" xfId="12955" xr:uid="{514DA301-E1CF-451E-B4EA-48D71EC1D28F}"/>
    <cellStyle name="SAPBEXfilterText 2 3 2 11 2" xfId="12956" xr:uid="{FDD4F6E5-A23B-4493-BCD2-8E81EFEC522D}"/>
    <cellStyle name="SAPBEXfilterText 2 3 2 12" xfId="12957" xr:uid="{858703B1-A964-4154-9413-1758F8EBE324}"/>
    <cellStyle name="SAPBEXfilterText 2 3 2 12 2" xfId="12958" xr:uid="{00273508-5375-4E28-B416-BF29C30FE386}"/>
    <cellStyle name="SAPBEXfilterText 2 3 2 13" xfId="12959" xr:uid="{43014BDE-A78A-4BFE-BAFB-A153C9BD40B1}"/>
    <cellStyle name="SAPBEXfilterText 2 3 2 13 2" xfId="12960" xr:uid="{F0EB2FB9-B722-473A-B956-13BED5C03B1D}"/>
    <cellStyle name="SAPBEXfilterText 2 3 2 14" xfId="12961" xr:uid="{B5EEE122-883C-4532-8E1B-68A38617CC64}"/>
    <cellStyle name="SAPBEXfilterText 2 3 2 14 2" xfId="12962" xr:uid="{C779F565-89B9-4CAD-8950-EAAF7E76EB62}"/>
    <cellStyle name="SAPBEXfilterText 2 3 2 15" xfId="12963" xr:uid="{90E5BBAF-631A-4551-9EA1-DE3FFADF63D3}"/>
    <cellStyle name="SAPBEXfilterText 2 3 2 15 2" xfId="12964" xr:uid="{B8B60936-8635-45CF-BA44-ABCEDDC15B13}"/>
    <cellStyle name="SAPBEXfilterText 2 3 2 16" xfId="12965" xr:uid="{2757BDC9-2CE9-420C-A114-15B3EBECA561}"/>
    <cellStyle name="SAPBEXfilterText 2 3 2 2" xfId="12966" xr:uid="{AC66FABE-6688-4677-AB5A-3D207CE76170}"/>
    <cellStyle name="SAPBEXfilterText 2 3 2 2 2" xfId="12967" xr:uid="{07885818-8485-4C22-828A-005CBD7242C5}"/>
    <cellStyle name="SAPBEXfilterText 2 3 2 3" xfId="12968" xr:uid="{EC184361-07D8-447D-9ACF-B0FD12CD5BB5}"/>
    <cellStyle name="SAPBEXfilterText 2 3 2 3 2" xfId="12969" xr:uid="{91C2B42C-A643-46C2-9E7D-62C492D572BF}"/>
    <cellStyle name="SAPBEXfilterText 2 3 2 4" xfId="12970" xr:uid="{E51C44FB-A897-4ECA-9CAA-2C13694C2A20}"/>
    <cellStyle name="SAPBEXfilterText 2 3 2 4 2" xfId="12971" xr:uid="{9765EB83-0B2F-46C5-B15F-88D6580131B2}"/>
    <cellStyle name="SAPBEXfilterText 2 3 2 5" xfId="12972" xr:uid="{DFAB477C-B510-463E-BD95-80FA300EBC8A}"/>
    <cellStyle name="SAPBEXfilterText 2 3 2 5 2" xfId="12973" xr:uid="{84D9DD91-B0E0-45EF-91F9-54828DC4B77E}"/>
    <cellStyle name="SAPBEXfilterText 2 3 2 6" xfId="12974" xr:uid="{650EDB2A-D8BD-40DD-A096-EA98E3CFD244}"/>
    <cellStyle name="SAPBEXfilterText 2 3 2 6 2" xfId="12975" xr:uid="{D4B7E3DB-0AE8-4C17-96C1-DE7D382FCD26}"/>
    <cellStyle name="SAPBEXfilterText 2 3 2 7" xfId="12976" xr:uid="{67565E97-125B-40EF-92AA-02BEB2071A0A}"/>
    <cellStyle name="SAPBEXfilterText 2 3 2 7 2" xfId="12977" xr:uid="{23B1DCAB-A4C6-4593-BA37-2D1F3645EC38}"/>
    <cellStyle name="SAPBEXfilterText 2 3 2 8" xfId="12978" xr:uid="{E9BBE35D-8625-43AE-B9F8-1E7C81263E7D}"/>
    <cellStyle name="SAPBEXfilterText 2 3 2 8 2" xfId="12979" xr:uid="{3E2C8D1F-55C8-49A7-B360-F0F257457602}"/>
    <cellStyle name="SAPBEXfilterText 2 3 2 9" xfId="12980" xr:uid="{410DFBEF-F0EF-43FE-B24B-826CDCA2BF8C}"/>
    <cellStyle name="SAPBEXfilterText 2 3 2 9 2" xfId="12981" xr:uid="{5D4EDEC2-1646-478C-81F7-0C83B4EEFD8E}"/>
    <cellStyle name="SAPBEXfilterText 2 3 3" xfId="12982" xr:uid="{238FBDAE-5826-46F7-BC9A-7711868D7D6B}"/>
    <cellStyle name="SAPBEXfilterText 2 3 3 10" xfId="12983" xr:uid="{B9997E12-F1CD-47D2-851A-6B0E940D704A}"/>
    <cellStyle name="SAPBEXfilterText 2 3 3 10 2" xfId="12984" xr:uid="{5796BA7B-28D1-4D04-A2AB-10B911D3EF7A}"/>
    <cellStyle name="SAPBEXfilterText 2 3 3 11" xfId="12985" xr:uid="{7EBB5FEA-D899-407C-9585-4B590C50C452}"/>
    <cellStyle name="SAPBEXfilterText 2 3 3 11 2" xfId="12986" xr:uid="{B70AB5E7-10B3-4DB8-B7FC-869D0D78B895}"/>
    <cellStyle name="SAPBEXfilterText 2 3 3 12" xfId="12987" xr:uid="{56AC3F0D-89CF-45A3-AAE1-18A2CFD4C4CD}"/>
    <cellStyle name="SAPBEXfilterText 2 3 3 12 2" xfId="12988" xr:uid="{ADDDCC2F-2246-4CC7-B5D7-3BE6BE0C7151}"/>
    <cellStyle name="SAPBEXfilterText 2 3 3 13" xfId="12989" xr:uid="{A329C865-34D5-4223-809E-DF531A2D9400}"/>
    <cellStyle name="SAPBEXfilterText 2 3 3 13 2" xfId="12990" xr:uid="{4FAB9356-6467-4847-8AB6-74F175EB1F47}"/>
    <cellStyle name="SAPBEXfilterText 2 3 3 14" xfId="12991" xr:uid="{C22309AA-5C7C-4CAA-908A-965C444F9255}"/>
    <cellStyle name="SAPBEXfilterText 2 3 3 14 2" xfId="12992" xr:uid="{B65DB6B7-FCCC-403B-8D73-3E660BE82D07}"/>
    <cellStyle name="SAPBEXfilterText 2 3 3 15" xfId="12993" xr:uid="{B6E9404E-C562-4401-94ED-4328C1C96914}"/>
    <cellStyle name="SAPBEXfilterText 2 3 3 15 2" xfId="12994" xr:uid="{42E17D71-FA23-4047-A579-4D085C50192D}"/>
    <cellStyle name="SAPBEXfilterText 2 3 3 16" xfId="12995" xr:uid="{125A2B2B-42B9-4C0E-8914-21CA88F60BC4}"/>
    <cellStyle name="SAPBEXfilterText 2 3 3 2" xfId="12996" xr:uid="{22F5EDF7-9FA9-4372-9C83-6A92B2702EBF}"/>
    <cellStyle name="SAPBEXfilterText 2 3 3 2 2" xfId="12997" xr:uid="{EEE922D5-3A8B-4144-8E00-305238B71E4E}"/>
    <cellStyle name="SAPBEXfilterText 2 3 3 3" xfId="12998" xr:uid="{8E07D069-A2DF-49CD-B0FE-238D6875DF24}"/>
    <cellStyle name="SAPBEXfilterText 2 3 3 3 2" xfId="12999" xr:uid="{A01B8E1C-2B12-4A3A-A43D-8E5759A39E70}"/>
    <cellStyle name="SAPBEXfilterText 2 3 3 4" xfId="13000" xr:uid="{975F75FF-7EDD-4A2B-AF18-A084BC04728B}"/>
    <cellStyle name="SAPBEXfilterText 2 3 3 4 2" xfId="13001" xr:uid="{F6FE922B-91FF-4252-B3F4-315160CC9E76}"/>
    <cellStyle name="SAPBEXfilterText 2 3 3 5" xfId="13002" xr:uid="{7BD95348-43ED-4228-8AAE-05F9142A5399}"/>
    <cellStyle name="SAPBEXfilterText 2 3 3 5 2" xfId="13003" xr:uid="{C943FA7A-2C60-469E-A76D-1D635E41D7AA}"/>
    <cellStyle name="SAPBEXfilterText 2 3 3 6" xfId="13004" xr:uid="{5E69B931-E789-4876-99EA-974F48A8091B}"/>
    <cellStyle name="SAPBEXfilterText 2 3 3 6 2" xfId="13005" xr:uid="{22556BDC-310F-4333-B04E-F38552BC2E1C}"/>
    <cellStyle name="SAPBEXfilterText 2 3 3 7" xfId="13006" xr:uid="{914CB6AF-CC49-422F-8813-F53836E1F538}"/>
    <cellStyle name="SAPBEXfilterText 2 3 3 7 2" xfId="13007" xr:uid="{84E940C2-120C-40EB-8919-09A02F75911D}"/>
    <cellStyle name="SAPBEXfilterText 2 3 3 8" xfId="13008" xr:uid="{D6A2FBEB-B3F8-4546-A1D3-2E8561F3E363}"/>
    <cellStyle name="SAPBEXfilterText 2 3 3 8 2" xfId="13009" xr:uid="{0CCC79C7-14D4-45F0-9A71-937DDB97AC53}"/>
    <cellStyle name="SAPBEXfilterText 2 3 3 9" xfId="13010" xr:uid="{A46CADBC-0DFB-4302-8FB3-4830C99E7B63}"/>
    <cellStyle name="SAPBEXfilterText 2 3 3 9 2" xfId="13011" xr:uid="{0B845889-0E8A-4285-847A-BDBA4C0AD1A4}"/>
    <cellStyle name="SAPBEXfilterText 2 3 4" xfId="13012" xr:uid="{1D2D7FEE-9977-473C-A138-A387BF72A672}"/>
    <cellStyle name="SAPBEXfilterText 2 3 4 2" xfId="13013" xr:uid="{65685BA4-EDC5-48B6-B766-D51FA3AEDF3C}"/>
    <cellStyle name="SAPBEXfilterText 2 3 5" xfId="13014" xr:uid="{3DBA958B-7214-4F4B-A0DC-ACE2EF6D16A6}"/>
    <cellStyle name="SAPBEXfilterText 2 3 5 2" xfId="13015" xr:uid="{91A1D4C2-8082-4331-B7E0-5788C848BC1F}"/>
    <cellStyle name="SAPBEXfilterText 2 3 6" xfId="13016" xr:uid="{E83E2FEE-43BA-4B0C-A428-861E6B852877}"/>
    <cellStyle name="SAPBEXfilterText 2 3 6 2" xfId="13017" xr:uid="{409C9DDB-147F-4B24-98A5-D1713F6B5F8F}"/>
    <cellStyle name="SAPBEXfilterText 2 3 7" xfId="13018" xr:uid="{CC25CA27-AE56-492F-A9CF-F9DBA641FA34}"/>
    <cellStyle name="SAPBEXfilterText 2 3 7 2" xfId="13019" xr:uid="{B15BA734-4BD9-4CC2-BFC1-5399019819F4}"/>
    <cellStyle name="SAPBEXfilterText 2 3 8" xfId="13020" xr:uid="{065F72D6-78D9-415D-A35A-D1AAAAE85F55}"/>
    <cellStyle name="SAPBEXfilterText 2 3 8 2" xfId="13021" xr:uid="{577FACF5-FB75-434B-8CE2-E4027E1B8C39}"/>
    <cellStyle name="SAPBEXfilterText 2 3 9" xfId="13022" xr:uid="{42C7B5BB-97B3-40AC-8419-DE6A8AC3AF2F}"/>
    <cellStyle name="SAPBEXfilterText 2 3 9 2" xfId="13023" xr:uid="{EFD9BC92-D3EA-4DE1-A230-7C5C18F017A3}"/>
    <cellStyle name="SAPBEXfilterText 2 4" xfId="13024" xr:uid="{7E4D0222-7CA2-4882-80BE-7395BD3CE3C9}"/>
    <cellStyle name="SAPBEXfilterText 2 4 10" xfId="13025" xr:uid="{83C5D2DC-90F1-4ADA-909C-088D1C370FF1}"/>
    <cellStyle name="SAPBEXfilterText 2 4 10 2" xfId="13026" xr:uid="{390FEB33-D68C-4F21-BC89-56D852F3DA60}"/>
    <cellStyle name="SAPBEXfilterText 2 4 11" xfId="13027" xr:uid="{3814C310-CB2B-4CD1-86B0-55CBCA2968EB}"/>
    <cellStyle name="SAPBEXfilterText 2 4 11 2" xfId="13028" xr:uid="{E64C5D4E-09F6-440C-A325-AE5552A6827A}"/>
    <cellStyle name="SAPBEXfilterText 2 4 12" xfId="13029" xr:uid="{0CB59004-E7AE-4AB9-8453-A5D90D526F88}"/>
    <cellStyle name="SAPBEXfilterText 2 4 12 2" xfId="13030" xr:uid="{7B098A63-F272-4C3E-8B6C-5244A59CBDAB}"/>
    <cellStyle name="SAPBEXfilterText 2 4 13" xfId="13031" xr:uid="{5FCBF964-ECFD-48DD-B505-3955EB4B8698}"/>
    <cellStyle name="SAPBEXfilterText 2 4 13 2" xfId="13032" xr:uid="{F8233A4F-1DAF-4E92-AC2A-9A3C590D6A2D}"/>
    <cellStyle name="SAPBEXfilterText 2 4 14" xfId="13033" xr:uid="{E3EA1AFF-859A-4A4B-9045-FB33995D398E}"/>
    <cellStyle name="SAPBEXfilterText 2 4 14 2" xfId="13034" xr:uid="{F3DAF4E7-08B8-46CA-8313-CDCD075A795B}"/>
    <cellStyle name="SAPBEXfilterText 2 4 15" xfId="13035" xr:uid="{AB6588E3-822B-454E-B9A4-03CF81FC9646}"/>
    <cellStyle name="SAPBEXfilterText 2 4 15 2" xfId="13036" xr:uid="{935ADA9E-1CFA-4095-8F89-CC55DCE2AA45}"/>
    <cellStyle name="SAPBEXfilterText 2 4 16" xfId="13037" xr:uid="{A5452E90-AF4D-4B07-9C67-5BAA880FCEF1}"/>
    <cellStyle name="SAPBEXfilterText 2 4 16 2" xfId="13038" xr:uid="{601FF67D-B5DE-4A1D-BCA9-B05071C3F65B}"/>
    <cellStyle name="SAPBEXfilterText 2 4 17" xfId="13039" xr:uid="{5D0B02BA-281F-47A1-9C03-BFCD5A491B94}"/>
    <cellStyle name="SAPBEXfilterText 2 4 17 2" xfId="13040" xr:uid="{866F8388-5A06-4E2D-9A16-E57EB8EE6776}"/>
    <cellStyle name="SAPBEXfilterText 2 4 18" xfId="13041" xr:uid="{69F11DDB-1672-4CC1-B307-BE03CD6F9682}"/>
    <cellStyle name="SAPBEXfilterText 2 4 2" xfId="13042" xr:uid="{1ED3BE2C-DC2D-422D-8CC9-A423B90C131A}"/>
    <cellStyle name="SAPBEXfilterText 2 4 2 10" xfId="13043" xr:uid="{FBF28617-D090-499F-A12C-A7CA90203D62}"/>
    <cellStyle name="SAPBEXfilterText 2 4 2 10 2" xfId="13044" xr:uid="{75E82965-C990-41C9-98D3-659C30FBF54A}"/>
    <cellStyle name="SAPBEXfilterText 2 4 2 11" xfId="13045" xr:uid="{61DB633E-4865-4C13-A313-FA865562490E}"/>
    <cellStyle name="SAPBEXfilterText 2 4 2 11 2" xfId="13046" xr:uid="{F13A1AF1-FE7A-40DE-A8D4-5E859ECCCC69}"/>
    <cellStyle name="SAPBEXfilterText 2 4 2 12" xfId="13047" xr:uid="{535F8DAF-CB5C-4C32-970D-1F7A51B85699}"/>
    <cellStyle name="SAPBEXfilterText 2 4 2 12 2" xfId="13048" xr:uid="{54469765-7F19-4E53-A8BE-FC0065C93E23}"/>
    <cellStyle name="SAPBEXfilterText 2 4 2 13" xfId="13049" xr:uid="{0BD0EB85-EAFB-4C61-B256-96E3B7D3274C}"/>
    <cellStyle name="SAPBEXfilterText 2 4 2 13 2" xfId="13050" xr:uid="{5A285E35-8E0B-4C29-A32A-0FEA4C2536EB}"/>
    <cellStyle name="SAPBEXfilterText 2 4 2 14" xfId="13051" xr:uid="{6B203352-34E2-490F-9C81-54B9275386BC}"/>
    <cellStyle name="SAPBEXfilterText 2 4 2 14 2" xfId="13052" xr:uid="{30F26C2A-D47D-4E8F-AD05-DB4D532FBF9D}"/>
    <cellStyle name="SAPBEXfilterText 2 4 2 15" xfId="13053" xr:uid="{D9F8913F-9CD2-46B0-8EDF-136848A7942A}"/>
    <cellStyle name="SAPBEXfilterText 2 4 2 15 2" xfId="13054" xr:uid="{6D6A9813-1657-42C3-9D25-C66F27A43F17}"/>
    <cellStyle name="SAPBEXfilterText 2 4 2 16" xfId="13055" xr:uid="{A58A31D9-574D-4AF6-83A5-B996BAF67AE7}"/>
    <cellStyle name="SAPBEXfilterText 2 4 2 2" xfId="13056" xr:uid="{8755327C-498B-4CB4-B3BA-621C566FD0C4}"/>
    <cellStyle name="SAPBEXfilterText 2 4 2 2 2" xfId="13057" xr:uid="{D8D3A8A3-BDAE-4CEC-B448-75F3B60E4F5E}"/>
    <cellStyle name="SAPBEXfilterText 2 4 2 3" xfId="13058" xr:uid="{0EBBCD93-0540-4B3E-B443-A20CC2D678BA}"/>
    <cellStyle name="SAPBEXfilterText 2 4 2 3 2" xfId="13059" xr:uid="{23BA8AD7-9C5C-4E17-914F-FF4267C0A1E9}"/>
    <cellStyle name="SAPBEXfilterText 2 4 2 4" xfId="13060" xr:uid="{DE8DE367-A74E-4824-B66A-D61B869F9EDB}"/>
    <cellStyle name="SAPBEXfilterText 2 4 2 4 2" xfId="13061" xr:uid="{4426E06D-0D7C-4AB4-894D-61E1E7B79731}"/>
    <cellStyle name="SAPBEXfilterText 2 4 2 5" xfId="13062" xr:uid="{21A1DEA6-B4D8-4E89-9535-610F1F24596E}"/>
    <cellStyle name="SAPBEXfilterText 2 4 2 5 2" xfId="13063" xr:uid="{73BD5C42-114F-4716-8CD1-06B9EAE66205}"/>
    <cellStyle name="SAPBEXfilterText 2 4 2 6" xfId="13064" xr:uid="{9ACF6092-FF7B-4346-B6A2-B393FEB6B59A}"/>
    <cellStyle name="SAPBEXfilterText 2 4 2 6 2" xfId="13065" xr:uid="{CA4883BC-F3AD-4A87-9B73-5690F30CF481}"/>
    <cellStyle name="SAPBEXfilterText 2 4 2 7" xfId="13066" xr:uid="{6E301C62-2340-4475-9511-8A0C97A586B9}"/>
    <cellStyle name="SAPBEXfilterText 2 4 2 7 2" xfId="13067" xr:uid="{958E7DC1-4331-48F8-A912-B4E9C0D87E36}"/>
    <cellStyle name="SAPBEXfilterText 2 4 2 8" xfId="13068" xr:uid="{8BE84F83-4408-49DD-AF14-1229793D52E0}"/>
    <cellStyle name="SAPBEXfilterText 2 4 2 8 2" xfId="13069" xr:uid="{32727FFB-819B-4185-ADF8-B0728290103A}"/>
    <cellStyle name="SAPBEXfilterText 2 4 2 9" xfId="13070" xr:uid="{ADC3604F-A519-419A-81B0-8085251DDB0C}"/>
    <cellStyle name="SAPBEXfilterText 2 4 2 9 2" xfId="13071" xr:uid="{72923641-9DCF-459C-B041-BECE3AF63F78}"/>
    <cellStyle name="SAPBEXfilterText 2 4 3" xfId="13072" xr:uid="{8E492561-197E-448E-BE13-EF81E79514D2}"/>
    <cellStyle name="SAPBEXfilterText 2 4 3 10" xfId="13073" xr:uid="{A4F3F37F-774F-45DF-8DF3-4C45AC1F9CB5}"/>
    <cellStyle name="SAPBEXfilterText 2 4 3 10 2" xfId="13074" xr:uid="{5E28D64E-4DC3-4858-9EDD-58446208A500}"/>
    <cellStyle name="SAPBEXfilterText 2 4 3 11" xfId="13075" xr:uid="{279E0136-5C13-4E91-B407-C8798742C504}"/>
    <cellStyle name="SAPBEXfilterText 2 4 3 11 2" xfId="13076" xr:uid="{46AD888D-81D5-4FAE-8857-DAB023267DD0}"/>
    <cellStyle name="SAPBEXfilterText 2 4 3 12" xfId="13077" xr:uid="{F6A53AFA-1E7F-4691-948A-AF99BA876C57}"/>
    <cellStyle name="SAPBEXfilterText 2 4 3 12 2" xfId="13078" xr:uid="{0133C502-113C-4B6B-9B46-886F632000A6}"/>
    <cellStyle name="SAPBEXfilterText 2 4 3 13" xfId="13079" xr:uid="{80CF6E30-1718-49B4-9F98-AA83A62F5763}"/>
    <cellStyle name="SAPBEXfilterText 2 4 3 13 2" xfId="13080" xr:uid="{FC97A872-8982-495D-82A8-472FA095D1B2}"/>
    <cellStyle name="SAPBEXfilterText 2 4 3 14" xfId="13081" xr:uid="{C5CA9C74-6679-4E72-BC69-6B9DCCFADAF4}"/>
    <cellStyle name="SAPBEXfilterText 2 4 3 14 2" xfId="13082" xr:uid="{90D69947-39CC-4EF2-B83C-B9B0B4F9067A}"/>
    <cellStyle name="SAPBEXfilterText 2 4 3 15" xfId="13083" xr:uid="{541C7D54-2503-44F4-B687-2230CB1C2223}"/>
    <cellStyle name="SAPBEXfilterText 2 4 3 15 2" xfId="13084" xr:uid="{9BC74BBF-B100-45A0-8EC0-645D877D13AC}"/>
    <cellStyle name="SAPBEXfilterText 2 4 3 16" xfId="13085" xr:uid="{C103A6A2-8521-44E8-A762-4CF2DF3E3531}"/>
    <cellStyle name="SAPBEXfilterText 2 4 3 2" xfId="13086" xr:uid="{DF3FD641-64A4-4074-B677-EE5F53F41CB3}"/>
    <cellStyle name="SAPBEXfilterText 2 4 3 2 2" xfId="13087" xr:uid="{67E96E73-9D82-4ED7-8576-AFF4DEC69BE3}"/>
    <cellStyle name="SAPBEXfilterText 2 4 3 3" xfId="13088" xr:uid="{72159305-62D4-4F65-A0AF-9FC00CA769BA}"/>
    <cellStyle name="SAPBEXfilterText 2 4 3 3 2" xfId="13089" xr:uid="{5701E19E-94D0-4842-AAFF-DEE4E26344AD}"/>
    <cellStyle name="SAPBEXfilterText 2 4 3 4" xfId="13090" xr:uid="{D0A990F1-CD42-40E7-A189-1BEE1FA1398A}"/>
    <cellStyle name="SAPBEXfilterText 2 4 3 4 2" xfId="13091" xr:uid="{F7231F91-7000-4C7F-97A8-EC186B39AA56}"/>
    <cellStyle name="SAPBEXfilterText 2 4 3 5" xfId="13092" xr:uid="{896DB7DA-7D83-4FF5-BA0C-51EA52594DD2}"/>
    <cellStyle name="SAPBEXfilterText 2 4 3 5 2" xfId="13093" xr:uid="{05D3B4E1-3291-4F54-BEAC-BBF252453089}"/>
    <cellStyle name="SAPBEXfilterText 2 4 3 6" xfId="13094" xr:uid="{B04063E1-0DA2-4B9C-BBF7-845A39A60537}"/>
    <cellStyle name="SAPBEXfilterText 2 4 3 6 2" xfId="13095" xr:uid="{B868767D-024B-460E-BDA9-977C3DF1B70C}"/>
    <cellStyle name="SAPBEXfilterText 2 4 3 7" xfId="13096" xr:uid="{9F990043-4290-45F8-8CC3-0A213EAC0445}"/>
    <cellStyle name="SAPBEXfilterText 2 4 3 7 2" xfId="13097" xr:uid="{96528F21-6082-4317-AEA2-3CFB4C57973F}"/>
    <cellStyle name="SAPBEXfilterText 2 4 3 8" xfId="13098" xr:uid="{6ADBBC12-E11E-4CF5-8A9F-0E77C9EE885F}"/>
    <cellStyle name="SAPBEXfilterText 2 4 3 8 2" xfId="13099" xr:uid="{F0AB4857-010B-49DB-9241-1213E23CE711}"/>
    <cellStyle name="SAPBEXfilterText 2 4 3 9" xfId="13100" xr:uid="{003EA2F6-9109-4887-81E5-05181CF5A7C1}"/>
    <cellStyle name="SAPBEXfilterText 2 4 3 9 2" xfId="13101" xr:uid="{1EDCB27D-B553-42C0-A9E7-EB7980A225C3}"/>
    <cellStyle name="SAPBEXfilterText 2 4 4" xfId="13102" xr:uid="{15001A33-F37C-4B00-8A94-0CC7355DD2F7}"/>
    <cellStyle name="SAPBEXfilterText 2 4 4 2" xfId="13103" xr:uid="{D89BD267-EF2B-4FD6-BFBA-3AFC6F1074B4}"/>
    <cellStyle name="SAPBEXfilterText 2 4 5" xfId="13104" xr:uid="{5DB698A3-952E-4F7D-AF1A-1C19FD7F4B92}"/>
    <cellStyle name="SAPBEXfilterText 2 4 5 2" xfId="13105" xr:uid="{FCE15A88-70B6-49FD-838A-9DFF2CCB1F7F}"/>
    <cellStyle name="SAPBEXfilterText 2 4 6" xfId="13106" xr:uid="{1F82DA48-94A7-49B9-B96F-C12AEF83DF55}"/>
    <cellStyle name="SAPBEXfilterText 2 4 6 2" xfId="13107" xr:uid="{AE2E3C7B-E5A7-4416-A9A8-C15A9D43239D}"/>
    <cellStyle name="SAPBEXfilterText 2 4 7" xfId="13108" xr:uid="{83F80529-60C8-4F24-A6F8-F9E5586B9EC0}"/>
    <cellStyle name="SAPBEXfilterText 2 4 7 2" xfId="13109" xr:uid="{59ACDF9E-7AF8-46D5-9A56-585008C3521D}"/>
    <cellStyle name="SAPBEXfilterText 2 4 8" xfId="13110" xr:uid="{21B6F014-7CB4-488F-86AA-78B9709B5FDE}"/>
    <cellStyle name="SAPBEXfilterText 2 4 8 2" xfId="13111" xr:uid="{07E33C8F-3B87-4D16-B507-EAC1A09C6524}"/>
    <cellStyle name="SAPBEXfilterText 2 4 9" xfId="13112" xr:uid="{9A3FD201-8D2D-4024-A0C8-6F64C508E984}"/>
    <cellStyle name="SAPBEXfilterText 2 4 9 2" xfId="13113" xr:uid="{DF061741-4199-4691-9EA6-AF8058A804E9}"/>
    <cellStyle name="SAPBEXfilterText 2 5" xfId="13114" xr:uid="{469D3A20-9BAE-408B-9317-058C89CC8430}"/>
    <cellStyle name="SAPBEXfilterText 2 5 2" xfId="13115" xr:uid="{801A09BB-D513-404C-B6EE-9F42ECA59D8D}"/>
    <cellStyle name="SAPBEXfilterText 2 6" xfId="13116" xr:uid="{0BAA8D71-E991-4CAC-A0AB-9AC24B759147}"/>
    <cellStyle name="SAPBEXfilterText 2 6 2" xfId="13117" xr:uid="{7BCD48E3-44B3-4611-9EE0-A3F3EDC46FE6}"/>
    <cellStyle name="SAPBEXfilterText 2 7" xfId="13118" xr:uid="{66226564-AAEC-4D30-951B-C198605626E3}"/>
    <cellStyle name="SAPBEXfilterText 2 7 2" xfId="13119" xr:uid="{331955F9-0323-45E7-80B6-26500A2D69C8}"/>
    <cellStyle name="SAPBEXfilterText 2 8" xfId="13120" xr:uid="{AE401A2D-D567-4D20-93B3-10F26A080223}"/>
    <cellStyle name="SAPBEXfilterText 2 8 2" xfId="13121" xr:uid="{58E8A124-A2A1-49A6-8832-BE6CBE7298E0}"/>
    <cellStyle name="SAPBEXfilterText 2 9" xfId="13122" xr:uid="{99E7C143-8004-4038-9D7C-F482A8ED5A61}"/>
    <cellStyle name="SAPBEXfilterText 2 9 2" xfId="13123" xr:uid="{F26F248A-0B10-48FC-A5BD-4DF1D462DAB3}"/>
    <cellStyle name="SAPBEXfilterText 3" xfId="13124" xr:uid="{141CB83A-FEAA-410B-B94A-C89BE0D2CAD5}"/>
    <cellStyle name="SAPBEXfilterText 3 10" xfId="13125" xr:uid="{990FF35E-4BEA-4284-951B-CBB279D53E0E}"/>
    <cellStyle name="SAPBEXfilterText 3 10 2" xfId="13126" xr:uid="{8ADD7776-AB78-49C9-8414-EDF3E2CD03B7}"/>
    <cellStyle name="SAPBEXfilterText 3 11" xfId="13127" xr:uid="{C5CD744C-830F-4569-A4D8-3C8A276EF430}"/>
    <cellStyle name="SAPBEXfilterText 3 11 2" xfId="13128" xr:uid="{E1078C6A-AEF7-456F-AF66-08FDCD6E95E4}"/>
    <cellStyle name="SAPBEXfilterText 3 12" xfId="13129" xr:uid="{FACFD2A6-18CA-4351-AAAE-A04575897D57}"/>
    <cellStyle name="SAPBEXfilterText 3 12 2" xfId="13130" xr:uid="{135B5AA6-E5DB-49F0-973A-6E08748E6BB7}"/>
    <cellStyle name="SAPBEXfilterText 3 13" xfId="13131" xr:uid="{B2CC8D17-2241-4CE9-89B9-706F6EE32C05}"/>
    <cellStyle name="SAPBEXfilterText 3 13 2" xfId="13132" xr:uid="{8D8B5635-B78D-44D5-AC3B-644694F9142A}"/>
    <cellStyle name="SAPBEXfilterText 3 14" xfId="13133" xr:uid="{25809A22-D386-4B82-90A1-AF5882336EA6}"/>
    <cellStyle name="SAPBEXfilterText 3 14 2" xfId="13134" xr:uid="{7D2DA9A2-BE37-4339-88EA-66BAE0D6EC9D}"/>
    <cellStyle name="SAPBEXfilterText 3 15" xfId="13135" xr:uid="{F95DBCD6-1BD6-4418-AD1E-8CAC4CA9FD37}"/>
    <cellStyle name="SAPBEXfilterText 3 15 2" xfId="13136" xr:uid="{C1A10180-F4E0-4DCD-95A5-8D6454CE15FB}"/>
    <cellStyle name="SAPBEXfilterText 3 16" xfId="13137" xr:uid="{9DC444C7-0298-43ED-906F-3D394A21669C}"/>
    <cellStyle name="SAPBEXfilterText 3 16 2" xfId="13138" xr:uid="{29210E02-D666-4552-A7BD-07CB9D6B3B47}"/>
    <cellStyle name="SAPBEXfilterText 3 17" xfId="13139" xr:uid="{1236CF8D-56BC-4A3F-B0D1-32D055FAE341}"/>
    <cellStyle name="SAPBEXfilterText 3 17 2" xfId="13140" xr:uid="{AE93412A-B863-4CAB-AA28-F891619AC226}"/>
    <cellStyle name="SAPBEXfilterText 3 18" xfId="13141" xr:uid="{FC379C85-68FD-4280-B61B-A9DC873D5C06}"/>
    <cellStyle name="SAPBEXfilterText 3 18 2" xfId="13142" xr:uid="{DEBB0E2C-3534-449E-82EA-CA81ADBDAE07}"/>
    <cellStyle name="SAPBEXfilterText 3 19" xfId="13143" xr:uid="{D5808228-4502-424D-8E7E-1771FBD5B078}"/>
    <cellStyle name="SAPBEXfilterText 3 2" xfId="13144" xr:uid="{EDE7AB51-6D77-44C6-8C54-D11F0A9EA4D0}"/>
    <cellStyle name="SAPBEXfilterText 3 2 10" xfId="13145" xr:uid="{FCC84A12-274B-4887-B661-ED5012494817}"/>
    <cellStyle name="SAPBEXfilterText 3 2 10 2" xfId="13146" xr:uid="{77631B67-EC98-412B-823B-AB20B871C50D}"/>
    <cellStyle name="SAPBEXfilterText 3 2 11" xfId="13147" xr:uid="{D682DE3B-06D5-42E3-B0BB-6CFADB53FF1B}"/>
    <cellStyle name="SAPBEXfilterText 3 2 11 2" xfId="13148" xr:uid="{F7336198-CB5E-410C-858E-A2E4AC6E5FA5}"/>
    <cellStyle name="SAPBEXfilterText 3 2 12" xfId="13149" xr:uid="{F07E4057-DA9E-4FE0-B697-16ECADF6E69B}"/>
    <cellStyle name="SAPBEXfilterText 3 2 12 2" xfId="13150" xr:uid="{DE955C1F-6E67-4CF4-AEDF-2A3EB107C91F}"/>
    <cellStyle name="SAPBEXfilterText 3 2 13" xfId="13151" xr:uid="{9126987A-3E5B-4591-BA11-30CE044D629E}"/>
    <cellStyle name="SAPBEXfilterText 3 2 13 2" xfId="13152" xr:uid="{28498A07-62F2-472B-93EB-0AA3BD8E506A}"/>
    <cellStyle name="SAPBEXfilterText 3 2 14" xfId="13153" xr:uid="{FD4CB165-3B63-4491-BE7A-13A0CD926BFA}"/>
    <cellStyle name="SAPBEXfilterText 3 2 14 2" xfId="13154" xr:uid="{4212DCAA-F4F9-4863-BA03-2B018A05B156}"/>
    <cellStyle name="SAPBEXfilterText 3 2 15" xfId="13155" xr:uid="{0A25E496-196E-452F-9A15-99A6C5E28BBE}"/>
    <cellStyle name="SAPBEXfilterText 3 2 15 2" xfId="13156" xr:uid="{C18EACF6-BF52-4FCB-98D3-1D7CC06BC218}"/>
    <cellStyle name="SAPBEXfilterText 3 2 16" xfId="13157" xr:uid="{7778BE51-A1FA-41E3-A799-13E2B02812DB}"/>
    <cellStyle name="SAPBEXfilterText 3 2 16 2" xfId="13158" xr:uid="{B1E73C3C-3082-4D36-A60E-DC4458B3A306}"/>
    <cellStyle name="SAPBEXfilterText 3 2 17" xfId="13159" xr:uid="{C98CDF3A-29BE-46E9-9C44-5B50435B8330}"/>
    <cellStyle name="SAPBEXfilterText 3 2 17 2" xfId="13160" xr:uid="{0DC34D59-2D93-4965-B6F6-BA9D13B54A12}"/>
    <cellStyle name="SAPBEXfilterText 3 2 18" xfId="13161" xr:uid="{0D271844-35E1-4396-9821-F6C8F3666A8E}"/>
    <cellStyle name="SAPBEXfilterText 3 2 2" xfId="13162" xr:uid="{8B2BAAFC-066A-497F-8025-8605BA371A3E}"/>
    <cellStyle name="SAPBEXfilterText 3 2 2 10" xfId="13163" xr:uid="{D5E0F614-7B90-4A4C-A1D3-7125960FC58E}"/>
    <cellStyle name="SAPBEXfilterText 3 2 2 10 2" xfId="13164" xr:uid="{4E618DD5-BCEB-4A22-A46D-4F6BAD770424}"/>
    <cellStyle name="SAPBEXfilterText 3 2 2 11" xfId="13165" xr:uid="{A5C37ED1-FBE9-4A3E-85E2-FA17E028BCB4}"/>
    <cellStyle name="SAPBEXfilterText 3 2 2 11 2" xfId="13166" xr:uid="{B4132DEF-BC8F-44DD-BC04-0E3CAA1C4FE3}"/>
    <cellStyle name="SAPBEXfilterText 3 2 2 12" xfId="13167" xr:uid="{E8FCB68A-557A-4EBB-BE33-6E968420833F}"/>
    <cellStyle name="SAPBEXfilterText 3 2 2 12 2" xfId="13168" xr:uid="{BD80909A-F394-405D-B185-BEB314FD775A}"/>
    <cellStyle name="SAPBEXfilterText 3 2 2 13" xfId="13169" xr:uid="{6AC9925D-6D6E-4A2E-92D5-65453C691616}"/>
    <cellStyle name="SAPBEXfilterText 3 2 2 13 2" xfId="13170" xr:uid="{3AB4C575-2C30-48B5-A5D4-2C089C22CBC9}"/>
    <cellStyle name="SAPBEXfilterText 3 2 2 14" xfId="13171" xr:uid="{E4520E4A-9036-4653-BD73-ACD8C414AF77}"/>
    <cellStyle name="SAPBEXfilterText 3 2 2 14 2" xfId="13172" xr:uid="{43481921-AC4F-46BD-8910-0B71FE0262B9}"/>
    <cellStyle name="SAPBEXfilterText 3 2 2 15" xfId="13173" xr:uid="{181FF115-27D8-4A60-BEA7-F1DB86840245}"/>
    <cellStyle name="SAPBEXfilterText 3 2 2 15 2" xfId="13174" xr:uid="{2F02111C-38C7-4D5B-8CA3-5F5C859AE38D}"/>
    <cellStyle name="SAPBEXfilterText 3 2 2 16" xfId="13175" xr:uid="{680EF519-E86A-42A4-8824-3D78F4A690A1}"/>
    <cellStyle name="SAPBEXfilterText 3 2 2 2" xfId="13176" xr:uid="{60AB2F62-4159-4DEC-A670-A3DE1AEB28F8}"/>
    <cellStyle name="SAPBEXfilterText 3 2 2 2 2" xfId="13177" xr:uid="{4AF7486D-2C4E-48C5-8366-7D618A3F1BAC}"/>
    <cellStyle name="SAPBEXfilterText 3 2 2 3" xfId="13178" xr:uid="{4199021B-41BA-49B8-B6C9-3E4A45CAA2A7}"/>
    <cellStyle name="SAPBEXfilterText 3 2 2 3 2" xfId="13179" xr:uid="{E51295CE-B04A-4837-BD67-076976CF50C2}"/>
    <cellStyle name="SAPBEXfilterText 3 2 2 4" xfId="13180" xr:uid="{7B70E612-DE3C-4C6B-8E7F-F1BF3F4520C1}"/>
    <cellStyle name="SAPBEXfilterText 3 2 2 4 2" xfId="13181" xr:uid="{93E8A648-3472-4CC7-9476-BE449DC69F63}"/>
    <cellStyle name="SAPBEXfilterText 3 2 2 5" xfId="13182" xr:uid="{90DC9951-1F29-4594-8C9C-221FA07F28E0}"/>
    <cellStyle name="SAPBEXfilterText 3 2 2 5 2" xfId="13183" xr:uid="{6AB6980E-DF92-46E7-A25D-D40EB293CD69}"/>
    <cellStyle name="SAPBEXfilterText 3 2 2 6" xfId="13184" xr:uid="{7151D3C0-B327-4643-87D9-39E0314BA5CF}"/>
    <cellStyle name="SAPBEXfilterText 3 2 2 6 2" xfId="13185" xr:uid="{234C7FD8-1E55-4493-8394-A530E48EB24E}"/>
    <cellStyle name="SAPBEXfilterText 3 2 2 7" xfId="13186" xr:uid="{D36E2E1D-6EEB-47C5-A4E0-D283DD5062EE}"/>
    <cellStyle name="SAPBEXfilterText 3 2 2 7 2" xfId="13187" xr:uid="{E2BD72D8-3826-4821-ABD4-C2855A94969E}"/>
    <cellStyle name="SAPBEXfilterText 3 2 2 8" xfId="13188" xr:uid="{EB089416-61C3-463C-9B02-377FDB92FD38}"/>
    <cellStyle name="SAPBEXfilterText 3 2 2 8 2" xfId="13189" xr:uid="{DB74FC90-4B6F-48B4-A4EB-2F3ABD8E2A90}"/>
    <cellStyle name="SAPBEXfilterText 3 2 2 9" xfId="13190" xr:uid="{728A33E6-81B8-42A4-B886-29C5C315CD89}"/>
    <cellStyle name="SAPBEXfilterText 3 2 2 9 2" xfId="13191" xr:uid="{390CAAB7-85FA-454A-842E-84F9D40D91B4}"/>
    <cellStyle name="SAPBEXfilterText 3 2 3" xfId="13192" xr:uid="{67BC76E6-683E-4153-9F31-B814804D553E}"/>
    <cellStyle name="SAPBEXfilterText 3 2 3 10" xfId="13193" xr:uid="{DA1095EB-4B90-4363-8CA4-9EBCC7E24C02}"/>
    <cellStyle name="SAPBEXfilterText 3 2 3 10 2" xfId="13194" xr:uid="{D23F2194-1EB0-47EE-AFDF-67953AC78356}"/>
    <cellStyle name="SAPBEXfilterText 3 2 3 11" xfId="13195" xr:uid="{3FD65D29-8FD7-4B98-91E4-7336AB6E659F}"/>
    <cellStyle name="SAPBEXfilterText 3 2 3 11 2" xfId="13196" xr:uid="{AB4E95E2-4C79-49C3-B646-EB56026A449A}"/>
    <cellStyle name="SAPBEXfilterText 3 2 3 12" xfId="13197" xr:uid="{3B897799-C34A-41A4-8ACF-83D6E3C263AA}"/>
    <cellStyle name="SAPBEXfilterText 3 2 3 12 2" xfId="13198" xr:uid="{D1342255-0E9C-4FEC-845A-02919031E99D}"/>
    <cellStyle name="SAPBEXfilterText 3 2 3 13" xfId="13199" xr:uid="{40C8AD28-BC96-47D7-BC33-79AFD19ECCF1}"/>
    <cellStyle name="SAPBEXfilterText 3 2 3 13 2" xfId="13200" xr:uid="{4B43F363-DF3C-42B1-AB84-0E73EEFD4476}"/>
    <cellStyle name="SAPBEXfilterText 3 2 3 14" xfId="13201" xr:uid="{A99D58B8-39D4-43F2-8B4C-35C4FBA2A497}"/>
    <cellStyle name="SAPBEXfilterText 3 2 3 14 2" xfId="13202" xr:uid="{2B0AF52B-08AB-48DA-AA13-B34555DCF4B2}"/>
    <cellStyle name="SAPBEXfilterText 3 2 3 15" xfId="13203" xr:uid="{FE1034C0-F695-4E0E-9C28-3550C48B23AB}"/>
    <cellStyle name="SAPBEXfilterText 3 2 3 15 2" xfId="13204" xr:uid="{DA8CFE97-5A4C-40E8-866F-EC009FC68D22}"/>
    <cellStyle name="SAPBEXfilterText 3 2 3 16" xfId="13205" xr:uid="{9530AA3D-932C-474A-B151-ED9413B28362}"/>
    <cellStyle name="SAPBEXfilterText 3 2 3 2" xfId="13206" xr:uid="{24612F89-FE3D-43B0-ADD0-1C30A7FE4E4B}"/>
    <cellStyle name="SAPBEXfilterText 3 2 3 2 2" xfId="13207" xr:uid="{E512222C-0E0A-4B4E-9B47-1AE6A697D6BF}"/>
    <cellStyle name="SAPBEXfilterText 3 2 3 3" xfId="13208" xr:uid="{9A343CED-65CF-4D1D-BE04-BE4F9E4D120D}"/>
    <cellStyle name="SAPBEXfilterText 3 2 3 3 2" xfId="13209" xr:uid="{D6B40BD7-899C-4418-B5F0-F289620D7F49}"/>
    <cellStyle name="SAPBEXfilterText 3 2 3 4" xfId="13210" xr:uid="{9CA7BA3D-5828-40D7-A194-7E39C7B5D567}"/>
    <cellStyle name="SAPBEXfilterText 3 2 3 4 2" xfId="13211" xr:uid="{39B81BD2-7A3D-4089-BD81-0C539B257331}"/>
    <cellStyle name="SAPBEXfilterText 3 2 3 5" xfId="13212" xr:uid="{AD461894-CF5C-48FB-BD9D-3D1814796C88}"/>
    <cellStyle name="SAPBEXfilterText 3 2 3 5 2" xfId="13213" xr:uid="{B9FF400C-6489-499B-BB0B-489946CC606A}"/>
    <cellStyle name="SAPBEXfilterText 3 2 3 6" xfId="13214" xr:uid="{89964D4B-F99C-484E-8F19-7FB25C1F8CFD}"/>
    <cellStyle name="SAPBEXfilterText 3 2 3 6 2" xfId="13215" xr:uid="{1DB13DFD-5DF3-4C4C-B2E1-2C5DBEF0D606}"/>
    <cellStyle name="SAPBEXfilterText 3 2 3 7" xfId="13216" xr:uid="{3DE3F9BA-5A19-4F27-AF21-F14943281E7E}"/>
    <cellStyle name="SAPBEXfilterText 3 2 3 7 2" xfId="13217" xr:uid="{FCA4BF36-6182-410D-B2ED-5F5552488F42}"/>
    <cellStyle name="SAPBEXfilterText 3 2 3 8" xfId="13218" xr:uid="{15F965AE-2A97-4865-90A3-218E7382109B}"/>
    <cellStyle name="SAPBEXfilterText 3 2 3 8 2" xfId="13219" xr:uid="{4B530B2C-C20B-46FB-826A-DCFA99B48E7F}"/>
    <cellStyle name="SAPBEXfilterText 3 2 3 9" xfId="13220" xr:uid="{167024EE-C171-4383-9153-57F5D3795196}"/>
    <cellStyle name="SAPBEXfilterText 3 2 3 9 2" xfId="13221" xr:uid="{ED0690BA-ACD0-4A83-8586-5EC8A36999ED}"/>
    <cellStyle name="SAPBEXfilterText 3 2 4" xfId="13222" xr:uid="{D59BD21A-574F-412B-AA9E-3525E889305D}"/>
    <cellStyle name="SAPBEXfilterText 3 2 4 2" xfId="13223" xr:uid="{2D6AF330-6386-4FBF-8A55-1658C6F416E1}"/>
    <cellStyle name="SAPBEXfilterText 3 2 5" xfId="13224" xr:uid="{93D02B68-E1F1-4399-8626-461C423B61A6}"/>
    <cellStyle name="SAPBEXfilterText 3 2 5 2" xfId="13225" xr:uid="{5FCACD0C-7DFA-41B9-8E48-5E450B881AB2}"/>
    <cellStyle name="SAPBEXfilterText 3 2 6" xfId="13226" xr:uid="{D722D7BB-E8ED-48AF-A412-E2994C4A78D6}"/>
    <cellStyle name="SAPBEXfilterText 3 2 6 2" xfId="13227" xr:uid="{78B593BF-0148-4FBE-BED3-CE30170CBCCA}"/>
    <cellStyle name="SAPBEXfilterText 3 2 7" xfId="13228" xr:uid="{5831A6AB-BEC6-4235-8871-BACD8B892FB9}"/>
    <cellStyle name="SAPBEXfilterText 3 2 7 2" xfId="13229" xr:uid="{65725376-015B-4154-9BC3-AA2C15213647}"/>
    <cellStyle name="SAPBEXfilterText 3 2 8" xfId="13230" xr:uid="{889C4833-75B3-4520-9281-650DAD180229}"/>
    <cellStyle name="SAPBEXfilterText 3 2 8 2" xfId="13231" xr:uid="{981FE3CB-A753-4111-A7F0-7F4AA349097C}"/>
    <cellStyle name="SAPBEXfilterText 3 2 9" xfId="13232" xr:uid="{F4C00464-5FC4-4934-A466-C9ADA5FB9B35}"/>
    <cellStyle name="SAPBEXfilterText 3 2 9 2" xfId="13233" xr:uid="{199B951A-3B8B-43F0-BF72-A04252882FF0}"/>
    <cellStyle name="SAPBEXfilterText 3 3" xfId="13234" xr:uid="{DC70D754-511A-428B-AB7E-EE84AA47E7C6}"/>
    <cellStyle name="SAPBEXfilterText 3 3 10" xfId="13235" xr:uid="{0251F508-7319-4B62-9307-1B03498808EA}"/>
    <cellStyle name="SAPBEXfilterText 3 3 10 2" xfId="13236" xr:uid="{C5E9BA19-D479-403A-B448-04AB9D44D003}"/>
    <cellStyle name="SAPBEXfilterText 3 3 11" xfId="13237" xr:uid="{9F0CE709-64AB-4AE4-86AE-8700D573326C}"/>
    <cellStyle name="SAPBEXfilterText 3 3 11 2" xfId="13238" xr:uid="{E4509BD4-F488-428B-AD9B-59127A3B2579}"/>
    <cellStyle name="SAPBEXfilterText 3 3 12" xfId="13239" xr:uid="{718CAF5D-ED56-4B64-AEAD-16CFA9C87093}"/>
    <cellStyle name="SAPBEXfilterText 3 3 12 2" xfId="13240" xr:uid="{47EC3C4D-5786-4CE0-8312-7C37D91E9BD5}"/>
    <cellStyle name="SAPBEXfilterText 3 3 13" xfId="13241" xr:uid="{1F127E26-5979-40BF-B0A6-938B01FEC5CB}"/>
    <cellStyle name="SAPBEXfilterText 3 3 13 2" xfId="13242" xr:uid="{D3D1D8D9-20C4-442C-89A3-0AB4161B68B4}"/>
    <cellStyle name="SAPBEXfilterText 3 3 14" xfId="13243" xr:uid="{395DFA32-EDC3-470B-BA54-06488C19F724}"/>
    <cellStyle name="SAPBEXfilterText 3 3 14 2" xfId="13244" xr:uid="{7A179209-64C6-4FA5-876F-DE5D9CA6A913}"/>
    <cellStyle name="SAPBEXfilterText 3 3 15" xfId="13245" xr:uid="{BF94F170-C24C-4E26-8E71-5E329A86591C}"/>
    <cellStyle name="SAPBEXfilterText 3 3 15 2" xfId="13246" xr:uid="{2BA94685-7372-4641-91D9-652011C084B5}"/>
    <cellStyle name="SAPBEXfilterText 3 3 16" xfId="13247" xr:uid="{BB68D80A-B186-4725-A373-F41BE7945C84}"/>
    <cellStyle name="SAPBEXfilterText 3 3 16 2" xfId="13248" xr:uid="{0BCA7F25-93B8-4BB6-B675-544E9DF3457D}"/>
    <cellStyle name="SAPBEXfilterText 3 3 17" xfId="13249" xr:uid="{0E4B0F25-AA9B-4ED7-81EE-10EF3B1B2B74}"/>
    <cellStyle name="SAPBEXfilterText 3 3 17 2" xfId="13250" xr:uid="{C72DFC86-AEDB-4FA0-8B37-1C65ABEEEDD0}"/>
    <cellStyle name="SAPBEXfilterText 3 3 18" xfId="13251" xr:uid="{5CD46226-8F1D-4BDF-AC1C-5BB3980F9868}"/>
    <cellStyle name="SAPBEXfilterText 3 3 2" xfId="13252" xr:uid="{8BCADACF-2E77-43FE-8F42-59CFD01E8E87}"/>
    <cellStyle name="SAPBEXfilterText 3 3 2 10" xfId="13253" xr:uid="{894A358D-B89A-4BA7-A3C0-D0233008532C}"/>
    <cellStyle name="SAPBEXfilterText 3 3 2 10 2" xfId="13254" xr:uid="{3BD1053D-4703-4225-8A08-F52F027D6811}"/>
    <cellStyle name="SAPBEXfilterText 3 3 2 11" xfId="13255" xr:uid="{15C80921-52BC-46A6-BDBC-4660E5058407}"/>
    <cellStyle name="SAPBEXfilterText 3 3 2 11 2" xfId="13256" xr:uid="{35DCD5FE-52F3-473E-8F66-12B806814014}"/>
    <cellStyle name="SAPBEXfilterText 3 3 2 12" xfId="13257" xr:uid="{DF17F204-8DB1-48E1-870F-41B9AA5C8247}"/>
    <cellStyle name="SAPBEXfilterText 3 3 2 12 2" xfId="13258" xr:uid="{D0545FFC-D026-49E9-847E-B0DDBB745D99}"/>
    <cellStyle name="SAPBEXfilterText 3 3 2 13" xfId="13259" xr:uid="{E346CD65-C750-446C-899F-2B1C5395F340}"/>
    <cellStyle name="SAPBEXfilterText 3 3 2 13 2" xfId="13260" xr:uid="{91DD7036-CCBB-4E6C-BC10-9DCEBA5BCE8C}"/>
    <cellStyle name="SAPBEXfilterText 3 3 2 14" xfId="13261" xr:uid="{07D200AD-FE84-4E6B-97B2-D008320F5BF3}"/>
    <cellStyle name="SAPBEXfilterText 3 3 2 14 2" xfId="13262" xr:uid="{795A9AAC-83E6-4162-A454-D53FF5098324}"/>
    <cellStyle name="SAPBEXfilterText 3 3 2 15" xfId="13263" xr:uid="{7D3239CB-0CDF-4F26-A939-515AC5002561}"/>
    <cellStyle name="SAPBEXfilterText 3 3 2 15 2" xfId="13264" xr:uid="{4F820E9A-980E-483A-ADDB-7D13537449B7}"/>
    <cellStyle name="SAPBEXfilterText 3 3 2 16" xfId="13265" xr:uid="{469EE0F9-C1E5-45B4-BF6D-6A005808CF62}"/>
    <cellStyle name="SAPBEXfilterText 3 3 2 2" xfId="13266" xr:uid="{C17F7CC7-B7C0-4347-9264-E6868AF9B99A}"/>
    <cellStyle name="SAPBEXfilterText 3 3 2 2 2" xfId="13267" xr:uid="{DAFD2985-1C0D-4788-8633-E6AE24A3C7DC}"/>
    <cellStyle name="SAPBEXfilterText 3 3 2 3" xfId="13268" xr:uid="{B0DDD262-D319-4287-B7B0-12142562A8E6}"/>
    <cellStyle name="SAPBEXfilterText 3 3 2 3 2" xfId="13269" xr:uid="{2FA78052-2136-40F0-B45F-C774A5259CB7}"/>
    <cellStyle name="SAPBEXfilterText 3 3 2 4" xfId="13270" xr:uid="{448EB92F-57C7-4B1C-96BA-2FCC5D0205B2}"/>
    <cellStyle name="SAPBEXfilterText 3 3 2 4 2" xfId="13271" xr:uid="{E0225B36-1713-4611-BC58-2F34BF19A9DD}"/>
    <cellStyle name="SAPBEXfilterText 3 3 2 5" xfId="13272" xr:uid="{77EB4E0B-FFF3-40AD-883D-D06697D941C8}"/>
    <cellStyle name="SAPBEXfilterText 3 3 2 5 2" xfId="13273" xr:uid="{602E2274-26F0-4E64-BAF4-5C19D2643E78}"/>
    <cellStyle name="SAPBEXfilterText 3 3 2 6" xfId="13274" xr:uid="{1545D090-A350-4168-9AE6-C8DE3CFF2ABD}"/>
    <cellStyle name="SAPBEXfilterText 3 3 2 6 2" xfId="13275" xr:uid="{4C847A63-521B-43C9-8198-F72E302BADFC}"/>
    <cellStyle name="SAPBEXfilterText 3 3 2 7" xfId="13276" xr:uid="{EFDFCB61-84E3-4608-8C5F-24BCC608FF59}"/>
    <cellStyle name="SAPBEXfilterText 3 3 2 7 2" xfId="13277" xr:uid="{6B642E15-6639-4BE2-B427-838BC251CCB9}"/>
    <cellStyle name="SAPBEXfilterText 3 3 2 8" xfId="13278" xr:uid="{83AD94CA-152C-4C40-8229-079536FABAFC}"/>
    <cellStyle name="SAPBEXfilterText 3 3 2 8 2" xfId="13279" xr:uid="{DE24BBF6-F476-480C-BCFA-3F7379348227}"/>
    <cellStyle name="SAPBEXfilterText 3 3 2 9" xfId="13280" xr:uid="{9045DE43-0E80-4239-A28F-531E661436A1}"/>
    <cellStyle name="SAPBEXfilterText 3 3 2 9 2" xfId="13281" xr:uid="{1D94ACE1-A4F7-4898-BD43-876FA3A5C746}"/>
    <cellStyle name="SAPBEXfilterText 3 3 3" xfId="13282" xr:uid="{F0FDBE42-DAD8-4BAA-86CE-41DF5F295A09}"/>
    <cellStyle name="SAPBEXfilterText 3 3 3 10" xfId="13283" xr:uid="{8007ECB9-34A3-48DC-844A-F959BDD74861}"/>
    <cellStyle name="SAPBEXfilterText 3 3 3 10 2" xfId="13284" xr:uid="{112BAE79-4992-4E09-949D-47B3630BBDEA}"/>
    <cellStyle name="SAPBEXfilterText 3 3 3 11" xfId="13285" xr:uid="{64A3149D-F55F-474B-A681-FA320723ECF3}"/>
    <cellStyle name="SAPBEXfilterText 3 3 3 11 2" xfId="13286" xr:uid="{921CDAEA-5029-495C-AAF5-0F7B7A5B842A}"/>
    <cellStyle name="SAPBEXfilterText 3 3 3 12" xfId="13287" xr:uid="{CA223DA6-5671-4492-BF76-0206F19B9F48}"/>
    <cellStyle name="SAPBEXfilterText 3 3 3 12 2" xfId="13288" xr:uid="{BB81436D-CD88-4426-8B66-8FA95EA7DD05}"/>
    <cellStyle name="SAPBEXfilterText 3 3 3 13" xfId="13289" xr:uid="{F27BF6A5-B436-4BE4-A523-A15524A82A74}"/>
    <cellStyle name="SAPBEXfilterText 3 3 3 13 2" xfId="13290" xr:uid="{6AFA913A-C22F-474C-B90C-0F27C8A3B835}"/>
    <cellStyle name="SAPBEXfilterText 3 3 3 14" xfId="13291" xr:uid="{A64AAABF-62C4-475C-AB0C-1F61F16E02FF}"/>
    <cellStyle name="SAPBEXfilterText 3 3 3 14 2" xfId="13292" xr:uid="{F87861E2-A08A-472C-B5CB-C25B144518C5}"/>
    <cellStyle name="SAPBEXfilterText 3 3 3 15" xfId="13293" xr:uid="{78AD28A8-40DE-41E6-8825-1FE829F93F30}"/>
    <cellStyle name="SAPBEXfilterText 3 3 3 15 2" xfId="13294" xr:uid="{51DEE053-F468-492A-AF77-37FDAABC8677}"/>
    <cellStyle name="SAPBEXfilterText 3 3 3 16" xfId="13295" xr:uid="{9138A10E-F041-4A81-B65F-8A3185B5E28C}"/>
    <cellStyle name="SAPBEXfilterText 3 3 3 2" xfId="13296" xr:uid="{72353B7D-5FDE-4FC7-A29B-A764ECD107B3}"/>
    <cellStyle name="SAPBEXfilterText 3 3 3 2 2" xfId="13297" xr:uid="{9B1B69DE-BF68-4F68-AA4A-C4857FAF2D81}"/>
    <cellStyle name="SAPBEXfilterText 3 3 3 3" xfId="13298" xr:uid="{2FFDA501-C55B-4947-9BFF-0BCF95231C17}"/>
    <cellStyle name="SAPBEXfilterText 3 3 3 3 2" xfId="13299" xr:uid="{F6F02932-C505-4BD3-85C0-EBC9FA6936A4}"/>
    <cellStyle name="SAPBEXfilterText 3 3 3 4" xfId="13300" xr:uid="{6048766C-BC2D-4DA4-B995-CE892F57EB2C}"/>
    <cellStyle name="SAPBEXfilterText 3 3 3 4 2" xfId="13301" xr:uid="{E1F3431A-AB50-4FC6-9F81-3777FA9D0DAB}"/>
    <cellStyle name="SAPBEXfilterText 3 3 3 5" xfId="13302" xr:uid="{067AE47D-6708-4FF2-AEE4-D5E4C9E4A571}"/>
    <cellStyle name="SAPBEXfilterText 3 3 3 5 2" xfId="13303" xr:uid="{C2BD72F9-1EB0-4080-9AE5-E8801BFB7058}"/>
    <cellStyle name="SAPBEXfilterText 3 3 3 6" xfId="13304" xr:uid="{11232B30-D25E-4908-8773-102597DE3854}"/>
    <cellStyle name="SAPBEXfilterText 3 3 3 6 2" xfId="13305" xr:uid="{EBE5C86C-B090-40F3-8551-CA956E7E3A55}"/>
    <cellStyle name="SAPBEXfilterText 3 3 3 7" xfId="13306" xr:uid="{B3E46E27-141D-40FC-895B-73E8C12AA6A7}"/>
    <cellStyle name="SAPBEXfilterText 3 3 3 7 2" xfId="13307" xr:uid="{7B8A8704-D63F-49F8-9AF8-09D9DBAF8676}"/>
    <cellStyle name="SAPBEXfilterText 3 3 3 8" xfId="13308" xr:uid="{8B95D4BF-FACD-4701-A296-1B6526253F42}"/>
    <cellStyle name="SAPBEXfilterText 3 3 3 8 2" xfId="13309" xr:uid="{344FA1FF-24B1-4B84-B5BC-B8E221A06598}"/>
    <cellStyle name="SAPBEXfilterText 3 3 3 9" xfId="13310" xr:uid="{3EC164D4-C4B3-4937-926B-B375C46A18A9}"/>
    <cellStyle name="SAPBEXfilterText 3 3 3 9 2" xfId="13311" xr:uid="{6AAA42E7-D8CE-4C24-A167-107B12799187}"/>
    <cellStyle name="SAPBEXfilterText 3 3 4" xfId="13312" xr:uid="{7763092F-83AE-47B9-87AD-412BA8146C75}"/>
    <cellStyle name="SAPBEXfilterText 3 3 4 2" xfId="13313" xr:uid="{37691A8A-7A4E-4F1D-B452-8A67C2D2ABBC}"/>
    <cellStyle name="SAPBEXfilterText 3 3 5" xfId="13314" xr:uid="{93A9B54D-5D8B-4B7F-BCB7-3257AC9BC5D7}"/>
    <cellStyle name="SAPBEXfilterText 3 3 5 2" xfId="13315" xr:uid="{AF4544E4-E2D6-4953-BE57-AD4681F0D5AC}"/>
    <cellStyle name="SAPBEXfilterText 3 3 6" xfId="13316" xr:uid="{1EF9D73D-D51C-43A0-8D7D-EDB638124D69}"/>
    <cellStyle name="SAPBEXfilterText 3 3 6 2" xfId="13317" xr:uid="{75C8D482-4428-4305-B416-CE7238C07702}"/>
    <cellStyle name="SAPBEXfilterText 3 3 7" xfId="13318" xr:uid="{549636E5-3142-47F7-9FD0-2D85BE88A3E2}"/>
    <cellStyle name="SAPBEXfilterText 3 3 7 2" xfId="13319" xr:uid="{F764BEC0-8E85-4D9B-986A-23B988E80D6B}"/>
    <cellStyle name="SAPBEXfilterText 3 3 8" xfId="13320" xr:uid="{255A5919-FD71-4060-B554-B9C008CD3905}"/>
    <cellStyle name="SAPBEXfilterText 3 3 8 2" xfId="13321" xr:uid="{E0ABE102-93B8-44B7-807B-1964F158F916}"/>
    <cellStyle name="SAPBEXfilterText 3 3 9" xfId="13322" xr:uid="{E068B9B5-3939-49FC-9F6D-D110785E3397}"/>
    <cellStyle name="SAPBEXfilterText 3 3 9 2" xfId="13323" xr:uid="{67095676-E0F2-4C69-852D-DEBA6216A14B}"/>
    <cellStyle name="SAPBEXfilterText 3 4" xfId="13324" xr:uid="{9E077796-8E9F-4C5A-9264-23FCFEAD7E2D}"/>
    <cellStyle name="SAPBEXfilterText 3 4 10" xfId="13325" xr:uid="{9FEAC660-21C4-4A04-B6C6-2D07AD180F25}"/>
    <cellStyle name="SAPBEXfilterText 3 4 10 2" xfId="13326" xr:uid="{0C8873A2-EDE0-4D4C-AD35-A66731AD2D55}"/>
    <cellStyle name="SAPBEXfilterText 3 4 11" xfId="13327" xr:uid="{49453D1D-DF0A-4565-BC27-193ADD3092DE}"/>
    <cellStyle name="SAPBEXfilterText 3 4 11 2" xfId="13328" xr:uid="{563DCA28-1981-41C3-AAF8-6B95C53090D5}"/>
    <cellStyle name="SAPBEXfilterText 3 4 12" xfId="13329" xr:uid="{D0295EA4-9C18-40EC-A8C6-785506ECE82F}"/>
    <cellStyle name="SAPBEXfilterText 3 4 12 2" xfId="13330" xr:uid="{0E435DD6-7B49-49FB-92C2-2125006A59D1}"/>
    <cellStyle name="SAPBEXfilterText 3 4 13" xfId="13331" xr:uid="{FD905FC6-28DC-4D64-AB37-1C0BAF6068D2}"/>
    <cellStyle name="SAPBEXfilterText 3 4 13 2" xfId="13332" xr:uid="{1BA92A06-53EC-4748-9321-6F25BFE12C60}"/>
    <cellStyle name="SAPBEXfilterText 3 4 14" xfId="13333" xr:uid="{A2794FFC-F59B-4440-B09E-F1F28B72C704}"/>
    <cellStyle name="SAPBEXfilterText 3 4 14 2" xfId="13334" xr:uid="{2E90DB10-4445-4BFC-ADA5-5F4F05355DB0}"/>
    <cellStyle name="SAPBEXfilterText 3 4 15" xfId="13335" xr:uid="{23641A59-4189-4BD7-A894-E30CFC393F9D}"/>
    <cellStyle name="SAPBEXfilterText 3 4 15 2" xfId="13336" xr:uid="{701123F2-667F-4306-B36B-BDB7EF99E23A}"/>
    <cellStyle name="SAPBEXfilterText 3 4 16" xfId="13337" xr:uid="{6A2BC8C7-8B94-473B-A2DA-644BB51A8158}"/>
    <cellStyle name="SAPBEXfilterText 3 4 16 2" xfId="13338" xr:uid="{FCC7973B-B828-4B90-A474-95C5E4BAA86C}"/>
    <cellStyle name="SAPBEXfilterText 3 4 17" xfId="13339" xr:uid="{68A95998-8120-41C9-BFFE-8C4F844A33D1}"/>
    <cellStyle name="SAPBEXfilterText 3 4 17 2" xfId="13340" xr:uid="{104EC1A2-A738-4237-BA76-03E657BDE241}"/>
    <cellStyle name="SAPBEXfilterText 3 4 18" xfId="13341" xr:uid="{514C6FB2-5918-4E14-B427-5F7A3EBB1B55}"/>
    <cellStyle name="SAPBEXfilterText 3 4 2" xfId="13342" xr:uid="{563D47D1-B3D1-4436-9C71-2F48AEBF0782}"/>
    <cellStyle name="SAPBEXfilterText 3 4 2 10" xfId="13343" xr:uid="{85FFE78F-3663-4A4C-AFDE-BB6D4E5BA870}"/>
    <cellStyle name="SAPBEXfilterText 3 4 2 10 2" xfId="13344" xr:uid="{0E74615E-E014-4B88-B099-6CBF58A94834}"/>
    <cellStyle name="SAPBEXfilterText 3 4 2 11" xfId="13345" xr:uid="{902C6B46-8063-44F0-880E-3E5394756979}"/>
    <cellStyle name="SAPBEXfilterText 3 4 2 11 2" xfId="13346" xr:uid="{1494F822-CBA8-41AB-8312-B823295C16DE}"/>
    <cellStyle name="SAPBEXfilterText 3 4 2 12" xfId="13347" xr:uid="{84753FCC-05EA-4ABB-A4F0-64E0AFE7300E}"/>
    <cellStyle name="SAPBEXfilterText 3 4 2 12 2" xfId="13348" xr:uid="{2BF462BE-1024-4123-959A-76E0ECD6E487}"/>
    <cellStyle name="SAPBEXfilterText 3 4 2 13" xfId="13349" xr:uid="{819078C5-4233-487A-B630-C5C92918369B}"/>
    <cellStyle name="SAPBEXfilterText 3 4 2 13 2" xfId="13350" xr:uid="{7E0F2BD8-93EC-4962-8D7D-8B8A3FC3A659}"/>
    <cellStyle name="SAPBEXfilterText 3 4 2 14" xfId="13351" xr:uid="{9196D4A4-1DA7-4EC6-B4EE-43C4635859C0}"/>
    <cellStyle name="SAPBEXfilterText 3 4 2 14 2" xfId="13352" xr:uid="{62721BB0-DFB4-4E16-AD43-81BB076985B7}"/>
    <cellStyle name="SAPBEXfilterText 3 4 2 15" xfId="13353" xr:uid="{DBB30AAD-D025-4378-9015-63F2F951A3FA}"/>
    <cellStyle name="SAPBEXfilterText 3 4 2 15 2" xfId="13354" xr:uid="{CB8BF106-D26E-444A-9FB4-D0C5F2FC456F}"/>
    <cellStyle name="SAPBEXfilterText 3 4 2 16" xfId="13355" xr:uid="{2C199B6B-0C8D-480B-A8B5-9D29C3D1FBCB}"/>
    <cellStyle name="SAPBEXfilterText 3 4 2 2" xfId="13356" xr:uid="{E3375245-3942-4023-94C3-BE400F59970F}"/>
    <cellStyle name="SAPBEXfilterText 3 4 2 2 2" xfId="13357" xr:uid="{CD3744F8-53FC-479C-A889-D590D856730A}"/>
    <cellStyle name="SAPBEXfilterText 3 4 2 3" xfId="13358" xr:uid="{E5153B80-4C07-4C8F-8A4E-1992B37C60F7}"/>
    <cellStyle name="SAPBEXfilterText 3 4 2 3 2" xfId="13359" xr:uid="{19A98944-BE0F-4112-8FA5-2973F4592213}"/>
    <cellStyle name="SAPBEXfilterText 3 4 2 4" xfId="13360" xr:uid="{734B1D65-ED1E-474B-8D34-AB0052199F16}"/>
    <cellStyle name="SAPBEXfilterText 3 4 2 4 2" xfId="13361" xr:uid="{0546E18E-ECC3-4532-960B-B517CD46FF38}"/>
    <cellStyle name="SAPBEXfilterText 3 4 2 5" xfId="13362" xr:uid="{2B9662F0-8E39-4FB5-89ED-F85ED08182E7}"/>
    <cellStyle name="SAPBEXfilterText 3 4 2 5 2" xfId="13363" xr:uid="{C0320EB3-F462-42BA-8B7F-560C31AD1CF3}"/>
    <cellStyle name="SAPBEXfilterText 3 4 2 6" xfId="13364" xr:uid="{B604AE9A-1F15-43D5-9A5D-D21B65B8D8C3}"/>
    <cellStyle name="SAPBEXfilterText 3 4 2 6 2" xfId="13365" xr:uid="{707C673A-F137-49B8-BBCD-8D5D5578D162}"/>
    <cellStyle name="SAPBEXfilterText 3 4 2 7" xfId="13366" xr:uid="{EC91414A-B911-43A3-A382-CB6749ED790C}"/>
    <cellStyle name="SAPBEXfilterText 3 4 2 7 2" xfId="13367" xr:uid="{909A78C8-8859-49CE-9E51-DEE6D6656F71}"/>
    <cellStyle name="SAPBEXfilterText 3 4 2 8" xfId="13368" xr:uid="{0DCF035A-587B-4158-B948-D35D9C293495}"/>
    <cellStyle name="SAPBEXfilterText 3 4 2 8 2" xfId="13369" xr:uid="{C86B6766-6E91-4A28-A3DC-B709309BCA93}"/>
    <cellStyle name="SAPBEXfilterText 3 4 2 9" xfId="13370" xr:uid="{014D03D2-D0DB-43E4-A728-B85302F53835}"/>
    <cellStyle name="SAPBEXfilterText 3 4 2 9 2" xfId="13371" xr:uid="{33B62994-829C-4624-B99E-AF43D1A7F55E}"/>
    <cellStyle name="SAPBEXfilterText 3 4 3" xfId="13372" xr:uid="{9F78500D-D102-4F19-A518-989648100110}"/>
    <cellStyle name="SAPBEXfilterText 3 4 3 10" xfId="13373" xr:uid="{BAE482F8-3667-4282-B965-9378B6C7DCF6}"/>
    <cellStyle name="SAPBEXfilterText 3 4 3 10 2" xfId="13374" xr:uid="{F9AB20D6-C035-40BC-86B5-CFFC30CB3FDA}"/>
    <cellStyle name="SAPBEXfilterText 3 4 3 11" xfId="13375" xr:uid="{A5BBE406-58FE-4570-A8FA-F0012581E267}"/>
    <cellStyle name="SAPBEXfilterText 3 4 3 11 2" xfId="13376" xr:uid="{870AFF86-2449-49E8-9790-5E46273595A4}"/>
    <cellStyle name="SAPBEXfilterText 3 4 3 12" xfId="13377" xr:uid="{BBFF507C-84D9-4672-BDF4-59949D51553F}"/>
    <cellStyle name="SAPBEXfilterText 3 4 3 12 2" xfId="13378" xr:uid="{2A4BF89C-5EBB-4878-9F2B-852AC623D28F}"/>
    <cellStyle name="SAPBEXfilterText 3 4 3 13" xfId="13379" xr:uid="{D7EE0DFD-61A9-4BA7-B82F-B1DFD23C9E69}"/>
    <cellStyle name="SAPBEXfilterText 3 4 3 13 2" xfId="13380" xr:uid="{03987E51-B42C-4105-B8A2-83E7240C3D83}"/>
    <cellStyle name="SAPBEXfilterText 3 4 3 14" xfId="13381" xr:uid="{B7BF2687-4B60-4945-B112-B690FC6BFBEF}"/>
    <cellStyle name="SAPBEXfilterText 3 4 3 14 2" xfId="13382" xr:uid="{0ABDD76D-637C-4A59-A1DA-750D146DB116}"/>
    <cellStyle name="SAPBEXfilterText 3 4 3 15" xfId="13383" xr:uid="{BD307A2E-6610-4E25-AEE8-DDBBC38CC210}"/>
    <cellStyle name="SAPBEXfilterText 3 4 3 15 2" xfId="13384" xr:uid="{EE4D38AA-4F09-4885-92A4-83CA9FEB91B5}"/>
    <cellStyle name="SAPBEXfilterText 3 4 3 16" xfId="13385" xr:uid="{477B86EC-5C2B-40F0-99DE-AF95EE7A484B}"/>
    <cellStyle name="SAPBEXfilterText 3 4 3 2" xfId="13386" xr:uid="{B730D293-DE9B-43F7-8DC9-E440AB5DB963}"/>
    <cellStyle name="SAPBEXfilterText 3 4 3 2 2" xfId="13387" xr:uid="{7C7902E1-D477-4C3E-91B6-7B35D8C75516}"/>
    <cellStyle name="SAPBEXfilterText 3 4 3 3" xfId="13388" xr:uid="{9C1BA6A1-391F-4FE6-A615-FB1490A894B1}"/>
    <cellStyle name="SAPBEXfilterText 3 4 3 3 2" xfId="13389" xr:uid="{BCF4D1B6-DFA1-481C-8756-106F58EA428A}"/>
    <cellStyle name="SAPBEXfilterText 3 4 3 4" xfId="13390" xr:uid="{C6C3C206-3A85-4E90-914C-41F690D8015B}"/>
    <cellStyle name="SAPBEXfilterText 3 4 3 4 2" xfId="13391" xr:uid="{9D5E1FC2-9E9F-4D30-96E2-AAE1537E70F7}"/>
    <cellStyle name="SAPBEXfilterText 3 4 3 5" xfId="13392" xr:uid="{E48DCD04-7EA2-4F66-818E-E5A5DF309694}"/>
    <cellStyle name="SAPBEXfilterText 3 4 3 5 2" xfId="13393" xr:uid="{6B428FE1-8CBF-47B6-87B9-F20265731C60}"/>
    <cellStyle name="SAPBEXfilterText 3 4 3 6" xfId="13394" xr:uid="{FF6B0978-2F91-497B-B69A-F1D0F1C4E1FD}"/>
    <cellStyle name="SAPBEXfilterText 3 4 3 6 2" xfId="13395" xr:uid="{527B6257-FACC-4945-A02D-724D3D0BBB4A}"/>
    <cellStyle name="SAPBEXfilterText 3 4 3 7" xfId="13396" xr:uid="{78BE7B71-8FB3-42B2-BE5E-294EE690DD54}"/>
    <cellStyle name="SAPBEXfilterText 3 4 3 7 2" xfId="13397" xr:uid="{5090CE18-080D-4BA4-BFF3-865A61F72A1C}"/>
    <cellStyle name="SAPBEXfilterText 3 4 3 8" xfId="13398" xr:uid="{39BF23BC-F862-4DBE-8434-D6B531D8F5C6}"/>
    <cellStyle name="SAPBEXfilterText 3 4 3 8 2" xfId="13399" xr:uid="{6545580B-C9E7-4A05-ADAC-DA4BAD99C476}"/>
    <cellStyle name="SAPBEXfilterText 3 4 3 9" xfId="13400" xr:uid="{38883645-565B-40FD-92BA-9203C85A7C96}"/>
    <cellStyle name="SAPBEXfilterText 3 4 3 9 2" xfId="13401" xr:uid="{07CFEF9B-7B9C-496C-ADF1-2854E4E5755B}"/>
    <cellStyle name="SAPBEXfilterText 3 4 4" xfId="13402" xr:uid="{0ABBFFB1-74A7-4BCA-A537-B6C7FE431195}"/>
    <cellStyle name="SAPBEXfilterText 3 4 4 2" xfId="13403" xr:uid="{589FFAC0-D62E-49CB-BF2E-3EB68D24461B}"/>
    <cellStyle name="SAPBEXfilterText 3 4 5" xfId="13404" xr:uid="{F0F1EF82-0924-4507-A9A7-6AC98C2F4E6A}"/>
    <cellStyle name="SAPBEXfilterText 3 4 5 2" xfId="13405" xr:uid="{B4884F16-B4CF-4E44-AFB6-FC31FA1843E1}"/>
    <cellStyle name="SAPBEXfilterText 3 4 6" xfId="13406" xr:uid="{6F90D1C2-BB15-4950-A063-E49F47490C66}"/>
    <cellStyle name="SAPBEXfilterText 3 4 6 2" xfId="13407" xr:uid="{1725C3A8-7C8C-45C8-9DC6-9DDC008DF2AB}"/>
    <cellStyle name="SAPBEXfilterText 3 4 7" xfId="13408" xr:uid="{0E17E8C3-C7B9-4AFA-A121-FE2672B3A62D}"/>
    <cellStyle name="SAPBEXfilterText 3 4 7 2" xfId="13409" xr:uid="{27D71879-0D0B-4EE3-9C9E-501934A6B793}"/>
    <cellStyle name="SAPBEXfilterText 3 4 8" xfId="13410" xr:uid="{06E7D108-C472-40C0-B1BA-6339B6154737}"/>
    <cellStyle name="SAPBEXfilterText 3 4 8 2" xfId="13411" xr:uid="{3B55FDCF-056E-479E-9723-51B72F741672}"/>
    <cellStyle name="SAPBEXfilterText 3 4 9" xfId="13412" xr:uid="{CF32ABF2-40F8-40A9-BAC2-13114B26E24B}"/>
    <cellStyle name="SAPBEXfilterText 3 4 9 2" xfId="13413" xr:uid="{CD72B62C-2908-4296-8B01-722215FEC456}"/>
    <cellStyle name="SAPBEXfilterText 3 5" xfId="13414" xr:uid="{EBDA15AE-85F3-4E80-9928-77D95F5457B6}"/>
    <cellStyle name="SAPBEXfilterText 3 5 2" xfId="13415" xr:uid="{E4B27D02-C191-4887-8236-D43C5FDDD76D}"/>
    <cellStyle name="SAPBEXfilterText 3 6" xfId="13416" xr:uid="{E71BA480-2053-483B-BE64-44AD01FCAAA9}"/>
    <cellStyle name="SAPBEXfilterText 3 6 2" xfId="13417" xr:uid="{0B37AC1F-03B2-409F-B7AB-0DBFAE4F7C36}"/>
    <cellStyle name="SAPBEXfilterText 3 7" xfId="13418" xr:uid="{93232242-9848-4E03-AB0C-832C073AB1CB}"/>
    <cellStyle name="SAPBEXfilterText 3 7 2" xfId="13419" xr:uid="{2B850E89-111D-4C6D-8996-DE9F3AFC80F7}"/>
    <cellStyle name="SAPBEXfilterText 3 8" xfId="13420" xr:uid="{4556AEC6-A5BD-4AAD-B18A-BB6FB69E5D49}"/>
    <cellStyle name="SAPBEXfilterText 3 8 2" xfId="13421" xr:uid="{92CA8287-37B1-4C22-931C-A51E0F2EE00A}"/>
    <cellStyle name="SAPBEXfilterText 3 9" xfId="13422" xr:uid="{51A705F0-7E0C-452B-9D35-37F127D310FC}"/>
    <cellStyle name="SAPBEXfilterText 3 9 2" xfId="13423" xr:uid="{E69CAA92-A88A-47F0-93F4-E9E5381A62C4}"/>
    <cellStyle name="SAPBEXfilterText 4" xfId="13424" xr:uid="{5DFD50F5-F53B-436B-9A7B-A285CC153931}"/>
    <cellStyle name="SAPBEXfilterText 5" xfId="13425" xr:uid="{C5ED15B1-E436-4AE3-AC0B-B9B418BA35FD}"/>
    <cellStyle name="SAPBEXfilterText_T1 ANSP" xfId="12823" xr:uid="{927BBB09-858B-40F5-BECF-C414B704705C}"/>
    <cellStyle name="SAPBEXformats" xfId="743" xr:uid="{00000000-0005-0000-0000-000082050000}"/>
    <cellStyle name="SAPBEXformats 10" xfId="13427" xr:uid="{B2BCBD64-40EB-44B5-B705-32165C4BDECF}"/>
    <cellStyle name="SAPBEXformats 10 2" xfId="13428" xr:uid="{EDAC357D-470B-4943-B612-CAA29FC7F8F3}"/>
    <cellStyle name="SAPBEXformats 11" xfId="13429" xr:uid="{D7E13F74-1F40-4FCA-9CA7-7254635ACFCC}"/>
    <cellStyle name="SAPBEXformats 11 2" xfId="13430" xr:uid="{E1CF6222-FA31-4533-8E86-5B07D2E5D044}"/>
    <cellStyle name="SAPBEXformats 12" xfId="13431" xr:uid="{52ECC184-3631-4B4F-88C1-85E4AF37779F}"/>
    <cellStyle name="SAPBEXformats 12 2" xfId="13432" xr:uid="{06497241-01B8-4DCF-9E21-F9FF2C791E64}"/>
    <cellStyle name="SAPBEXformats 13" xfId="13433" xr:uid="{C66EF998-91DF-4D04-9A76-FFDAFC285558}"/>
    <cellStyle name="SAPBEXformats 13 2" xfId="13434" xr:uid="{C42B05B4-BD13-4707-950C-BA11DB11DB13}"/>
    <cellStyle name="SAPBEXformats 14" xfId="13435" xr:uid="{D466011B-B9FB-491F-9852-0888CF5E98BE}"/>
    <cellStyle name="SAPBEXformats 14 2" xfId="13436" xr:uid="{E0D03854-31D0-4A0F-9D37-79BC5B153B70}"/>
    <cellStyle name="SAPBEXformats 15" xfId="13437" xr:uid="{9EC35513-964A-4D06-923A-13C69946CF68}"/>
    <cellStyle name="SAPBEXformats 15 2" xfId="13438" xr:uid="{73C024B3-2331-4324-92F0-FFC6C927D09E}"/>
    <cellStyle name="SAPBEXformats 16" xfId="13439" xr:uid="{390BC92F-5AFD-4EF4-BC8A-FA27B5DF31C3}"/>
    <cellStyle name="SAPBEXformats 16 2" xfId="13440" xr:uid="{80AEAA43-47F1-4BFC-A7F1-4CEBC2D56087}"/>
    <cellStyle name="SAPBEXformats 17" xfId="13441" xr:uid="{CFCD0298-C715-4429-AD32-6FDD94C4455D}"/>
    <cellStyle name="SAPBEXformats 17 2" xfId="13442" xr:uid="{897F32E8-215C-45C8-AEB6-C560A833AD2A}"/>
    <cellStyle name="SAPBEXformats 18" xfId="13443" xr:uid="{2B3A9B70-6C35-45EF-9202-9A5541BDFA46}"/>
    <cellStyle name="SAPBEXformats 18 2" xfId="13444" xr:uid="{8C45ADF1-20DD-47E9-969A-793DE17003AF}"/>
    <cellStyle name="SAPBEXformats 19" xfId="13445" xr:uid="{A9F24F5C-44E0-4A4F-AC92-1E74FD221B0E}"/>
    <cellStyle name="SAPBEXformats 19 2" xfId="13446" xr:uid="{41622605-CF0C-4524-93F8-D40C53B3B3D3}"/>
    <cellStyle name="SAPBEXformats 2" xfId="1557" xr:uid="{00000000-0005-0000-0000-000083050000}"/>
    <cellStyle name="SAPBEXformats 2 10" xfId="13448" xr:uid="{58D85132-20AA-4957-8643-85FE89D78FC2}"/>
    <cellStyle name="SAPBEXformats 2 10 2" xfId="13449" xr:uid="{DBDD56CF-DACB-4627-B436-930EDC53856A}"/>
    <cellStyle name="SAPBEXformats 2 11" xfId="13450" xr:uid="{5342D6C6-6F92-40B6-9FEC-5ACA5D329DFA}"/>
    <cellStyle name="SAPBEXformats 2 11 2" xfId="13451" xr:uid="{2CB5705E-C6A8-4E07-AD89-7E9AC61FB8B5}"/>
    <cellStyle name="SAPBEXformats 2 12" xfId="13452" xr:uid="{9E9D171E-CF5D-47DE-BE59-BA1AA1894A3E}"/>
    <cellStyle name="SAPBEXformats 2 12 2" xfId="13453" xr:uid="{6AC769B2-8B80-4B05-82DE-6C79288C3563}"/>
    <cellStyle name="SAPBEXformats 2 13" xfId="13454" xr:uid="{2E3C9111-8E1C-4F35-90D7-F571B6AB8073}"/>
    <cellStyle name="SAPBEXformats 2 13 2" xfId="13455" xr:uid="{5E539997-29F7-4A45-931E-D96C351E114B}"/>
    <cellStyle name="SAPBEXformats 2 14" xfId="13456" xr:uid="{675E72A2-DE0D-4F72-84A1-937FAF6B25F6}"/>
    <cellStyle name="SAPBEXformats 2 14 2" xfId="13457" xr:uid="{44A44BBA-2B2B-4764-ACA9-7D3413CE1199}"/>
    <cellStyle name="SAPBEXformats 2 15" xfId="13458" xr:uid="{AF81B672-9B06-4CE2-AE24-6399386BE0D0}"/>
    <cellStyle name="SAPBEXformats 2 15 2" xfId="13459" xr:uid="{62C64EA0-406C-4BDA-847F-8D71AEE45570}"/>
    <cellStyle name="SAPBEXformats 2 16" xfId="13460" xr:uid="{F05FAA0D-832A-4445-91CC-5B153743B628}"/>
    <cellStyle name="SAPBEXformats 2 16 2" xfId="13461" xr:uid="{5EC72FE1-8977-41C1-B443-C5FC6E40235F}"/>
    <cellStyle name="SAPBEXformats 2 17" xfId="13462" xr:uid="{A8248BEB-B87F-446A-8557-3A795AEF5F66}"/>
    <cellStyle name="SAPBEXformats 2 17 2" xfId="13463" xr:uid="{14693912-7521-4AC6-95FE-472CD9676345}"/>
    <cellStyle name="SAPBEXformats 2 18" xfId="13464" xr:uid="{5623F190-D84C-4F14-A001-0DA5C30AF380}"/>
    <cellStyle name="SAPBEXformats 2 18 2" xfId="13465" xr:uid="{0B9BE67A-CA89-414D-A6C4-10DB5A8F536F}"/>
    <cellStyle name="SAPBEXformats 2 2" xfId="13466" xr:uid="{8E1A3EF2-B36E-40DD-964A-7544E7624E0B}"/>
    <cellStyle name="SAPBEXformats 2 2 10" xfId="13467" xr:uid="{ACAC3ABE-F77E-42B3-A837-C1062C60A68E}"/>
    <cellStyle name="SAPBEXformats 2 2 10 2" xfId="13468" xr:uid="{DC27887F-EC74-4B2F-8A92-A66B7EA5A68C}"/>
    <cellStyle name="SAPBEXformats 2 2 11" xfId="13469" xr:uid="{D32BB314-CEBB-4DFF-A480-9472472C8675}"/>
    <cellStyle name="SAPBEXformats 2 2 11 2" xfId="13470" xr:uid="{3650B1A5-6075-4F42-81AF-64FD70D181F8}"/>
    <cellStyle name="SAPBEXformats 2 2 12" xfId="13471" xr:uid="{530F380C-E51D-44FA-883C-500845BA40A1}"/>
    <cellStyle name="SAPBEXformats 2 2 12 2" xfId="13472" xr:uid="{C880967F-2616-4FBC-80D3-D4687E751DB7}"/>
    <cellStyle name="SAPBEXformats 2 2 13" xfId="13473" xr:uid="{76099981-7214-4075-A642-FC4DF6E0124E}"/>
    <cellStyle name="SAPBEXformats 2 2 13 2" xfId="13474" xr:uid="{3940CC86-BB9D-4612-935F-3E02A814873D}"/>
    <cellStyle name="SAPBEXformats 2 2 14" xfId="13475" xr:uid="{0F592A02-D01F-4928-95E9-0DD6206E3A13}"/>
    <cellStyle name="SAPBEXformats 2 2 14 2" xfId="13476" xr:uid="{43128F92-65A8-430B-9459-0DAF61B339C7}"/>
    <cellStyle name="SAPBEXformats 2 2 15" xfId="13477" xr:uid="{510AD176-D527-40D7-AC24-0120CCE9B016}"/>
    <cellStyle name="SAPBEXformats 2 2 15 2" xfId="13478" xr:uid="{80EBACC2-F8E7-4DB4-95D7-7E676F110B33}"/>
    <cellStyle name="SAPBEXformats 2 2 16" xfId="13479" xr:uid="{646586BE-5946-41BF-B322-41DEC11D76A4}"/>
    <cellStyle name="SAPBEXformats 2 2 16 2" xfId="13480" xr:uid="{A11BACA0-71BA-4EF2-A503-9D8515143908}"/>
    <cellStyle name="SAPBEXformats 2 2 17" xfId="13481" xr:uid="{670E3E84-8CB6-49E8-870B-27BE4A739FC4}"/>
    <cellStyle name="SAPBEXformats 2 2 17 2" xfId="13482" xr:uid="{3E59EFDC-D89B-4AF1-80DA-95A418DF5072}"/>
    <cellStyle name="SAPBEXformats 2 2 2" xfId="13483" xr:uid="{65934369-4536-42C8-98FE-637F76B2521E}"/>
    <cellStyle name="SAPBEXformats 2 2 2 10" xfId="13484" xr:uid="{50BC06FE-6927-4C93-9DAA-E1C8D2F7E578}"/>
    <cellStyle name="SAPBEXformats 2 2 2 10 2" xfId="13485" xr:uid="{3AE87BC4-DE19-41DA-BB0F-33328B18656B}"/>
    <cellStyle name="SAPBEXformats 2 2 2 11" xfId="13486" xr:uid="{D2752463-E4B3-452B-9475-82FF974350E2}"/>
    <cellStyle name="SAPBEXformats 2 2 2 11 2" xfId="13487" xr:uid="{21B401A1-9F63-4F9D-A903-20EE4A82AF8B}"/>
    <cellStyle name="SAPBEXformats 2 2 2 12" xfId="13488" xr:uid="{9AE34C09-7F79-4C33-BC7F-18E83FC259EA}"/>
    <cellStyle name="SAPBEXformats 2 2 2 12 2" xfId="13489" xr:uid="{A1D681A8-55AA-4B36-865A-12EF90B49347}"/>
    <cellStyle name="SAPBEXformats 2 2 2 13" xfId="13490" xr:uid="{19D8F185-3E1E-4C66-94C3-FC1D7946D43E}"/>
    <cellStyle name="SAPBEXformats 2 2 2 13 2" xfId="13491" xr:uid="{D01762B0-EC7B-4742-B697-74881E25F2D5}"/>
    <cellStyle name="SAPBEXformats 2 2 2 14" xfId="13492" xr:uid="{FEEFB95F-DD0F-491B-A8D6-FB1D4F5A1A2B}"/>
    <cellStyle name="SAPBEXformats 2 2 2 14 2" xfId="13493" xr:uid="{B2ED601B-8D45-4D40-9BBC-99754286BC56}"/>
    <cellStyle name="SAPBEXformats 2 2 2 15" xfId="13494" xr:uid="{1BA48998-F4E3-45E9-9DC8-9CC3C823934B}"/>
    <cellStyle name="SAPBEXformats 2 2 2 15 2" xfId="13495" xr:uid="{F2C600C8-EBD3-411C-B547-2A6498AF6CB1}"/>
    <cellStyle name="SAPBEXformats 2 2 2 2" xfId="13496" xr:uid="{284A6B78-89D7-49DE-A70C-CCE64811B18A}"/>
    <cellStyle name="SAPBEXformats 2 2 2 2 2" xfId="13497" xr:uid="{643F52A6-E08E-436B-9268-F474267897B4}"/>
    <cellStyle name="SAPBEXformats 2 2 2 3" xfId="13498" xr:uid="{0DD7F318-D298-4E47-9ECA-FB0420CC0AD2}"/>
    <cellStyle name="SAPBEXformats 2 2 2 3 2" xfId="13499" xr:uid="{174545AE-625F-4E9E-83FC-75CDCE1383C6}"/>
    <cellStyle name="SAPBEXformats 2 2 2 4" xfId="13500" xr:uid="{6214E3D6-AE77-4470-BF22-29DBBEDD5C21}"/>
    <cellStyle name="SAPBEXformats 2 2 2 4 2" xfId="13501" xr:uid="{C6EAD6D8-8461-4F93-9E77-62C76E64211E}"/>
    <cellStyle name="SAPBEXformats 2 2 2 5" xfId="13502" xr:uid="{7F6BA80E-BE70-48B2-9DD0-DE8C577B8BE6}"/>
    <cellStyle name="SAPBEXformats 2 2 2 5 2" xfId="13503" xr:uid="{E701F510-7600-49C1-99AA-17D746B8407C}"/>
    <cellStyle name="SAPBEXformats 2 2 2 6" xfId="13504" xr:uid="{821BC7F6-8176-4B0C-B888-E1FE1043D549}"/>
    <cellStyle name="SAPBEXformats 2 2 2 6 2" xfId="13505" xr:uid="{7E2991F0-C9E8-428D-80AE-E99A0ADC9A37}"/>
    <cellStyle name="SAPBEXformats 2 2 2 7" xfId="13506" xr:uid="{1B9C81E6-DF65-477A-92BD-DBAF3B9DC629}"/>
    <cellStyle name="SAPBEXformats 2 2 2 7 2" xfId="13507" xr:uid="{E7567233-74BC-4D7E-A96D-35A33208886E}"/>
    <cellStyle name="SAPBEXformats 2 2 2 8" xfId="13508" xr:uid="{03248326-13A6-401D-9065-8328D9B2FDC4}"/>
    <cellStyle name="SAPBEXformats 2 2 2 8 2" xfId="13509" xr:uid="{54D1C693-1B59-4B76-9FA7-D7EECFF04775}"/>
    <cellStyle name="SAPBEXformats 2 2 2 9" xfId="13510" xr:uid="{98B14376-9A97-40CA-9C4A-69C39A97FBC7}"/>
    <cellStyle name="SAPBEXformats 2 2 2 9 2" xfId="13511" xr:uid="{8446F632-399F-4002-9B9B-B95AD9B343BD}"/>
    <cellStyle name="SAPBEXformats 2 2 3" xfId="13512" xr:uid="{3CE514AD-CE15-41AB-80FE-B507F2E4D576}"/>
    <cellStyle name="SAPBEXformats 2 2 3 10" xfId="13513" xr:uid="{4B09C815-55DC-4672-B04D-4C819B53326F}"/>
    <cellStyle name="SAPBEXformats 2 2 3 10 2" xfId="13514" xr:uid="{B7561AA6-914A-42DA-A9E9-A4148578DC96}"/>
    <cellStyle name="SAPBEXformats 2 2 3 11" xfId="13515" xr:uid="{90D2F7DB-B031-4BCF-830B-36438115EB45}"/>
    <cellStyle name="SAPBEXformats 2 2 3 11 2" xfId="13516" xr:uid="{F512A9B3-A460-4612-A25A-4C86EA222605}"/>
    <cellStyle name="SAPBEXformats 2 2 3 12" xfId="13517" xr:uid="{B6AADDF7-CCD3-4C14-8B83-18F795A86F99}"/>
    <cellStyle name="SAPBEXformats 2 2 3 12 2" xfId="13518" xr:uid="{32B8F98B-202F-4463-97E5-3E51F2467C1A}"/>
    <cellStyle name="SAPBEXformats 2 2 3 13" xfId="13519" xr:uid="{93DE8482-58A8-4E0C-B741-BC658B89D75B}"/>
    <cellStyle name="SAPBEXformats 2 2 3 13 2" xfId="13520" xr:uid="{873C6502-B146-499F-BBB2-8233F27EBEA2}"/>
    <cellStyle name="SAPBEXformats 2 2 3 14" xfId="13521" xr:uid="{EED1F1D0-5E28-4508-9E0C-B10384E53B7F}"/>
    <cellStyle name="SAPBEXformats 2 2 3 14 2" xfId="13522" xr:uid="{E1646021-BD4D-488D-9CD8-F9C7298FE978}"/>
    <cellStyle name="SAPBEXformats 2 2 3 15" xfId="13523" xr:uid="{3A7FB4AD-D0F7-4FBC-B87F-D784B52DE4AE}"/>
    <cellStyle name="SAPBEXformats 2 2 3 15 2" xfId="13524" xr:uid="{88FB2DC3-E652-43BF-A6A1-8550809948A7}"/>
    <cellStyle name="SAPBEXformats 2 2 3 2" xfId="13525" xr:uid="{A71EED44-C631-4DAE-B315-91E15A4BFBFF}"/>
    <cellStyle name="SAPBEXformats 2 2 3 2 2" xfId="13526" xr:uid="{2CDD04B5-2EF4-4829-9F2B-DB0B54218DEC}"/>
    <cellStyle name="SAPBEXformats 2 2 3 3" xfId="13527" xr:uid="{15B55A7C-5C9A-4422-8F26-38DE3C99E478}"/>
    <cellStyle name="SAPBEXformats 2 2 3 3 2" xfId="13528" xr:uid="{5A06FE78-17DE-4321-BEE9-C9F6D33B21E4}"/>
    <cellStyle name="SAPBEXformats 2 2 3 4" xfId="13529" xr:uid="{5189189A-7297-42E7-8F91-7288AC626369}"/>
    <cellStyle name="SAPBEXformats 2 2 3 4 2" xfId="13530" xr:uid="{C7994959-1CDE-469B-ABEA-AE7A68FC04FB}"/>
    <cellStyle name="SAPBEXformats 2 2 3 5" xfId="13531" xr:uid="{967E0CB2-A195-420D-B287-22FF3AD4FE48}"/>
    <cellStyle name="SAPBEXformats 2 2 3 5 2" xfId="13532" xr:uid="{9904753B-8FC6-4266-B278-6407E1C0467D}"/>
    <cellStyle name="SAPBEXformats 2 2 3 6" xfId="13533" xr:uid="{A930C93A-D452-4A29-B742-36675D9EEAF6}"/>
    <cellStyle name="SAPBEXformats 2 2 3 6 2" xfId="13534" xr:uid="{163B2778-7BEA-4104-A7E3-C1656B750BD3}"/>
    <cellStyle name="SAPBEXformats 2 2 3 7" xfId="13535" xr:uid="{24E2E49D-B556-4482-B164-3A631D453A48}"/>
    <cellStyle name="SAPBEXformats 2 2 3 7 2" xfId="13536" xr:uid="{116C01AA-A62D-4381-B61A-93D60AD8649A}"/>
    <cellStyle name="SAPBEXformats 2 2 3 8" xfId="13537" xr:uid="{638550CD-B74E-4AF2-844C-CCE1240215B7}"/>
    <cellStyle name="SAPBEXformats 2 2 3 8 2" xfId="13538" xr:uid="{3D8C9881-4502-4E26-9353-2CE7C4072FF8}"/>
    <cellStyle name="SAPBEXformats 2 2 3 9" xfId="13539" xr:uid="{62EF7F40-0F44-4494-BA75-DC3A2159DB65}"/>
    <cellStyle name="SAPBEXformats 2 2 3 9 2" xfId="13540" xr:uid="{258B5DBF-4211-4DCF-B7F1-7EB34347AB29}"/>
    <cellStyle name="SAPBEXformats 2 2 4" xfId="13541" xr:uid="{29AC3325-B6E1-4C7E-BC36-BBB23151CAC0}"/>
    <cellStyle name="SAPBEXformats 2 2 4 2" xfId="13542" xr:uid="{B8FF9024-06B6-4C57-B8B5-AD4EAB5B1143}"/>
    <cellStyle name="SAPBEXformats 2 2 5" xfId="13543" xr:uid="{10E4B78E-77BC-4F43-951D-B2A31BFCFC32}"/>
    <cellStyle name="SAPBEXformats 2 2 5 2" xfId="13544" xr:uid="{9666D66E-9F90-4439-B90E-6B3939AAE16B}"/>
    <cellStyle name="SAPBEXformats 2 2 6" xfId="13545" xr:uid="{4A81E2AA-18D7-4D60-9A0B-5D54D170A467}"/>
    <cellStyle name="SAPBEXformats 2 2 6 2" xfId="13546" xr:uid="{C7550015-0052-4541-9B16-B43F3017410B}"/>
    <cellStyle name="SAPBEXformats 2 2 7" xfId="13547" xr:uid="{2E54DD77-83B5-4DE0-844A-2E2110ED962F}"/>
    <cellStyle name="SAPBEXformats 2 2 7 2" xfId="13548" xr:uid="{DA79D486-7BDD-4595-9B12-20B1D0FB401D}"/>
    <cellStyle name="SAPBEXformats 2 2 8" xfId="13549" xr:uid="{870685AA-E841-4140-BFBF-382A7C0969C1}"/>
    <cellStyle name="SAPBEXformats 2 2 8 2" xfId="13550" xr:uid="{7749D4B8-8A50-4F49-B63A-CCA6B9FB6B90}"/>
    <cellStyle name="SAPBEXformats 2 2 9" xfId="13551" xr:uid="{F99FD4DD-FD1F-4B31-A117-96C3D47030E3}"/>
    <cellStyle name="SAPBEXformats 2 2 9 2" xfId="13552" xr:uid="{E4CBF549-6F32-4FA4-81F8-CA3953210DCC}"/>
    <cellStyle name="SAPBEXformats 2 3" xfId="13553" xr:uid="{83E5D1EE-56AC-45E5-B825-C5B3DB4F5279}"/>
    <cellStyle name="SAPBEXformats 2 3 10" xfId="13554" xr:uid="{0B9CE984-E609-470B-A90B-31DBBE92B4F7}"/>
    <cellStyle name="SAPBEXformats 2 3 10 2" xfId="13555" xr:uid="{15AC85C3-2A67-4282-A32C-E6D3D0D0014F}"/>
    <cellStyle name="SAPBEXformats 2 3 11" xfId="13556" xr:uid="{7AEB3970-1B71-41E3-BD61-C8171FDA578C}"/>
    <cellStyle name="SAPBEXformats 2 3 11 2" xfId="13557" xr:uid="{BD7C648A-3CC4-40E2-A06A-4F1E11D816B0}"/>
    <cellStyle name="SAPBEXformats 2 3 12" xfId="13558" xr:uid="{37D9ADB7-938A-477D-9A0A-833E792A158F}"/>
    <cellStyle name="SAPBEXformats 2 3 12 2" xfId="13559" xr:uid="{B84ECAC2-C08D-4F11-A84A-76D0A5B25C3E}"/>
    <cellStyle name="SAPBEXformats 2 3 13" xfId="13560" xr:uid="{9E08A67A-F5C0-4D98-ACB1-E6151BC9D2B1}"/>
    <cellStyle name="SAPBEXformats 2 3 13 2" xfId="13561" xr:uid="{346339AE-179E-4560-A465-B678CA93483C}"/>
    <cellStyle name="SAPBEXformats 2 3 14" xfId="13562" xr:uid="{38CD8101-9E80-4FF3-8BC2-0084F9992996}"/>
    <cellStyle name="SAPBEXformats 2 3 14 2" xfId="13563" xr:uid="{326638D2-7066-416E-9F7D-0E0AF47F9627}"/>
    <cellStyle name="SAPBEXformats 2 3 15" xfId="13564" xr:uid="{AC710E53-07D7-465C-987C-567E7915D046}"/>
    <cellStyle name="SAPBEXformats 2 3 15 2" xfId="13565" xr:uid="{F7482C0C-6FC6-4F60-9B82-E0B63ED43B3A}"/>
    <cellStyle name="SAPBEXformats 2 3 16" xfId="13566" xr:uid="{90EAF0DC-7A9C-4BA5-9CB7-E02E820F3272}"/>
    <cellStyle name="SAPBEXformats 2 3 16 2" xfId="13567" xr:uid="{A938175B-72A2-47AA-9006-83512DE51C83}"/>
    <cellStyle name="SAPBEXformats 2 3 17" xfId="13568" xr:uid="{1DDC4353-F099-4615-B257-0C3DE66C9871}"/>
    <cellStyle name="SAPBEXformats 2 3 17 2" xfId="13569" xr:uid="{00BECE40-A608-4B8C-8494-2E83B8B89EED}"/>
    <cellStyle name="SAPBEXformats 2 3 2" xfId="13570" xr:uid="{92107A31-6B81-4622-BDB2-88208E911EAE}"/>
    <cellStyle name="SAPBEXformats 2 3 2 10" xfId="13571" xr:uid="{CE2795D9-93F6-4ABE-9167-7EAFD6F4EE06}"/>
    <cellStyle name="SAPBEXformats 2 3 2 10 2" xfId="13572" xr:uid="{A547843C-1F07-4628-84D4-DBBB812BFF4A}"/>
    <cellStyle name="SAPBEXformats 2 3 2 11" xfId="13573" xr:uid="{F1BBCA08-A8FE-42EF-B6EB-5CA9D8BE5C94}"/>
    <cellStyle name="SAPBEXformats 2 3 2 11 2" xfId="13574" xr:uid="{7AA182CB-E0D6-4124-9448-FA0985AE0E97}"/>
    <cellStyle name="SAPBEXformats 2 3 2 12" xfId="13575" xr:uid="{E89E45AD-65D9-4F2D-8FC0-E9D805824804}"/>
    <cellStyle name="SAPBEXformats 2 3 2 12 2" xfId="13576" xr:uid="{C1FF35D1-E73C-43BA-B53A-41E3FBD44836}"/>
    <cellStyle name="SAPBEXformats 2 3 2 13" xfId="13577" xr:uid="{D40F19FE-051C-4370-B28A-8C4BF6C874EF}"/>
    <cellStyle name="SAPBEXformats 2 3 2 13 2" xfId="13578" xr:uid="{B7B0B3B5-C43F-4AB3-8D1E-F7C9C9ADEBAC}"/>
    <cellStyle name="SAPBEXformats 2 3 2 14" xfId="13579" xr:uid="{2A9BBBBF-F012-45E1-86CA-1171401D401F}"/>
    <cellStyle name="SAPBEXformats 2 3 2 14 2" xfId="13580" xr:uid="{285CF130-DD53-456B-8777-4E23554AB90A}"/>
    <cellStyle name="SAPBEXformats 2 3 2 15" xfId="13581" xr:uid="{9CDB5699-3ADD-4B9C-8D9F-36430079C103}"/>
    <cellStyle name="SAPBEXformats 2 3 2 15 2" xfId="13582" xr:uid="{D5333535-9BB4-4241-9DAB-985CDD6B0A35}"/>
    <cellStyle name="SAPBEXformats 2 3 2 2" xfId="13583" xr:uid="{37B3A0D5-5765-4168-9D73-12C916F96FF1}"/>
    <cellStyle name="SAPBEXformats 2 3 2 2 2" xfId="13584" xr:uid="{684679F4-26CD-4357-93C2-BD608AF530C5}"/>
    <cellStyle name="SAPBEXformats 2 3 2 3" xfId="13585" xr:uid="{4E431AF9-E456-4E08-BB94-D323F009D1B8}"/>
    <cellStyle name="SAPBEXformats 2 3 2 3 2" xfId="13586" xr:uid="{1495A578-98ED-4F16-B7FF-D552A770368A}"/>
    <cellStyle name="SAPBEXformats 2 3 2 4" xfId="13587" xr:uid="{EC5FB371-EB29-42C7-8B40-CFB6207CCB95}"/>
    <cellStyle name="SAPBEXformats 2 3 2 4 2" xfId="13588" xr:uid="{6D496BBC-805F-48D7-87CC-2357CAF0FE0A}"/>
    <cellStyle name="SAPBEXformats 2 3 2 5" xfId="13589" xr:uid="{2DF8CC0E-7E0D-4B3E-B268-369C9B0BCF9F}"/>
    <cellStyle name="SAPBEXformats 2 3 2 5 2" xfId="13590" xr:uid="{B1967FF8-1646-4BA2-B11F-2D40D036EF2F}"/>
    <cellStyle name="SAPBEXformats 2 3 2 6" xfId="13591" xr:uid="{B5E649D4-A01A-4929-9EA4-58F903815CAA}"/>
    <cellStyle name="SAPBEXformats 2 3 2 6 2" xfId="13592" xr:uid="{88C8895A-6696-455B-ACF3-28D6EE3CB02F}"/>
    <cellStyle name="SAPBEXformats 2 3 2 7" xfId="13593" xr:uid="{04D56639-D2D1-475B-A7FE-47E9A08FB59A}"/>
    <cellStyle name="SAPBEXformats 2 3 2 7 2" xfId="13594" xr:uid="{0520CE54-58A9-414C-9A4D-32DE9BC35D42}"/>
    <cellStyle name="SAPBEXformats 2 3 2 8" xfId="13595" xr:uid="{B0381A35-0016-4D8A-AC2A-43E61DEDBF7D}"/>
    <cellStyle name="SAPBEXformats 2 3 2 8 2" xfId="13596" xr:uid="{6E19C718-75F2-4A87-981A-128999E11F40}"/>
    <cellStyle name="SAPBEXformats 2 3 2 9" xfId="13597" xr:uid="{86508204-9CBC-4FD4-91D7-B5E88C580524}"/>
    <cellStyle name="SAPBEXformats 2 3 2 9 2" xfId="13598" xr:uid="{F56A01A1-0010-4C74-9173-C5B83E6C3C11}"/>
    <cellStyle name="SAPBEXformats 2 3 3" xfId="13599" xr:uid="{04BF6A94-600B-405F-B16A-22BA24E718A0}"/>
    <cellStyle name="SAPBEXformats 2 3 3 10" xfId="13600" xr:uid="{2CD0475D-FFF3-428F-935B-814D4983DF97}"/>
    <cellStyle name="SAPBEXformats 2 3 3 10 2" xfId="13601" xr:uid="{E7ED05A8-3BD1-4D02-995B-87F3806A792F}"/>
    <cellStyle name="SAPBEXformats 2 3 3 11" xfId="13602" xr:uid="{41F99CFF-E40E-4BCD-BF3B-E2E2A225830F}"/>
    <cellStyle name="SAPBEXformats 2 3 3 11 2" xfId="13603" xr:uid="{F8ED9412-B0B8-4FA9-ADA0-286CFD6DC834}"/>
    <cellStyle name="SAPBEXformats 2 3 3 12" xfId="13604" xr:uid="{FB1BE3EA-A564-4F4B-BE3C-F4DB1A5646AD}"/>
    <cellStyle name="SAPBEXformats 2 3 3 12 2" xfId="13605" xr:uid="{D892BFBA-FAD5-438D-BAE4-C03AF12A4278}"/>
    <cellStyle name="SAPBEXformats 2 3 3 13" xfId="13606" xr:uid="{A895F73B-D3FF-4E61-B2FD-0E19546B7E91}"/>
    <cellStyle name="SAPBEXformats 2 3 3 13 2" xfId="13607" xr:uid="{19718E86-C615-44DA-B655-C9FE92168E40}"/>
    <cellStyle name="SAPBEXformats 2 3 3 14" xfId="13608" xr:uid="{6E38C0D7-744A-4C2F-A61F-1FB6554FFF89}"/>
    <cellStyle name="SAPBEXformats 2 3 3 14 2" xfId="13609" xr:uid="{2B23FF70-F2F3-4FBA-86C6-DFADD7FFA7DE}"/>
    <cellStyle name="SAPBEXformats 2 3 3 15" xfId="13610" xr:uid="{F57640C0-7A83-4569-AF1B-D04FB286F543}"/>
    <cellStyle name="SAPBEXformats 2 3 3 15 2" xfId="13611" xr:uid="{BED4C8F6-1EAB-4F30-AABF-970E4DECDFB0}"/>
    <cellStyle name="SAPBEXformats 2 3 3 2" xfId="13612" xr:uid="{CFA95664-F708-4210-A212-D2280F9E31E1}"/>
    <cellStyle name="SAPBEXformats 2 3 3 2 2" xfId="13613" xr:uid="{3E3179AC-B052-41F3-9B9A-A1E92D80FB5B}"/>
    <cellStyle name="SAPBEXformats 2 3 3 3" xfId="13614" xr:uid="{F29EE6A2-6F54-40D6-A629-0518631D1970}"/>
    <cellStyle name="SAPBEXformats 2 3 3 3 2" xfId="13615" xr:uid="{EEF37FBF-87E2-4588-A81B-645C761F9080}"/>
    <cellStyle name="SAPBEXformats 2 3 3 4" xfId="13616" xr:uid="{17D6E187-C7E1-47DA-A1AD-41E99F6BD2F3}"/>
    <cellStyle name="SAPBEXformats 2 3 3 4 2" xfId="13617" xr:uid="{9040B0D0-DAE6-44C6-A4C2-ED75611F1D29}"/>
    <cellStyle name="SAPBEXformats 2 3 3 5" xfId="13618" xr:uid="{3509BCDC-51D3-4275-A143-5A876DBE4420}"/>
    <cellStyle name="SAPBEXformats 2 3 3 5 2" xfId="13619" xr:uid="{8055C1E9-52DA-4987-B97A-1320CE04D04C}"/>
    <cellStyle name="SAPBEXformats 2 3 3 6" xfId="13620" xr:uid="{75BDD500-8064-46F2-8B17-7C866488F232}"/>
    <cellStyle name="SAPBEXformats 2 3 3 6 2" xfId="13621" xr:uid="{60E15C4C-AE3B-40C1-A114-273E6BA77FF5}"/>
    <cellStyle name="SAPBEXformats 2 3 3 7" xfId="13622" xr:uid="{EC8A0429-E78D-4921-AB5B-5E4253A80772}"/>
    <cellStyle name="SAPBEXformats 2 3 3 7 2" xfId="13623" xr:uid="{3F9963B5-BC9E-4C1E-9345-124632B95CCB}"/>
    <cellStyle name="SAPBEXformats 2 3 3 8" xfId="13624" xr:uid="{D489B5C2-3C5D-46B5-9356-B1DBC64CCB24}"/>
    <cellStyle name="SAPBEXformats 2 3 3 8 2" xfId="13625" xr:uid="{F0E54C33-772A-4CD2-A0AB-645405EE4847}"/>
    <cellStyle name="SAPBEXformats 2 3 3 9" xfId="13626" xr:uid="{A9B44300-4944-4EB0-A7FF-CA308BD2EF6D}"/>
    <cellStyle name="SAPBEXformats 2 3 3 9 2" xfId="13627" xr:uid="{1EEADBF1-FC8B-4F02-AB9D-F9DA68D62B6A}"/>
    <cellStyle name="SAPBEXformats 2 3 4" xfId="13628" xr:uid="{B4A1D5C5-7D22-4F47-8461-4690321EE3E4}"/>
    <cellStyle name="SAPBEXformats 2 3 4 2" xfId="13629" xr:uid="{72E2D1D3-03A2-4103-A455-3BEC0C580B5C}"/>
    <cellStyle name="SAPBEXformats 2 3 5" xfId="13630" xr:uid="{4EAA102E-5548-41B8-9B8B-45DA8C26A665}"/>
    <cellStyle name="SAPBEXformats 2 3 5 2" xfId="13631" xr:uid="{E3FF1E85-BCD0-422D-919C-B1D8C1C64182}"/>
    <cellStyle name="SAPBEXformats 2 3 6" xfId="13632" xr:uid="{569FF3D8-BFCB-4F92-A67A-481B096DFA22}"/>
    <cellStyle name="SAPBEXformats 2 3 6 2" xfId="13633" xr:uid="{C2B9C712-C631-41E2-AFBF-A76B58BE0DF3}"/>
    <cellStyle name="SAPBEXformats 2 3 7" xfId="13634" xr:uid="{67DDBC3A-8193-4838-A94D-DE56120040EB}"/>
    <cellStyle name="SAPBEXformats 2 3 7 2" xfId="13635" xr:uid="{EBC52B6A-3297-4F90-92B4-F8F34F3E24E8}"/>
    <cellStyle name="SAPBEXformats 2 3 8" xfId="13636" xr:uid="{88F8DC7F-3D6F-472C-B344-B7348F9CEA1D}"/>
    <cellStyle name="SAPBEXformats 2 3 8 2" xfId="13637" xr:uid="{9E75DE80-220E-457E-A4F6-A448146971DA}"/>
    <cellStyle name="SAPBEXformats 2 3 9" xfId="13638" xr:uid="{FF9AF58A-E3E7-40A1-9942-E1E7EC5A77C8}"/>
    <cellStyle name="SAPBEXformats 2 3 9 2" xfId="13639" xr:uid="{931FA5AC-FB90-48F2-81C1-E01CB250BF5B}"/>
    <cellStyle name="SAPBEXformats 2 4" xfId="13640" xr:uid="{511E8C86-6E4C-46E1-AC19-07DDD384712A}"/>
    <cellStyle name="SAPBEXformats 2 4 10" xfId="13641" xr:uid="{F58A7547-4FEF-482A-A803-90B250FCA9C1}"/>
    <cellStyle name="SAPBEXformats 2 4 10 2" xfId="13642" xr:uid="{243B0ADF-29F7-4892-8C25-FFA233AD46E2}"/>
    <cellStyle name="SAPBEXformats 2 4 11" xfId="13643" xr:uid="{F2B7BA89-6469-4194-808F-EAC347DA9F18}"/>
    <cellStyle name="SAPBEXformats 2 4 11 2" xfId="13644" xr:uid="{D4C5082D-4BB9-4179-91E3-86FE887A9C4C}"/>
    <cellStyle name="SAPBEXformats 2 4 12" xfId="13645" xr:uid="{E004D8D8-D5FB-44ED-BAC5-E1E0FD1C5A96}"/>
    <cellStyle name="SAPBEXformats 2 4 12 2" xfId="13646" xr:uid="{F2697F61-ED33-4565-9FAF-D02269979979}"/>
    <cellStyle name="SAPBEXformats 2 4 13" xfId="13647" xr:uid="{53866227-BF03-4CED-A863-B059CC5E1F24}"/>
    <cellStyle name="SAPBEXformats 2 4 13 2" xfId="13648" xr:uid="{A598EFEA-76F8-4D84-B22C-C55E28DD1A8D}"/>
    <cellStyle name="SAPBEXformats 2 4 14" xfId="13649" xr:uid="{8638E290-C98E-412B-959D-D367E6CCBFD7}"/>
    <cellStyle name="SAPBEXformats 2 4 14 2" xfId="13650" xr:uid="{53901ED1-009E-4C57-83C5-AF6E58AD810D}"/>
    <cellStyle name="SAPBEXformats 2 4 15" xfId="13651" xr:uid="{01FEB3B7-4EA9-43B2-992E-5E6AF99775F4}"/>
    <cellStyle name="SAPBEXformats 2 4 15 2" xfId="13652" xr:uid="{8E27B9C9-08DE-4705-81B2-047D8AD2E14A}"/>
    <cellStyle name="SAPBEXformats 2 4 16" xfId="13653" xr:uid="{74A9174B-EC7A-4D8B-85C2-C1A558713EC6}"/>
    <cellStyle name="SAPBEXformats 2 4 16 2" xfId="13654" xr:uid="{F2B10A8C-BE6B-459C-BEDC-CB66CF710340}"/>
    <cellStyle name="SAPBEXformats 2 4 17" xfId="13655" xr:uid="{7139CDF7-4C62-4550-AEF1-2FA5187D176E}"/>
    <cellStyle name="SAPBEXformats 2 4 17 2" xfId="13656" xr:uid="{B4706278-619D-4A68-B1DB-776B42DF928B}"/>
    <cellStyle name="SAPBEXformats 2 4 2" xfId="13657" xr:uid="{AF7E17DE-8AB8-4F2D-BCC7-B231412442A0}"/>
    <cellStyle name="SAPBEXformats 2 4 2 10" xfId="13658" xr:uid="{8AC4A0B4-F836-4B32-8555-72C201F526E7}"/>
    <cellStyle name="SAPBEXformats 2 4 2 10 2" xfId="13659" xr:uid="{C4831FD4-9EA9-41EF-B9CA-8DB01AD6B6B3}"/>
    <cellStyle name="SAPBEXformats 2 4 2 11" xfId="13660" xr:uid="{E6A80E5E-AA30-4957-9C03-32FDDA892451}"/>
    <cellStyle name="SAPBEXformats 2 4 2 11 2" xfId="13661" xr:uid="{1E789DB9-1B94-4142-9413-C97FA0A55A00}"/>
    <cellStyle name="SAPBEXformats 2 4 2 12" xfId="13662" xr:uid="{C61AAC0F-8964-40EE-BFC0-DE1829E6C68D}"/>
    <cellStyle name="SAPBEXformats 2 4 2 12 2" xfId="13663" xr:uid="{DE7EFE7B-86D4-48C2-A065-E6F8636B89E7}"/>
    <cellStyle name="SAPBEXformats 2 4 2 13" xfId="13664" xr:uid="{E2767030-CC74-47E5-942E-75A8A827C931}"/>
    <cellStyle name="SAPBEXformats 2 4 2 13 2" xfId="13665" xr:uid="{4064CF0B-5EC9-4A5D-821B-AA0F1AD8D7F6}"/>
    <cellStyle name="SAPBEXformats 2 4 2 14" xfId="13666" xr:uid="{99355BAA-6478-4283-8259-4228AEA1972A}"/>
    <cellStyle name="SAPBEXformats 2 4 2 14 2" xfId="13667" xr:uid="{073855AA-99F8-4F46-B1D9-E4F8666D8AD9}"/>
    <cellStyle name="SAPBEXformats 2 4 2 15" xfId="13668" xr:uid="{1EB4D117-4ABB-465C-B4EB-6EEEE3E0D85C}"/>
    <cellStyle name="SAPBEXformats 2 4 2 15 2" xfId="13669" xr:uid="{10CF8B3E-D65F-4B70-934E-B7C8472F599A}"/>
    <cellStyle name="SAPBEXformats 2 4 2 2" xfId="13670" xr:uid="{F475EB62-B3BD-4102-890A-11E05D907513}"/>
    <cellStyle name="SAPBEXformats 2 4 2 2 2" xfId="13671" xr:uid="{A5BAF37C-F27E-4CBF-8A86-D6B33046458C}"/>
    <cellStyle name="SAPBEXformats 2 4 2 3" xfId="13672" xr:uid="{28F56E64-137B-437F-9C90-A8B449A8415A}"/>
    <cellStyle name="SAPBEXformats 2 4 2 3 2" xfId="13673" xr:uid="{0FECC645-E903-4F44-95BB-C04283DFA4D7}"/>
    <cellStyle name="SAPBEXformats 2 4 2 4" xfId="13674" xr:uid="{10EADAD7-C1DF-42FA-A41A-066B372BAFE0}"/>
    <cellStyle name="SAPBEXformats 2 4 2 4 2" xfId="13675" xr:uid="{AF6CB390-5E1F-4108-A270-D0CACBC06061}"/>
    <cellStyle name="SAPBEXformats 2 4 2 5" xfId="13676" xr:uid="{0DCAF37D-5539-45F9-9816-3A47B68F24DC}"/>
    <cellStyle name="SAPBEXformats 2 4 2 5 2" xfId="13677" xr:uid="{3C2725E2-84BB-4DA2-B11E-67D4D8C39501}"/>
    <cellStyle name="SAPBEXformats 2 4 2 6" xfId="13678" xr:uid="{53985DC5-FDEA-41DE-B61A-B1238F83A614}"/>
    <cellStyle name="SAPBEXformats 2 4 2 6 2" xfId="13679" xr:uid="{3541D0AE-F84B-4950-BD0A-DE74B5C45A69}"/>
    <cellStyle name="SAPBEXformats 2 4 2 7" xfId="13680" xr:uid="{1697390D-C698-4CCE-9923-16D77ADB306B}"/>
    <cellStyle name="SAPBEXformats 2 4 2 7 2" xfId="13681" xr:uid="{16104F4E-173C-4F84-8BD2-9B808B7FA544}"/>
    <cellStyle name="SAPBEXformats 2 4 2 8" xfId="13682" xr:uid="{C2FB235B-4C83-4878-A1FD-95A399C8D013}"/>
    <cellStyle name="SAPBEXformats 2 4 2 8 2" xfId="13683" xr:uid="{52BCA91B-A639-4D74-A55E-B6998B45AA90}"/>
    <cellStyle name="SAPBEXformats 2 4 2 9" xfId="13684" xr:uid="{B418E710-E3B1-4623-A418-36246097EA57}"/>
    <cellStyle name="SAPBEXformats 2 4 2 9 2" xfId="13685" xr:uid="{E4674A02-6A5A-47AD-AFB2-32174B62342F}"/>
    <cellStyle name="SAPBEXformats 2 4 3" xfId="13686" xr:uid="{7F749FB0-007F-463F-B038-7D1DB504BFD9}"/>
    <cellStyle name="SAPBEXformats 2 4 3 10" xfId="13687" xr:uid="{F9815F9C-15CF-480F-853F-6EA9F8FA20AF}"/>
    <cellStyle name="SAPBEXformats 2 4 3 10 2" xfId="13688" xr:uid="{D43E97D8-3FBC-4D98-B91B-24F582F9CA28}"/>
    <cellStyle name="SAPBEXformats 2 4 3 11" xfId="13689" xr:uid="{1BD18C03-18B3-4EAF-853F-8C403081C09B}"/>
    <cellStyle name="SAPBEXformats 2 4 3 11 2" xfId="13690" xr:uid="{D41AFEDC-E969-4DE7-A295-E7E3391A6BE7}"/>
    <cellStyle name="SAPBEXformats 2 4 3 12" xfId="13691" xr:uid="{C2B631E2-98FE-4170-9F18-9BA7CA5935F5}"/>
    <cellStyle name="SAPBEXformats 2 4 3 12 2" xfId="13692" xr:uid="{C88AD670-F654-4652-9219-460F9356286B}"/>
    <cellStyle name="SAPBEXformats 2 4 3 13" xfId="13693" xr:uid="{220C14A1-6A64-4BB2-828E-DB6B40236CF1}"/>
    <cellStyle name="SAPBEXformats 2 4 3 13 2" xfId="13694" xr:uid="{15156F5F-2FC6-4FC1-975F-EAE52E842F58}"/>
    <cellStyle name="SAPBEXformats 2 4 3 14" xfId="13695" xr:uid="{F68A2DF6-561E-477E-A4B1-1E4F6CFBB350}"/>
    <cellStyle name="SAPBEXformats 2 4 3 14 2" xfId="13696" xr:uid="{A5FF137F-8648-4EFF-AA1E-62CF2711E0CC}"/>
    <cellStyle name="SAPBEXformats 2 4 3 15" xfId="13697" xr:uid="{D49E8DD7-949F-4715-91A7-90C79774DB3F}"/>
    <cellStyle name="SAPBEXformats 2 4 3 15 2" xfId="13698" xr:uid="{C809740C-A2B0-46A5-903D-65A8B7CFA7E2}"/>
    <cellStyle name="SAPBEXformats 2 4 3 2" xfId="13699" xr:uid="{18C8414F-BA0B-46B0-9006-B5EF7E8371D5}"/>
    <cellStyle name="SAPBEXformats 2 4 3 2 2" xfId="13700" xr:uid="{A265D1D9-53CE-46F4-B70D-7E6A2E6429E1}"/>
    <cellStyle name="SAPBEXformats 2 4 3 3" xfId="13701" xr:uid="{55E741BE-67BD-401D-8CE8-EB0BF83F7AA6}"/>
    <cellStyle name="SAPBEXformats 2 4 3 3 2" xfId="13702" xr:uid="{BA7A7F0C-A212-4F5C-8A48-0FD32B34AC49}"/>
    <cellStyle name="SAPBEXformats 2 4 3 4" xfId="13703" xr:uid="{BD0BCAD7-D092-4E05-B192-9344AA9B8838}"/>
    <cellStyle name="SAPBEXformats 2 4 3 4 2" xfId="13704" xr:uid="{1F300708-4720-46A7-85E1-1C4C42ECF8E1}"/>
    <cellStyle name="SAPBEXformats 2 4 3 5" xfId="13705" xr:uid="{1F03E162-C5B8-41E2-AD43-5E907F424106}"/>
    <cellStyle name="SAPBEXformats 2 4 3 5 2" xfId="13706" xr:uid="{BEF01C26-9204-418C-9850-B4CA59AA4FD8}"/>
    <cellStyle name="SAPBEXformats 2 4 3 6" xfId="13707" xr:uid="{4C7A3B34-917E-4A94-B795-99273BCF395F}"/>
    <cellStyle name="SAPBEXformats 2 4 3 6 2" xfId="13708" xr:uid="{43A48DFD-2383-42EC-B42C-62E74FDE8E13}"/>
    <cellStyle name="SAPBEXformats 2 4 3 7" xfId="13709" xr:uid="{FF3AF76F-501B-4EF7-BE91-EF26F3CDCFC3}"/>
    <cellStyle name="SAPBEXformats 2 4 3 7 2" xfId="13710" xr:uid="{31A8F250-40C5-47DB-B77A-6543D1139F23}"/>
    <cellStyle name="SAPBEXformats 2 4 3 8" xfId="13711" xr:uid="{3E47E1A8-1316-4667-9D0A-946B0B9B8F59}"/>
    <cellStyle name="SAPBEXformats 2 4 3 8 2" xfId="13712" xr:uid="{A5629EFB-E011-459A-9F8C-35F746AD2A3E}"/>
    <cellStyle name="SAPBEXformats 2 4 3 9" xfId="13713" xr:uid="{BF37FA23-EF86-4082-8BA6-A7F6D600F2C6}"/>
    <cellStyle name="SAPBEXformats 2 4 3 9 2" xfId="13714" xr:uid="{CCDCC4AE-E5EC-42CD-B3AD-0C62F0A9004C}"/>
    <cellStyle name="SAPBEXformats 2 4 4" xfId="13715" xr:uid="{CDD659A6-15CB-4F82-AFC1-B159E2CD26C0}"/>
    <cellStyle name="SAPBEXformats 2 4 4 2" xfId="13716" xr:uid="{9FE56C3C-0FD9-4B64-A12C-CE4643D3F937}"/>
    <cellStyle name="SAPBEXformats 2 4 5" xfId="13717" xr:uid="{9E20615B-2D6B-40AB-9CB5-31896D447024}"/>
    <cellStyle name="SAPBEXformats 2 4 5 2" xfId="13718" xr:uid="{341DA289-D38E-4C78-85EF-98340D3C60DF}"/>
    <cellStyle name="SAPBEXformats 2 4 6" xfId="13719" xr:uid="{073271DA-3845-4D69-874C-CB472C19F6D1}"/>
    <cellStyle name="SAPBEXformats 2 4 6 2" xfId="13720" xr:uid="{32A64ABC-146B-4674-B46E-F9B20486FF13}"/>
    <cellStyle name="SAPBEXformats 2 4 7" xfId="13721" xr:uid="{BDD5E6A6-9A57-4B18-909D-19D23C0EB8BC}"/>
    <cellStyle name="SAPBEXformats 2 4 7 2" xfId="13722" xr:uid="{8E2F042D-C5C7-4E69-B819-F47DDAD3D664}"/>
    <cellStyle name="SAPBEXformats 2 4 8" xfId="13723" xr:uid="{80BE7FF0-986D-44BF-A883-9B4773992785}"/>
    <cellStyle name="SAPBEXformats 2 4 8 2" xfId="13724" xr:uid="{891262E4-5780-487D-BCA4-B802D03022C5}"/>
    <cellStyle name="SAPBEXformats 2 4 9" xfId="13725" xr:uid="{17B84B33-FA1F-4550-97C8-53833589985C}"/>
    <cellStyle name="SAPBEXformats 2 4 9 2" xfId="13726" xr:uid="{52CD1320-A589-4AFC-99E0-A577862F8682}"/>
    <cellStyle name="SAPBEXformats 2 5" xfId="13727" xr:uid="{91064735-B6CB-4419-A4B5-2D5366EA8F6A}"/>
    <cellStyle name="SAPBEXformats 2 5 2" xfId="13728" xr:uid="{B9D1A9E6-6058-475B-B507-4094032D6ACB}"/>
    <cellStyle name="SAPBEXformats 2 6" xfId="13729" xr:uid="{DFA4F10B-6731-45E4-85B7-AD284285BB79}"/>
    <cellStyle name="SAPBEXformats 2 6 2" xfId="13730" xr:uid="{0E5914C6-34B8-4DA8-AE4E-4ADF2B9A6C4D}"/>
    <cellStyle name="SAPBEXformats 2 7" xfId="13731" xr:uid="{85B5F829-1FD3-4258-BAD4-3BA65CAD87D1}"/>
    <cellStyle name="SAPBEXformats 2 7 2" xfId="13732" xr:uid="{E26E5DCC-806B-4D4F-AE31-8DFE085C1180}"/>
    <cellStyle name="SAPBEXformats 2 8" xfId="13733" xr:uid="{69F08942-3F67-4404-A434-F71B058139BA}"/>
    <cellStyle name="SAPBEXformats 2 8 2" xfId="13734" xr:uid="{D2C20B87-2E68-47F9-BB74-0163C82BC021}"/>
    <cellStyle name="SAPBEXformats 2 9" xfId="13735" xr:uid="{C4485BF1-8986-44C9-857E-1BE0A31A996A}"/>
    <cellStyle name="SAPBEXformats 2 9 2" xfId="13736" xr:uid="{8B572E9F-819F-4F0D-AC2C-3FB8701CBBC3}"/>
    <cellStyle name="SAPBEXformats 2_T1 ANSP" xfId="13447" xr:uid="{09A19B3A-0F9E-4BF0-8312-6678C0E23305}"/>
    <cellStyle name="SAPBEXformats 20" xfId="13737" xr:uid="{9895AD33-C9DB-41AC-B931-E311785D7247}"/>
    <cellStyle name="SAPBEXformats 3" xfId="1516" xr:uid="{00000000-0005-0000-0000-000084050000}"/>
    <cellStyle name="SAPBEXformats 3 10" xfId="13739" xr:uid="{396FC4CA-764A-457D-9F01-E5DC85057477}"/>
    <cellStyle name="SAPBEXformats 3 10 2" xfId="13740" xr:uid="{1212E33D-937E-48A0-AE6D-580910CFCE7C}"/>
    <cellStyle name="SAPBEXformats 3 11" xfId="13741" xr:uid="{2CA6EF89-61DC-4786-8212-28448C866D63}"/>
    <cellStyle name="SAPBEXformats 3 11 2" xfId="13742" xr:uid="{DAB984E1-DD75-40A7-ACEA-C9CE2C7A086D}"/>
    <cellStyle name="SAPBEXformats 3 12" xfId="13743" xr:uid="{D90E8FB1-1E59-427C-AF66-E7BE064BA8DB}"/>
    <cellStyle name="SAPBEXformats 3 12 2" xfId="13744" xr:uid="{F69F6A86-1E2F-46C0-8A82-F92DE046BD1C}"/>
    <cellStyle name="SAPBEXformats 3 13" xfId="13745" xr:uid="{9143B705-4A5F-421B-8F7F-13C5BDEAD4B2}"/>
    <cellStyle name="SAPBEXformats 3 13 2" xfId="13746" xr:uid="{66CDEB2C-516C-42F8-B34D-7744E93BBAE2}"/>
    <cellStyle name="SAPBEXformats 3 14" xfId="13747" xr:uid="{D3A1BD96-7760-415F-9C61-3DB374496871}"/>
    <cellStyle name="SAPBEXformats 3 14 2" xfId="13748" xr:uid="{45132C11-C89A-4DEB-9551-DDD582568B89}"/>
    <cellStyle name="SAPBEXformats 3 15" xfId="13749" xr:uid="{B2C8D326-FD7A-45CC-ADB3-1C0AF7A7C8B3}"/>
    <cellStyle name="SAPBEXformats 3 15 2" xfId="13750" xr:uid="{433DACD9-D2A2-464A-A27C-91D7C0BDBAF7}"/>
    <cellStyle name="SAPBEXformats 3 16" xfId="13751" xr:uid="{89299470-D386-4273-9EED-1669F9277BEA}"/>
    <cellStyle name="SAPBEXformats 3 16 2" xfId="13752" xr:uid="{43D25550-9D74-4649-9F36-6F72EDBB7C31}"/>
    <cellStyle name="SAPBEXformats 3 17" xfId="13753" xr:uid="{5500EAAC-7057-44A5-AA66-303330FED932}"/>
    <cellStyle name="SAPBEXformats 3 17 2" xfId="13754" xr:uid="{2B3EBEE3-E175-423B-92F4-BAEC6DE23EE0}"/>
    <cellStyle name="SAPBEXformats 3 18" xfId="13755" xr:uid="{D4C0B9C2-70E2-4355-9107-89B4B48AA191}"/>
    <cellStyle name="SAPBEXformats 3 2" xfId="13756" xr:uid="{5FB4EB60-56E4-4231-9B55-8FFE74314A57}"/>
    <cellStyle name="SAPBEXformats 3 2 10" xfId="13757" xr:uid="{ACD11002-5BA1-4193-9BE6-8ED2FF989A5F}"/>
    <cellStyle name="SAPBEXformats 3 2 10 2" xfId="13758" xr:uid="{62A4D15A-59ED-442F-B183-75DE8AA52436}"/>
    <cellStyle name="SAPBEXformats 3 2 11" xfId="13759" xr:uid="{995D83FA-8A4C-4D31-A0DC-2BBBA4622532}"/>
    <cellStyle name="SAPBEXformats 3 2 11 2" xfId="13760" xr:uid="{AF278DF1-F09E-4034-980A-394DEE4A1F6B}"/>
    <cellStyle name="SAPBEXformats 3 2 12" xfId="13761" xr:uid="{30BE9B35-A68F-4FFB-A465-9E73B62B1715}"/>
    <cellStyle name="SAPBEXformats 3 2 12 2" xfId="13762" xr:uid="{F739DA0F-845F-41AB-80A9-3BC57DB0A196}"/>
    <cellStyle name="SAPBEXformats 3 2 13" xfId="13763" xr:uid="{579C176F-43F1-46ED-A7FC-B461F54F9403}"/>
    <cellStyle name="SAPBEXformats 3 2 13 2" xfId="13764" xr:uid="{6B9DB601-40B1-425B-A490-C285AB4112ED}"/>
    <cellStyle name="SAPBEXformats 3 2 14" xfId="13765" xr:uid="{98744621-2E03-4729-9CD6-E6C5D68AE6BD}"/>
    <cellStyle name="SAPBEXformats 3 2 14 2" xfId="13766" xr:uid="{C570C609-C6A3-4387-BFBA-527FA8C8DE38}"/>
    <cellStyle name="SAPBEXformats 3 2 15" xfId="13767" xr:uid="{8C574EAF-1E35-4767-AE5E-CD75C8D8AEFC}"/>
    <cellStyle name="SAPBEXformats 3 2 15 2" xfId="13768" xr:uid="{7B444FF8-B3AE-4B9A-BA04-4AE8D35E4EFC}"/>
    <cellStyle name="SAPBEXformats 3 2 16" xfId="13769" xr:uid="{91F93C49-7BF2-4ECF-B97B-FC8A84F5B7F6}"/>
    <cellStyle name="SAPBEXformats 3 2 2" xfId="13770" xr:uid="{29A0CBC9-F45E-4EFA-9405-83C4B0D04127}"/>
    <cellStyle name="SAPBEXformats 3 2 2 2" xfId="13771" xr:uid="{A3250E15-1E80-4468-A9FB-9F040EF219F9}"/>
    <cellStyle name="SAPBEXformats 3 2 3" xfId="13772" xr:uid="{4EF5612F-7BA0-4CF4-BD0E-1D593A23D4B0}"/>
    <cellStyle name="SAPBEXformats 3 2 3 2" xfId="13773" xr:uid="{B3D98293-4324-47DC-8DB2-51BAE74C9B29}"/>
    <cellStyle name="SAPBEXformats 3 2 4" xfId="13774" xr:uid="{E462DF8D-C518-460F-9073-9F9C2BF2ABF1}"/>
    <cellStyle name="SAPBEXformats 3 2 4 2" xfId="13775" xr:uid="{EC7AD6B2-B078-4A3C-AB89-C31BC1C270E1}"/>
    <cellStyle name="SAPBEXformats 3 2 5" xfId="13776" xr:uid="{B6595F25-1EFE-4EE0-B712-EFB72B1D5287}"/>
    <cellStyle name="SAPBEXformats 3 2 5 2" xfId="13777" xr:uid="{E73E534A-3D77-4C25-A57C-848F8151BD1A}"/>
    <cellStyle name="SAPBEXformats 3 2 6" xfId="13778" xr:uid="{46D09B6D-9F58-40BB-A348-96B6591635B5}"/>
    <cellStyle name="SAPBEXformats 3 2 6 2" xfId="13779" xr:uid="{A24789FA-E383-4CEC-BF27-81F1ED5EB61B}"/>
    <cellStyle name="SAPBEXformats 3 2 7" xfId="13780" xr:uid="{C907278E-E918-4AB7-9EF0-6D2E336311F3}"/>
    <cellStyle name="SAPBEXformats 3 2 7 2" xfId="13781" xr:uid="{E1497029-80EF-4C2F-A082-8B82D459C12E}"/>
    <cellStyle name="SAPBEXformats 3 2 8" xfId="13782" xr:uid="{3F395904-8C29-42FF-8A8C-B9B49A929BD0}"/>
    <cellStyle name="SAPBEXformats 3 2 8 2" xfId="13783" xr:uid="{168973D7-63A6-43D0-85F2-170129DD8BFD}"/>
    <cellStyle name="SAPBEXformats 3 2 9" xfId="13784" xr:uid="{84E37360-A7F4-4D51-8779-918EF6B5B2F4}"/>
    <cellStyle name="SAPBEXformats 3 2 9 2" xfId="13785" xr:uid="{58A09DD3-2457-49B2-A00A-6F26C3EF5FAC}"/>
    <cellStyle name="SAPBEXformats 3 3" xfId="13786" xr:uid="{BAD793DF-4AA2-4A51-BABB-F925D5E8F763}"/>
    <cellStyle name="SAPBEXformats 3 3 10" xfId="13787" xr:uid="{636788ED-DAA7-4935-85D2-3202B927B3E7}"/>
    <cellStyle name="SAPBEXformats 3 3 10 2" xfId="13788" xr:uid="{8955ACBE-D5FC-467A-8ACF-136F66F61E4D}"/>
    <cellStyle name="SAPBEXformats 3 3 11" xfId="13789" xr:uid="{68DF1BD2-A7E8-40CF-B62B-07399010C36D}"/>
    <cellStyle name="SAPBEXformats 3 3 11 2" xfId="13790" xr:uid="{A7D32968-056A-428D-B306-738AD6993662}"/>
    <cellStyle name="SAPBEXformats 3 3 12" xfId="13791" xr:uid="{12C69028-2C2A-4C51-A70A-68F6D27622F6}"/>
    <cellStyle name="SAPBEXformats 3 3 12 2" xfId="13792" xr:uid="{360A8C40-4BAF-4FDF-B8BE-E693B049167A}"/>
    <cellStyle name="SAPBEXformats 3 3 13" xfId="13793" xr:uid="{39336A20-296D-4507-ABAC-1591711408CD}"/>
    <cellStyle name="SAPBEXformats 3 3 13 2" xfId="13794" xr:uid="{171AC92A-0EC4-4A9D-8224-E6FBBB09ECDE}"/>
    <cellStyle name="SAPBEXformats 3 3 14" xfId="13795" xr:uid="{120C9F0A-0D06-43F3-A7D9-B61376BE4C09}"/>
    <cellStyle name="SAPBEXformats 3 3 14 2" xfId="13796" xr:uid="{634FF35B-1529-4AD4-85CE-E6D2C9CD0EAC}"/>
    <cellStyle name="SAPBEXformats 3 3 15" xfId="13797" xr:uid="{BC8FFDBA-993F-4564-AB90-81A31B177D5A}"/>
    <cellStyle name="SAPBEXformats 3 3 15 2" xfId="13798" xr:uid="{2A038FDE-34F1-473D-9D16-D5DE955AB6A0}"/>
    <cellStyle name="SAPBEXformats 3 3 16" xfId="13799" xr:uid="{B3E2016F-415E-4188-8E3A-29D6B1A44B10}"/>
    <cellStyle name="SAPBEXformats 3 3 2" xfId="13800" xr:uid="{D921DB8F-DE49-4154-935D-34B9194232BF}"/>
    <cellStyle name="SAPBEXformats 3 3 2 2" xfId="13801" xr:uid="{700187FD-73E5-4CB5-B926-049DA5552BA9}"/>
    <cellStyle name="SAPBEXformats 3 3 3" xfId="13802" xr:uid="{96FAD948-4910-4E0E-9F2E-4CD19CD5D67B}"/>
    <cellStyle name="SAPBEXformats 3 3 3 2" xfId="13803" xr:uid="{91A10551-A7CD-4E8F-944D-258BEF3CE271}"/>
    <cellStyle name="SAPBEXformats 3 3 4" xfId="13804" xr:uid="{9CAF7C0E-86BB-4C06-BA91-F189F1F74997}"/>
    <cellStyle name="SAPBEXformats 3 3 4 2" xfId="13805" xr:uid="{925AC10C-B353-4AB8-B8E7-04FE1FFAFDBB}"/>
    <cellStyle name="SAPBEXformats 3 3 5" xfId="13806" xr:uid="{CD5691EA-620B-45B4-8198-43D4DC0CB504}"/>
    <cellStyle name="SAPBEXformats 3 3 5 2" xfId="13807" xr:uid="{BD6B0523-7B9A-478B-9F6F-3370175C3A61}"/>
    <cellStyle name="SAPBEXformats 3 3 6" xfId="13808" xr:uid="{87DEDB4D-38E9-4E3E-8B5C-6437CC22F758}"/>
    <cellStyle name="SAPBEXformats 3 3 6 2" xfId="13809" xr:uid="{19089E04-6317-486C-8219-2FA2D1A5E5B0}"/>
    <cellStyle name="SAPBEXformats 3 3 7" xfId="13810" xr:uid="{A4E9F69B-932E-4BD1-A6E8-CC97DFF54AAD}"/>
    <cellStyle name="SAPBEXformats 3 3 7 2" xfId="13811" xr:uid="{0778BA40-7480-42D9-9DEA-71C0B16A6212}"/>
    <cellStyle name="SAPBEXformats 3 3 8" xfId="13812" xr:uid="{1C0BAEB2-FE82-474D-B1EB-E579DD3FA196}"/>
    <cellStyle name="SAPBEXformats 3 3 8 2" xfId="13813" xr:uid="{95CB8136-2DCA-40F7-8E46-2D3D4654B2D7}"/>
    <cellStyle name="SAPBEXformats 3 3 9" xfId="13814" xr:uid="{E39573F2-0E59-49DE-9489-E2EA3A2A8A7D}"/>
    <cellStyle name="SAPBEXformats 3 3 9 2" xfId="13815" xr:uid="{9E4406C1-BB2C-4094-A696-642202D1B031}"/>
    <cellStyle name="SAPBEXformats 3 4" xfId="13816" xr:uid="{426EECB2-42EA-46F9-B2EF-88F426BE3514}"/>
    <cellStyle name="SAPBEXformats 3 4 2" xfId="13817" xr:uid="{1BF70C59-9538-491F-B4C2-FDD047331D45}"/>
    <cellStyle name="SAPBEXformats 3 5" xfId="13818" xr:uid="{1D9E8A95-7030-476A-B219-0E7B1B7483D0}"/>
    <cellStyle name="SAPBEXformats 3 5 2" xfId="13819" xr:uid="{DAD542F9-3350-4650-B803-A3C33C95A25B}"/>
    <cellStyle name="SAPBEXformats 3 6" xfId="13820" xr:uid="{B4DE32CD-2B47-42B4-AE5E-3E691D6305F6}"/>
    <cellStyle name="SAPBEXformats 3 6 2" xfId="13821" xr:uid="{9FC97404-B2CF-4BF2-B122-4A0A428DDEC5}"/>
    <cellStyle name="SAPBEXformats 3 7" xfId="13822" xr:uid="{574FAC37-B12E-405F-A2D0-6A2535F2326E}"/>
    <cellStyle name="SAPBEXformats 3 7 2" xfId="13823" xr:uid="{A2D6F6C8-9A9E-4910-81F4-D35E90171D55}"/>
    <cellStyle name="SAPBEXformats 3 8" xfId="13824" xr:uid="{C4CEC84B-C26A-47C0-92AB-66C8681F43C4}"/>
    <cellStyle name="SAPBEXformats 3 8 2" xfId="13825" xr:uid="{63B9B089-93B4-45FD-89EE-FBA1E53D6460}"/>
    <cellStyle name="SAPBEXformats 3 9" xfId="13826" xr:uid="{54682BC6-9A99-4CA1-959F-B308CC228B2B}"/>
    <cellStyle name="SAPBEXformats 3 9 2" xfId="13827" xr:uid="{680649C2-E16E-49EF-B1FF-670CF7C79660}"/>
    <cellStyle name="SAPBEXformats 3_T1 ANSP" xfId="13738" xr:uid="{E0F30CC6-18EA-41F2-B01A-34BA927053C4}"/>
    <cellStyle name="SAPBEXformats 4" xfId="13828" xr:uid="{16643E6B-5E38-4D8B-9282-0D41DDA2433C}"/>
    <cellStyle name="SAPBEXformats 4 10" xfId="13829" xr:uid="{5D8734A5-3615-47F7-8074-DEF217D59A50}"/>
    <cellStyle name="SAPBEXformats 4 10 2" xfId="13830" xr:uid="{AA391DFE-5053-4B4E-80FE-7B31E5624C84}"/>
    <cellStyle name="SAPBEXformats 4 11" xfId="13831" xr:uid="{EFAA10BF-DBCA-430E-A061-5BC6AF435FBF}"/>
    <cellStyle name="SAPBEXformats 4 11 2" xfId="13832" xr:uid="{5A21B8E2-074F-42E4-81CC-74ECFC472EC3}"/>
    <cellStyle name="SAPBEXformats 4 12" xfId="13833" xr:uid="{D209DD7D-2782-4497-9FBE-40415A9D06A0}"/>
    <cellStyle name="SAPBEXformats 4 12 2" xfId="13834" xr:uid="{A9818F86-A6DD-45F9-9999-454A91729E19}"/>
    <cellStyle name="SAPBEXformats 4 13" xfId="13835" xr:uid="{EFB587BB-C3BC-4CDB-9273-353763153DB4}"/>
    <cellStyle name="SAPBEXformats 4 13 2" xfId="13836" xr:uid="{14C38D6F-AE9A-4E6B-868D-BA2594952036}"/>
    <cellStyle name="SAPBEXformats 4 14" xfId="13837" xr:uid="{FDB5330F-67C7-4EE4-A314-A14DCBC1B68D}"/>
    <cellStyle name="SAPBEXformats 4 14 2" xfId="13838" xr:uid="{B1D87491-2584-4E2E-B946-29F4A595D101}"/>
    <cellStyle name="SAPBEXformats 4 15" xfId="13839" xr:uid="{576B7E9D-C96E-4B2A-9709-59D0D939EA3F}"/>
    <cellStyle name="SAPBEXformats 4 15 2" xfId="13840" xr:uid="{F9EA089A-0586-4916-8736-D33A9930AB38}"/>
    <cellStyle name="SAPBEXformats 4 16" xfId="13841" xr:uid="{3CB56F7A-EAB6-4617-8678-75732CFD21F5}"/>
    <cellStyle name="SAPBEXformats 4 16 2" xfId="13842" xr:uid="{7ECA7F1D-48CB-4327-934F-5A8C9556D291}"/>
    <cellStyle name="SAPBEXformats 4 17" xfId="13843" xr:uid="{D9453312-0D67-46DF-BCCC-11A38BF7395A}"/>
    <cellStyle name="SAPBEXformats 4 17 2" xfId="13844" xr:uid="{CC6135F8-62EF-4E0D-965C-01858ED657E4}"/>
    <cellStyle name="SAPBEXformats 4 18" xfId="13845" xr:uid="{D996782C-C774-49F7-A85E-46C363A02BE8}"/>
    <cellStyle name="SAPBEXformats 4 2" xfId="13846" xr:uid="{56C8665A-9B05-4D02-895A-2A5366021FE0}"/>
    <cellStyle name="SAPBEXformats 4 2 10" xfId="13847" xr:uid="{2DBA4CF4-9C8B-4A55-8D04-33E272BB2F08}"/>
    <cellStyle name="SAPBEXformats 4 2 10 2" xfId="13848" xr:uid="{5D1F89CF-3828-4777-94E6-39A9C631A4B7}"/>
    <cellStyle name="SAPBEXformats 4 2 11" xfId="13849" xr:uid="{497FE3D1-5A44-42D9-BF72-3C1151C89E69}"/>
    <cellStyle name="SAPBEXformats 4 2 11 2" xfId="13850" xr:uid="{31DD7F82-E516-4616-AFAB-7C8E565B3A99}"/>
    <cellStyle name="SAPBEXformats 4 2 12" xfId="13851" xr:uid="{9D333E1A-0869-4E00-9657-DBF27400673D}"/>
    <cellStyle name="SAPBEXformats 4 2 12 2" xfId="13852" xr:uid="{3B31249E-3191-46D6-AB5B-888F4B7C1106}"/>
    <cellStyle name="SAPBEXformats 4 2 13" xfId="13853" xr:uid="{86DFECF3-4C7D-4CF9-870C-8650D52969ED}"/>
    <cellStyle name="SAPBEXformats 4 2 13 2" xfId="13854" xr:uid="{C5E9CC6A-7D6B-481E-87F0-E446FF328FC7}"/>
    <cellStyle name="SAPBEXformats 4 2 14" xfId="13855" xr:uid="{17AEF104-A47D-4D7B-9914-2E53B97C6CBE}"/>
    <cellStyle name="SAPBEXformats 4 2 14 2" xfId="13856" xr:uid="{F234BC8B-CFA0-4531-8D78-A25EB562B454}"/>
    <cellStyle name="SAPBEXformats 4 2 15" xfId="13857" xr:uid="{3E2BA12D-B824-43C0-85DD-6B92B6FA9A46}"/>
    <cellStyle name="SAPBEXformats 4 2 15 2" xfId="13858" xr:uid="{5C8606FF-A3F3-4EFF-960C-A05B0D9EC8F7}"/>
    <cellStyle name="SAPBEXformats 4 2 16" xfId="13859" xr:uid="{37FE0C6C-327A-4084-86F7-48144C252901}"/>
    <cellStyle name="SAPBEXformats 4 2 2" xfId="13860" xr:uid="{6EB493E0-6E74-46BA-9BFE-311D2220599C}"/>
    <cellStyle name="SAPBEXformats 4 2 2 2" xfId="13861" xr:uid="{9DB96985-8A8F-4888-A487-FF36F3245436}"/>
    <cellStyle name="SAPBEXformats 4 2 3" xfId="13862" xr:uid="{FA25D8A3-6ABA-401F-A466-A222780D2DA5}"/>
    <cellStyle name="SAPBEXformats 4 2 3 2" xfId="13863" xr:uid="{2DA7E18C-05E0-4610-BE54-2B396FB08B06}"/>
    <cellStyle name="SAPBEXformats 4 2 4" xfId="13864" xr:uid="{873CD4BA-A6EB-461F-B0BB-7C9E1EA06257}"/>
    <cellStyle name="SAPBEXformats 4 2 4 2" xfId="13865" xr:uid="{DD8B999F-BCBB-4EBC-95F2-E3D713EFE15B}"/>
    <cellStyle name="SAPBEXformats 4 2 5" xfId="13866" xr:uid="{D8B0F6FF-9E4D-4372-8ADE-A8D4400013F8}"/>
    <cellStyle name="SAPBEXformats 4 2 5 2" xfId="13867" xr:uid="{20C152FB-5A81-4118-8739-6B7EFD2F1F8F}"/>
    <cellStyle name="SAPBEXformats 4 2 6" xfId="13868" xr:uid="{0174F597-D1C4-4A04-B896-DD67BBB8E627}"/>
    <cellStyle name="SAPBEXformats 4 2 6 2" xfId="13869" xr:uid="{87EEE210-B101-4B9C-BE0A-9EA5D1D2A2E6}"/>
    <cellStyle name="SAPBEXformats 4 2 7" xfId="13870" xr:uid="{AD537A64-570A-4A32-8BEB-D26E2040D06C}"/>
    <cellStyle name="SAPBEXformats 4 2 7 2" xfId="13871" xr:uid="{5639A362-BEAF-4BAD-9546-49BFD95D6470}"/>
    <cellStyle name="SAPBEXformats 4 2 8" xfId="13872" xr:uid="{AB49E96B-E07C-463E-A61A-D4C27C07C808}"/>
    <cellStyle name="SAPBEXformats 4 2 8 2" xfId="13873" xr:uid="{B593BB31-799A-4DDF-AABB-1465A7B86899}"/>
    <cellStyle name="SAPBEXformats 4 2 9" xfId="13874" xr:uid="{5AC722DA-77B7-4C4A-AF9D-3B2564CEF144}"/>
    <cellStyle name="SAPBEXformats 4 2 9 2" xfId="13875" xr:uid="{A6897630-22E7-4719-A12D-8B6B645C752F}"/>
    <cellStyle name="SAPBEXformats 4 3" xfId="13876" xr:uid="{AE917902-9873-4B80-8563-8737F01BB9DD}"/>
    <cellStyle name="SAPBEXformats 4 3 10" xfId="13877" xr:uid="{8BCF253F-7037-4362-8157-1712F720A8BC}"/>
    <cellStyle name="SAPBEXformats 4 3 10 2" xfId="13878" xr:uid="{57736E7F-50E8-4626-A59B-7267F6E220DC}"/>
    <cellStyle name="SAPBEXformats 4 3 11" xfId="13879" xr:uid="{5142F64C-E46C-4CBA-B5FD-1ED2B0BE7195}"/>
    <cellStyle name="SAPBEXformats 4 3 11 2" xfId="13880" xr:uid="{040EE36F-ED59-445A-B539-A811B49ACB31}"/>
    <cellStyle name="SAPBEXformats 4 3 12" xfId="13881" xr:uid="{5DC9F3D6-E9F5-4F90-B50B-4F026C5EBBA4}"/>
    <cellStyle name="SAPBEXformats 4 3 12 2" xfId="13882" xr:uid="{3C3EC0B1-A909-41C4-9E29-BDE9FD68EBAB}"/>
    <cellStyle name="SAPBEXformats 4 3 13" xfId="13883" xr:uid="{272B59FD-B645-492A-8C35-074A946FDB23}"/>
    <cellStyle name="SAPBEXformats 4 3 13 2" xfId="13884" xr:uid="{820B9D4B-E3D7-454F-917F-6D5DE25EFEB5}"/>
    <cellStyle name="SAPBEXformats 4 3 14" xfId="13885" xr:uid="{884AEBF4-0570-4D8F-870C-ABC850A99B5E}"/>
    <cellStyle name="SAPBEXformats 4 3 14 2" xfId="13886" xr:uid="{C8643A48-A620-4977-ACED-AA1F8DE13C10}"/>
    <cellStyle name="SAPBEXformats 4 3 15" xfId="13887" xr:uid="{FC323338-CA43-4BF5-88DE-CE798CADF001}"/>
    <cellStyle name="SAPBEXformats 4 3 15 2" xfId="13888" xr:uid="{D3CAD724-4A17-4C2A-A068-BE712EF456B1}"/>
    <cellStyle name="SAPBEXformats 4 3 16" xfId="13889" xr:uid="{D9A92532-524B-4629-A414-9033DFA33898}"/>
    <cellStyle name="SAPBEXformats 4 3 2" xfId="13890" xr:uid="{C5E452EF-71D9-46B5-A68F-A4603489013F}"/>
    <cellStyle name="SAPBEXformats 4 3 2 2" xfId="13891" xr:uid="{DC56E3FF-727D-4A24-A42E-E83F38351404}"/>
    <cellStyle name="SAPBEXformats 4 3 3" xfId="13892" xr:uid="{1DD04DDA-8F13-40DE-8340-4418CE1618C5}"/>
    <cellStyle name="SAPBEXformats 4 3 3 2" xfId="13893" xr:uid="{4C70553C-82A5-4F1B-9D67-A88A27BF928A}"/>
    <cellStyle name="SAPBEXformats 4 3 4" xfId="13894" xr:uid="{9FAF56FC-2BDE-4C65-9BCB-CE24456675B3}"/>
    <cellStyle name="SAPBEXformats 4 3 4 2" xfId="13895" xr:uid="{B42836AF-F01B-4FAD-BDCB-C61FC21D29D9}"/>
    <cellStyle name="SAPBEXformats 4 3 5" xfId="13896" xr:uid="{AE14B658-9A15-4BCF-9DB9-92779E7D152B}"/>
    <cellStyle name="SAPBEXformats 4 3 5 2" xfId="13897" xr:uid="{DF2E245B-E570-4E15-B393-511DA6A6299F}"/>
    <cellStyle name="SAPBEXformats 4 3 6" xfId="13898" xr:uid="{7FA920D5-B4B6-44C9-B294-C69E22579A8D}"/>
    <cellStyle name="SAPBEXformats 4 3 6 2" xfId="13899" xr:uid="{7362ECCB-7F13-4335-A1EB-A0C4070F235F}"/>
    <cellStyle name="SAPBEXformats 4 3 7" xfId="13900" xr:uid="{911CE1EA-1EBC-4CD9-A472-C0B31F8383CB}"/>
    <cellStyle name="SAPBEXformats 4 3 7 2" xfId="13901" xr:uid="{EAE9D15C-B6AB-4B74-9CC3-49ED2561B452}"/>
    <cellStyle name="SAPBEXformats 4 3 8" xfId="13902" xr:uid="{E1F63593-E30C-4FB1-80FF-B6C0B185DF13}"/>
    <cellStyle name="SAPBEXformats 4 3 8 2" xfId="13903" xr:uid="{9CE8D1AB-7084-4723-AC32-E3BE368D72F6}"/>
    <cellStyle name="SAPBEXformats 4 3 9" xfId="13904" xr:uid="{D26AD6FD-565F-46DB-AFCE-22F56ACC9C46}"/>
    <cellStyle name="SAPBEXformats 4 3 9 2" xfId="13905" xr:uid="{CE83A93D-83C5-4870-95EC-32280AC51E32}"/>
    <cellStyle name="SAPBEXformats 4 4" xfId="13906" xr:uid="{F4B6B6EE-2C7F-4AD7-8083-E9C89114CDA4}"/>
    <cellStyle name="SAPBEXformats 4 4 2" xfId="13907" xr:uid="{78351EA9-2BFC-4CD2-A139-EF6E537D0964}"/>
    <cellStyle name="SAPBEXformats 4 5" xfId="13908" xr:uid="{4DC9AFFB-1661-4148-9823-EA49B18932D7}"/>
    <cellStyle name="SAPBEXformats 4 5 2" xfId="13909" xr:uid="{BBC3BF01-FF2F-4724-A858-063DDEBEBF8E}"/>
    <cellStyle name="SAPBEXformats 4 6" xfId="13910" xr:uid="{10E7BA5C-C51E-4913-AB52-E18B114EA7A1}"/>
    <cellStyle name="SAPBEXformats 4 6 2" xfId="13911" xr:uid="{01340EF4-54BE-4AD6-B96F-DE1801E1B7B4}"/>
    <cellStyle name="SAPBEXformats 4 7" xfId="13912" xr:uid="{96FC08D0-FD4C-48DA-BD3E-BFA58DE2B7BD}"/>
    <cellStyle name="SAPBEXformats 4 7 2" xfId="13913" xr:uid="{BC7AE131-9E90-4AA2-AD35-33709A6D39C8}"/>
    <cellStyle name="SAPBEXformats 4 8" xfId="13914" xr:uid="{E1FBEBA8-A874-4D19-8583-8072748BEF37}"/>
    <cellStyle name="SAPBEXformats 4 8 2" xfId="13915" xr:uid="{146BB9E0-5545-4FB5-85D9-72B00EFD869E}"/>
    <cellStyle name="SAPBEXformats 4 9" xfId="13916" xr:uid="{8AD61E2D-29F0-4E1C-9F39-C16D6C6268C5}"/>
    <cellStyle name="SAPBEXformats 4 9 2" xfId="13917" xr:uid="{42C871FB-699C-4301-B6A3-41CA56A2D6E9}"/>
    <cellStyle name="SAPBEXformats 5" xfId="13918" xr:uid="{56AD29B6-091D-45F8-A6CB-AC7247E25C08}"/>
    <cellStyle name="SAPBEXformats 5 10" xfId="13919" xr:uid="{A302880A-887D-4A1A-934D-F0735C08AE26}"/>
    <cellStyle name="SAPBEXformats 5 10 2" xfId="13920" xr:uid="{F86851A9-F6C6-4424-B7BB-C31FF63AE66B}"/>
    <cellStyle name="SAPBEXformats 5 11" xfId="13921" xr:uid="{B5DEE803-CE02-4BE4-952F-38921CD51F4B}"/>
    <cellStyle name="SAPBEXformats 5 11 2" xfId="13922" xr:uid="{EF1CA147-D34F-4801-A306-6369D241AA1D}"/>
    <cellStyle name="SAPBEXformats 5 12" xfId="13923" xr:uid="{EE190DFF-E45D-44AB-A2BA-D2DAC7038E77}"/>
    <cellStyle name="SAPBEXformats 5 12 2" xfId="13924" xr:uid="{140E6EC1-D6F5-440D-BCC5-8321EA4044B4}"/>
    <cellStyle name="SAPBEXformats 5 13" xfId="13925" xr:uid="{CA8AFE2D-7049-4C0C-972E-DDAF2EA3CBF3}"/>
    <cellStyle name="SAPBEXformats 5 13 2" xfId="13926" xr:uid="{752175C3-46F1-47CF-BC33-74BBE9EFA622}"/>
    <cellStyle name="SAPBEXformats 5 14" xfId="13927" xr:uid="{2D2F31BC-5158-4D26-80E1-F2E03C8C37E1}"/>
    <cellStyle name="SAPBEXformats 5 14 2" xfId="13928" xr:uid="{36AB4D04-067E-492E-985E-9FF5990EDCE2}"/>
    <cellStyle name="SAPBEXformats 5 15" xfId="13929" xr:uid="{774F5DB2-8D63-409F-BCD8-595D4F2E0789}"/>
    <cellStyle name="SAPBEXformats 5 15 2" xfId="13930" xr:uid="{F698BFFC-705D-4F89-B0DA-93601FBA959E}"/>
    <cellStyle name="SAPBEXformats 5 16" xfId="13931" xr:uid="{665E4E2C-73CC-448F-9991-4775598D9544}"/>
    <cellStyle name="SAPBEXformats 5 2" xfId="13932" xr:uid="{ECAF4819-4A2F-40B9-9AB7-52C26B459E68}"/>
    <cellStyle name="SAPBEXformats 5 2 2" xfId="13933" xr:uid="{15844728-6F68-413D-88BA-C8B5C5BDB921}"/>
    <cellStyle name="SAPBEXformats 5 3" xfId="13934" xr:uid="{BB172290-5A21-4926-900E-E261F46A1356}"/>
    <cellStyle name="SAPBEXformats 5 3 2" xfId="13935" xr:uid="{B861E911-576C-40C8-B7A0-78DA382050C8}"/>
    <cellStyle name="SAPBEXformats 5 4" xfId="13936" xr:uid="{BBDB5735-8689-44D1-BC23-203A577061A5}"/>
    <cellStyle name="SAPBEXformats 5 4 2" xfId="13937" xr:uid="{66BFE282-4152-4559-A7B9-BBF2C89DE2E6}"/>
    <cellStyle name="SAPBEXformats 5 5" xfId="13938" xr:uid="{17BA8344-A9BC-43F9-91BC-B53CDEC37D2F}"/>
    <cellStyle name="SAPBEXformats 5 5 2" xfId="13939" xr:uid="{A8688870-5CE3-4BF1-9691-989648B6FCCC}"/>
    <cellStyle name="SAPBEXformats 5 6" xfId="13940" xr:uid="{830E49BC-5609-4E10-92FB-A82B04A280A1}"/>
    <cellStyle name="SAPBEXformats 5 6 2" xfId="13941" xr:uid="{7FF47D71-3BFA-4464-ACEF-BEE01F41A754}"/>
    <cellStyle name="SAPBEXformats 5 7" xfId="13942" xr:uid="{AE9F5A27-282E-4C16-8F2E-490EBA2C618D}"/>
    <cellStyle name="SAPBEXformats 5 7 2" xfId="13943" xr:uid="{37D4DB4D-9F8F-4B14-8E15-DED656ABBA2C}"/>
    <cellStyle name="SAPBEXformats 5 8" xfId="13944" xr:uid="{0BA15C79-ECAA-4A4B-B3F5-CEC0BEAD041D}"/>
    <cellStyle name="SAPBEXformats 5 8 2" xfId="13945" xr:uid="{4B14B8F3-8C07-4C17-BD9F-75194E0247D7}"/>
    <cellStyle name="SAPBEXformats 5 9" xfId="13946" xr:uid="{2B4543E3-5D41-4123-A82D-AE25BAC73153}"/>
    <cellStyle name="SAPBEXformats 5 9 2" xfId="13947" xr:uid="{3AD7F785-2ADD-4B03-B340-333C276BBAC8}"/>
    <cellStyle name="SAPBEXformats 6" xfId="13948" xr:uid="{DA5A5DC6-9F4E-47C6-B7E3-380B1E95D4AA}"/>
    <cellStyle name="SAPBEXformats 6 2" xfId="13949" xr:uid="{A30A444D-4A9B-4809-B81D-02C6444AB43E}"/>
    <cellStyle name="SAPBEXformats 7" xfId="13950" xr:uid="{C96315DC-052E-4138-9E8F-ECC91773E246}"/>
    <cellStyle name="SAPBEXformats 7 2" xfId="13951" xr:uid="{0320AFB3-58FD-4411-9AAE-DF9E4AC71588}"/>
    <cellStyle name="SAPBEXformats 8" xfId="13952" xr:uid="{8E160458-5B62-47EE-852C-C2E644259A48}"/>
    <cellStyle name="SAPBEXformats 8 2" xfId="13953" xr:uid="{A92A83D5-3CA5-4895-B4F0-A75920039812}"/>
    <cellStyle name="SAPBEXformats 9" xfId="13954" xr:uid="{2E833BA6-46C6-48A7-975E-767F30DA2FB1}"/>
    <cellStyle name="SAPBEXformats 9 2" xfId="13955" xr:uid="{20268EE2-092F-4237-A18A-B58D3E43CA52}"/>
    <cellStyle name="SAPBEXformats_T1 ANSP" xfId="13426" xr:uid="{DD56B16D-A0C6-4BAA-90A6-CBFC163D3A25}"/>
    <cellStyle name="SAPBEXheaderItem" xfId="744" xr:uid="{00000000-0005-0000-0000-000085050000}"/>
    <cellStyle name="SAPBEXheaderItem 10" xfId="13957" xr:uid="{73C25E0A-4253-4F7C-A5E5-812892D9B418}"/>
    <cellStyle name="SAPBEXheaderItem 10 2" xfId="13958" xr:uid="{6FDF4E5A-10E3-45C6-906F-263862E31D8C}"/>
    <cellStyle name="SAPBEXheaderItem 11" xfId="13959" xr:uid="{8957D08D-D997-4488-AE63-2CE1D09DE3C4}"/>
    <cellStyle name="SAPBEXheaderItem 11 2" xfId="13960" xr:uid="{6FF2A4A5-3F6E-413B-BCFD-8D56CC109315}"/>
    <cellStyle name="SAPBEXheaderItem 12" xfId="13961" xr:uid="{23F401A6-551C-4F2F-892A-37D68584112E}"/>
    <cellStyle name="SAPBEXheaderItem 12 2" xfId="13962" xr:uid="{E13D569D-25A9-45FA-AC64-ADE66F82B724}"/>
    <cellStyle name="SAPBEXheaderItem 13" xfId="13963" xr:uid="{E655D4EE-C22E-4ECC-940E-4E625B6EA90B}"/>
    <cellStyle name="SAPBEXheaderItem 13 2" xfId="13964" xr:uid="{E0F1063E-E679-4B5E-B0DF-7D58894F676B}"/>
    <cellStyle name="SAPBEXheaderItem 14" xfId="13965" xr:uid="{329B4C72-439B-4BF8-979F-13BE43976454}"/>
    <cellStyle name="SAPBEXheaderItem 14 2" xfId="13966" xr:uid="{4DB9F33E-1FDF-4F13-B418-945592F88558}"/>
    <cellStyle name="SAPBEXheaderItem 15" xfId="13967" xr:uid="{A0285A00-E12A-4C08-AAE4-AFA07283F13C}"/>
    <cellStyle name="SAPBEXheaderItem 15 2" xfId="13968" xr:uid="{C44A2399-19FA-4A79-98FF-409A0EA0129C}"/>
    <cellStyle name="SAPBEXheaderItem 16" xfId="13969" xr:uid="{245164D7-8970-4894-856A-E8E3C210570B}"/>
    <cellStyle name="SAPBEXheaderItem 16 2" xfId="13970" xr:uid="{6C073E0E-2C14-42F1-9170-5401EB5D5E72}"/>
    <cellStyle name="SAPBEXheaderItem 17" xfId="13971" xr:uid="{167BC024-C3E1-4E38-942E-3402DEC9F2C6}"/>
    <cellStyle name="SAPBEXheaderItem 17 2" xfId="13972" xr:uid="{70700DAE-2B3B-43F8-9ECB-4E376B8094E8}"/>
    <cellStyle name="SAPBEXheaderItem 18" xfId="13973" xr:uid="{992665A3-F951-4095-B825-17FAC927B1AF}"/>
    <cellStyle name="SAPBEXheaderItem 18 2" xfId="13974" xr:uid="{70EF5596-89BC-428C-AC44-C32EA1D7FCD3}"/>
    <cellStyle name="SAPBEXheaderItem 19" xfId="13975" xr:uid="{84710100-9393-443F-BDD5-5E9F7660DC3B}"/>
    <cellStyle name="SAPBEXheaderItem 19 2" xfId="13976" xr:uid="{31555862-AB78-4944-87B9-F508E3411185}"/>
    <cellStyle name="SAPBEXheaderItem 2" xfId="1558" xr:uid="{00000000-0005-0000-0000-000086050000}"/>
    <cellStyle name="SAPBEXheaderItem 2 10" xfId="13978" xr:uid="{87943AFD-9D4B-4EF3-B75E-0633A133F6A0}"/>
    <cellStyle name="SAPBEXheaderItem 2 10 2" xfId="13979" xr:uid="{8518E67F-C9CC-489B-9D07-9F1570DD2FC4}"/>
    <cellStyle name="SAPBEXheaderItem 2 11" xfId="13980" xr:uid="{C1AD09C6-5395-4939-A263-35251E5057D1}"/>
    <cellStyle name="SAPBEXheaderItem 2 11 2" xfId="13981" xr:uid="{E9546CE8-3CA7-4297-9D87-F9EA0F94699E}"/>
    <cellStyle name="SAPBEXheaderItem 2 12" xfId="13982" xr:uid="{3764113D-4471-4607-BAFE-35914B944541}"/>
    <cellStyle name="SAPBEXheaderItem 2 12 2" xfId="13983" xr:uid="{3BB9EA62-3A34-430A-B124-F2772D769D9E}"/>
    <cellStyle name="SAPBEXheaderItem 2 13" xfId="13984" xr:uid="{057C3E54-4D1C-491E-80BB-7887AF283393}"/>
    <cellStyle name="SAPBEXheaderItem 2 13 2" xfId="13985" xr:uid="{F998E140-6B69-4FDA-A1C8-105474552AFB}"/>
    <cellStyle name="SAPBEXheaderItem 2 14" xfId="13986" xr:uid="{C57305CA-31D9-4584-B6E9-C0ED5C8FC839}"/>
    <cellStyle name="SAPBEXheaderItem 2 14 2" xfId="13987" xr:uid="{45A809AF-16A0-485C-BE26-81F1E0E727B7}"/>
    <cellStyle name="SAPBEXheaderItem 2 15" xfId="13988" xr:uid="{B9744929-1B68-4B8C-B2E9-0AD4A9F66E94}"/>
    <cellStyle name="SAPBEXheaderItem 2 15 2" xfId="13989" xr:uid="{E85BAF7B-2A3F-419F-8B84-8A37486F844C}"/>
    <cellStyle name="SAPBEXheaderItem 2 16" xfId="13990" xr:uid="{9FB2E103-D1C1-4DE5-A0CA-E0F810DF7D24}"/>
    <cellStyle name="SAPBEXheaderItem 2 16 2" xfId="13991" xr:uid="{C8399CF1-2548-49BD-A649-E9DE0BEA14D1}"/>
    <cellStyle name="SAPBEXheaderItem 2 17" xfId="13992" xr:uid="{F8BA1AF7-2CBE-40F4-AF0E-EB65BE2E6585}"/>
    <cellStyle name="SAPBEXheaderItem 2 17 2" xfId="13993" xr:uid="{46D7906E-CE4F-4B86-A0BB-D9D3F9896B96}"/>
    <cellStyle name="SAPBEXheaderItem 2 18" xfId="13994" xr:uid="{4D10D440-7F8C-4158-9A7C-2D8F0C769E3E}"/>
    <cellStyle name="SAPBEXheaderItem 2 18 2" xfId="13995" xr:uid="{FAE94E4B-6D65-461C-A913-9DBA4E87428D}"/>
    <cellStyle name="SAPBEXheaderItem 2 19" xfId="13996" xr:uid="{70BE12E7-535C-45F5-9F5D-C5606D28816B}"/>
    <cellStyle name="SAPBEXheaderItem 2 19 2" xfId="13997" xr:uid="{AFCC60D2-9A5E-40BE-BF21-2FFC13D722CA}"/>
    <cellStyle name="SAPBEXheaderItem 2 2" xfId="13998" xr:uid="{A23D4A42-F34D-4877-8C55-6FF0DC94B58F}"/>
    <cellStyle name="SAPBEXheaderItem 2 2 10" xfId="13999" xr:uid="{1E00FEAA-C669-4CE8-BAB2-1B594FFB346D}"/>
    <cellStyle name="SAPBEXheaderItem 2 2 10 2" xfId="14000" xr:uid="{7F7A3A6F-853C-405C-B520-5DEC27613A05}"/>
    <cellStyle name="SAPBEXheaderItem 2 2 11" xfId="14001" xr:uid="{6998485A-9CB9-4161-9A06-0238D902806E}"/>
    <cellStyle name="SAPBEXheaderItem 2 2 11 2" xfId="14002" xr:uid="{DDA6F1AC-7433-4433-8FDE-92A296DCA2B7}"/>
    <cellStyle name="SAPBEXheaderItem 2 2 12" xfId="14003" xr:uid="{AE678DE4-607B-4DF1-9F6E-89F28660339D}"/>
    <cellStyle name="SAPBEXheaderItem 2 2 12 2" xfId="14004" xr:uid="{D6DFDCAC-8AE8-4EAE-B91E-B966C5DE7422}"/>
    <cellStyle name="SAPBEXheaderItem 2 2 13" xfId="14005" xr:uid="{415C1C62-6C87-4B9C-AB08-974DE4E9896F}"/>
    <cellStyle name="SAPBEXheaderItem 2 2 13 2" xfId="14006" xr:uid="{14BDE58C-AD4A-49A7-BAA8-79DF373EF83A}"/>
    <cellStyle name="SAPBEXheaderItem 2 2 14" xfId="14007" xr:uid="{392AE050-8A83-4C95-852B-1FCA8D587D1C}"/>
    <cellStyle name="SAPBEXheaderItem 2 2 14 2" xfId="14008" xr:uid="{C67962E5-F009-45AF-B24B-DE756B448307}"/>
    <cellStyle name="SAPBEXheaderItem 2 2 15" xfId="14009" xr:uid="{88AA76EE-81F9-4BA4-8369-373FDDF062E6}"/>
    <cellStyle name="SAPBEXheaderItem 2 2 15 2" xfId="14010" xr:uid="{E151DD02-88D0-4DB5-AFF8-BCE0AE630869}"/>
    <cellStyle name="SAPBEXheaderItem 2 2 16" xfId="14011" xr:uid="{1E24F519-3377-4970-BA3B-749E09B83B98}"/>
    <cellStyle name="SAPBEXheaderItem 2 2 16 2" xfId="14012" xr:uid="{FBBFAA4C-9A59-4A64-AD81-178B6FB44485}"/>
    <cellStyle name="SAPBEXheaderItem 2 2 17" xfId="14013" xr:uid="{B15D8FE3-F0C2-4035-B957-77927F32B255}"/>
    <cellStyle name="SAPBEXheaderItem 2 2 17 2" xfId="14014" xr:uid="{E51B4040-47D5-4ABB-8BE4-A5F408DA9E7B}"/>
    <cellStyle name="SAPBEXheaderItem 2 2 18" xfId="14015" xr:uid="{EF629863-06ED-4617-A9B7-1DCF52D2FF95}"/>
    <cellStyle name="SAPBEXheaderItem 2 2 2" xfId="14016" xr:uid="{5D06E826-F533-44BF-8141-4B91F0639846}"/>
    <cellStyle name="SAPBEXheaderItem 2 2 2 10" xfId="14017" xr:uid="{3737F16B-6F27-462B-9880-D10CA777A6AF}"/>
    <cellStyle name="SAPBEXheaderItem 2 2 2 10 2" xfId="14018" xr:uid="{7127147F-B8E1-4FCE-AE32-57F708C03A9E}"/>
    <cellStyle name="SAPBEXheaderItem 2 2 2 11" xfId="14019" xr:uid="{FCCA0127-D6F8-4CF8-ABE7-4FD467386EDB}"/>
    <cellStyle name="SAPBEXheaderItem 2 2 2 11 2" xfId="14020" xr:uid="{06ABC73C-80EA-4EA1-BC27-1D49129804F3}"/>
    <cellStyle name="SAPBEXheaderItem 2 2 2 12" xfId="14021" xr:uid="{E56ED10D-E9C7-48B0-B6BB-79BBF2CAF88C}"/>
    <cellStyle name="SAPBEXheaderItem 2 2 2 12 2" xfId="14022" xr:uid="{3EF12181-7F4A-4B91-84CE-5EBCDF9DA392}"/>
    <cellStyle name="SAPBEXheaderItem 2 2 2 13" xfId="14023" xr:uid="{6FB1C252-0546-428D-8198-ED01B5F98DFC}"/>
    <cellStyle name="SAPBEXheaderItem 2 2 2 13 2" xfId="14024" xr:uid="{E6167EB9-A831-4C39-B163-BA79957B9B25}"/>
    <cellStyle name="SAPBEXheaderItem 2 2 2 14" xfId="14025" xr:uid="{E45B6C37-A117-48A0-9545-D4A599AA9210}"/>
    <cellStyle name="SAPBEXheaderItem 2 2 2 14 2" xfId="14026" xr:uid="{B55636A0-7FBB-43A8-B6E3-45713ED4D511}"/>
    <cellStyle name="SAPBEXheaderItem 2 2 2 15" xfId="14027" xr:uid="{977C61EF-C3B0-46D4-93C0-E80F2B59B681}"/>
    <cellStyle name="SAPBEXheaderItem 2 2 2 15 2" xfId="14028" xr:uid="{ACCF4984-9CDA-4B56-B5DA-24FF374E7877}"/>
    <cellStyle name="SAPBEXheaderItem 2 2 2 16" xfId="14029" xr:uid="{65C513B8-BC27-4C48-BF6C-0BB261233C49}"/>
    <cellStyle name="SAPBEXheaderItem 2 2 2 2" xfId="14030" xr:uid="{0A93D7C6-66C3-40B8-841A-18326DE19A15}"/>
    <cellStyle name="SAPBEXheaderItem 2 2 2 2 2" xfId="14031" xr:uid="{AC0BCACF-5E73-4DF5-9984-B074FE3A6CA2}"/>
    <cellStyle name="SAPBEXheaderItem 2 2 2 3" xfId="14032" xr:uid="{EE468581-5C73-4F94-A173-0373E50B0835}"/>
    <cellStyle name="SAPBEXheaderItem 2 2 2 3 2" xfId="14033" xr:uid="{33198569-4C1A-4316-918C-9832C932A786}"/>
    <cellStyle name="SAPBEXheaderItem 2 2 2 4" xfId="14034" xr:uid="{451F4FFA-625E-4F4B-8A0A-57C2A623C458}"/>
    <cellStyle name="SAPBEXheaderItem 2 2 2 4 2" xfId="14035" xr:uid="{FEFAD52F-422A-4DAB-A6A6-5945ED3019A1}"/>
    <cellStyle name="SAPBEXheaderItem 2 2 2 5" xfId="14036" xr:uid="{6152E94F-1F66-467B-BBE4-F774BFB8BF6D}"/>
    <cellStyle name="SAPBEXheaderItem 2 2 2 5 2" xfId="14037" xr:uid="{FC8128AE-4270-446E-8CF3-35757D0DA0A4}"/>
    <cellStyle name="SAPBEXheaderItem 2 2 2 6" xfId="14038" xr:uid="{0C9A0C15-EB4B-47EB-85F6-8D0B530A29A4}"/>
    <cellStyle name="SAPBEXheaderItem 2 2 2 6 2" xfId="14039" xr:uid="{840268B8-63C3-45EB-80DF-409BF1A2601A}"/>
    <cellStyle name="SAPBEXheaderItem 2 2 2 7" xfId="14040" xr:uid="{664B6ECB-E3E6-4AF8-887D-901A4F657441}"/>
    <cellStyle name="SAPBEXheaderItem 2 2 2 7 2" xfId="14041" xr:uid="{7155271F-D049-4729-A689-A2923BA9C54A}"/>
    <cellStyle name="SAPBEXheaderItem 2 2 2 8" xfId="14042" xr:uid="{8F3AE07B-D6F3-49BC-B0CF-84C81AE10ACC}"/>
    <cellStyle name="SAPBEXheaderItem 2 2 2 8 2" xfId="14043" xr:uid="{614FA632-9B6B-463A-BAE7-E107E9A3A3B0}"/>
    <cellStyle name="SAPBEXheaderItem 2 2 2 9" xfId="14044" xr:uid="{3D763CD4-0696-4343-8045-B9CEB454F775}"/>
    <cellStyle name="SAPBEXheaderItem 2 2 2 9 2" xfId="14045" xr:uid="{103E14A0-B3E4-4DF6-B5C9-98B3816ED0F4}"/>
    <cellStyle name="SAPBEXheaderItem 2 2 3" xfId="14046" xr:uid="{3A2EB78C-400F-4AD9-9D3B-7D26D1E64A55}"/>
    <cellStyle name="SAPBEXheaderItem 2 2 3 10" xfId="14047" xr:uid="{C071C7CB-356E-4B00-8CE0-3E0224B75256}"/>
    <cellStyle name="SAPBEXheaderItem 2 2 3 10 2" xfId="14048" xr:uid="{8800D501-C7C5-4566-8C3B-655076AF5452}"/>
    <cellStyle name="SAPBEXheaderItem 2 2 3 11" xfId="14049" xr:uid="{37840C55-89E9-481F-A8C9-5FB62147B0A3}"/>
    <cellStyle name="SAPBEXheaderItem 2 2 3 11 2" xfId="14050" xr:uid="{F050AFF4-BA2E-43D8-96BA-546FF8B76160}"/>
    <cellStyle name="SAPBEXheaderItem 2 2 3 12" xfId="14051" xr:uid="{CBB1C695-1910-4FD9-ABCE-56C37E6C0902}"/>
    <cellStyle name="SAPBEXheaderItem 2 2 3 12 2" xfId="14052" xr:uid="{77F826A0-BDA2-4435-8112-6DF7F94A40CD}"/>
    <cellStyle name="SAPBEXheaderItem 2 2 3 13" xfId="14053" xr:uid="{09EA4B07-EAC6-415E-9C72-C99297048B40}"/>
    <cellStyle name="SAPBEXheaderItem 2 2 3 13 2" xfId="14054" xr:uid="{DBF6AA33-B09D-4010-AAFA-C6985010FB24}"/>
    <cellStyle name="SAPBEXheaderItem 2 2 3 14" xfId="14055" xr:uid="{108D1851-D5D8-4B77-A95B-4D33D0B7DBCA}"/>
    <cellStyle name="SAPBEXheaderItem 2 2 3 14 2" xfId="14056" xr:uid="{BB1AF93C-5297-404E-877F-86441A5B8255}"/>
    <cellStyle name="SAPBEXheaderItem 2 2 3 15" xfId="14057" xr:uid="{33CA91A6-A0B1-4494-9CA6-752F5F5805D8}"/>
    <cellStyle name="SAPBEXheaderItem 2 2 3 15 2" xfId="14058" xr:uid="{15753D1B-CE75-4814-A3D3-61EF46E8FC9C}"/>
    <cellStyle name="SAPBEXheaderItem 2 2 3 16" xfId="14059" xr:uid="{EEF441AB-0C21-467A-8A8A-A947D300FF0E}"/>
    <cellStyle name="SAPBEXheaderItem 2 2 3 2" xfId="14060" xr:uid="{75D03E17-EB7B-4635-9E7B-83CE579FC3BC}"/>
    <cellStyle name="SAPBEXheaderItem 2 2 3 2 2" xfId="14061" xr:uid="{DCBC4501-4D31-4C7B-A358-9FB14CADF827}"/>
    <cellStyle name="SAPBEXheaderItem 2 2 3 3" xfId="14062" xr:uid="{ADC00F30-7A26-4FBA-B27E-928500E83678}"/>
    <cellStyle name="SAPBEXheaderItem 2 2 3 3 2" xfId="14063" xr:uid="{E95A9C42-CDE3-4C65-A5CC-6E9CF304932E}"/>
    <cellStyle name="SAPBEXheaderItem 2 2 3 4" xfId="14064" xr:uid="{0DECCA62-1AB7-43FB-90B7-A760ED33D6CE}"/>
    <cellStyle name="SAPBEXheaderItem 2 2 3 4 2" xfId="14065" xr:uid="{CBF16475-ACD4-498B-A975-F017A1A92A8E}"/>
    <cellStyle name="SAPBEXheaderItem 2 2 3 5" xfId="14066" xr:uid="{1D8E2864-3F51-40BB-8CF6-887BB28C3AE1}"/>
    <cellStyle name="SAPBEXheaderItem 2 2 3 5 2" xfId="14067" xr:uid="{5228A50F-1725-42A0-98E8-E881D2A5A77E}"/>
    <cellStyle name="SAPBEXheaderItem 2 2 3 6" xfId="14068" xr:uid="{459E32FD-6391-439D-8C58-56C28A085E74}"/>
    <cellStyle name="SAPBEXheaderItem 2 2 3 6 2" xfId="14069" xr:uid="{3526BB28-97A6-4740-AD88-0FC8F70A4E72}"/>
    <cellStyle name="SAPBEXheaderItem 2 2 3 7" xfId="14070" xr:uid="{0C5AADF3-DEFC-4786-9DE3-BD4A0B0D50C7}"/>
    <cellStyle name="SAPBEXheaderItem 2 2 3 7 2" xfId="14071" xr:uid="{5591B688-4145-40DF-87E7-E10C693D4F49}"/>
    <cellStyle name="SAPBEXheaderItem 2 2 3 8" xfId="14072" xr:uid="{BB988857-07B6-4FE8-A483-199663300EB7}"/>
    <cellStyle name="SAPBEXheaderItem 2 2 3 8 2" xfId="14073" xr:uid="{9C3E3C78-0391-45DC-82E8-96811C8D35EC}"/>
    <cellStyle name="SAPBEXheaderItem 2 2 3 9" xfId="14074" xr:uid="{8D5EFE75-9BF3-4F70-9A7E-A4E0DBB2A06E}"/>
    <cellStyle name="SAPBEXheaderItem 2 2 3 9 2" xfId="14075" xr:uid="{74B27C60-3BD0-4775-8057-7C3199A7DAAA}"/>
    <cellStyle name="SAPBEXheaderItem 2 2 4" xfId="14076" xr:uid="{B30AF808-06A8-43D6-A4E1-6ACA7B8F318C}"/>
    <cellStyle name="SAPBEXheaderItem 2 2 4 2" xfId="14077" xr:uid="{66B8A4F0-C976-47CF-A69B-D69F020E9C2B}"/>
    <cellStyle name="SAPBEXheaderItem 2 2 5" xfId="14078" xr:uid="{8A2B14E4-ADCE-4DB6-A9AF-59ADB9BD788F}"/>
    <cellStyle name="SAPBEXheaderItem 2 2 5 2" xfId="14079" xr:uid="{71325971-CD9D-482E-964A-8610D8B31ADB}"/>
    <cellStyle name="SAPBEXheaderItem 2 2 6" xfId="14080" xr:uid="{09AEE09A-35B8-4104-8580-CD470B0BC7FA}"/>
    <cellStyle name="SAPBEXheaderItem 2 2 6 2" xfId="14081" xr:uid="{F5811C31-3D91-47C8-975F-9A28171ED6CD}"/>
    <cellStyle name="SAPBEXheaderItem 2 2 7" xfId="14082" xr:uid="{8AD4F647-D14E-4AF7-8570-8C4EBC2ACE23}"/>
    <cellStyle name="SAPBEXheaderItem 2 2 7 2" xfId="14083" xr:uid="{26E88367-3A2C-4D96-B9FB-261D11A924BB}"/>
    <cellStyle name="SAPBEXheaderItem 2 2 8" xfId="14084" xr:uid="{48A95E9E-A9B5-49CD-85AF-5750B63F08C3}"/>
    <cellStyle name="SAPBEXheaderItem 2 2 8 2" xfId="14085" xr:uid="{F2EDE340-CE51-404C-BD9D-41524751EB62}"/>
    <cellStyle name="SAPBEXheaderItem 2 2 9" xfId="14086" xr:uid="{DC072124-4431-4B3A-B950-E2A24E2C8B44}"/>
    <cellStyle name="SAPBEXheaderItem 2 2 9 2" xfId="14087" xr:uid="{6BB2EB41-72EA-4C53-BE11-C0A0616C7292}"/>
    <cellStyle name="SAPBEXheaderItem 2 3" xfId="14088" xr:uid="{70CC3A0F-E3AE-4E4E-AF11-43232960EEBD}"/>
    <cellStyle name="SAPBEXheaderItem 2 3 10" xfId="14089" xr:uid="{9BFAB4CD-3A6A-458D-9DF6-EA526151931E}"/>
    <cellStyle name="SAPBEXheaderItem 2 3 10 2" xfId="14090" xr:uid="{6E3A544D-5CAC-4D9F-8E90-31B43EB0A60F}"/>
    <cellStyle name="SAPBEXheaderItem 2 3 11" xfId="14091" xr:uid="{3EA4622F-82F8-4E40-A4CE-7DCF3AEB72B3}"/>
    <cellStyle name="SAPBEXheaderItem 2 3 11 2" xfId="14092" xr:uid="{65D837AB-6031-4AB2-AC73-2E1F71A4A0FD}"/>
    <cellStyle name="SAPBEXheaderItem 2 3 12" xfId="14093" xr:uid="{1BA4DDFC-3583-470B-8D52-B93AEF45C2A0}"/>
    <cellStyle name="SAPBEXheaderItem 2 3 12 2" xfId="14094" xr:uid="{5E2A17B2-2338-4448-8263-B6A96232A437}"/>
    <cellStyle name="SAPBEXheaderItem 2 3 13" xfId="14095" xr:uid="{6DBE0B0D-55C8-4EEE-8E7F-436457193E62}"/>
    <cellStyle name="SAPBEXheaderItem 2 3 13 2" xfId="14096" xr:uid="{54B27815-61F6-405F-B6AE-07B9D892A686}"/>
    <cellStyle name="SAPBEXheaderItem 2 3 14" xfId="14097" xr:uid="{B6A80846-A255-4D27-B239-CB8381FB9092}"/>
    <cellStyle name="SAPBEXheaderItem 2 3 14 2" xfId="14098" xr:uid="{8B379D3D-11F0-46C4-AB91-C8CABDCD764F}"/>
    <cellStyle name="SAPBEXheaderItem 2 3 15" xfId="14099" xr:uid="{45653D15-F811-4494-980C-DDE60AB2F5D2}"/>
    <cellStyle name="SAPBEXheaderItem 2 3 15 2" xfId="14100" xr:uid="{2A391320-00B0-449F-A22F-73F13F490C07}"/>
    <cellStyle name="SAPBEXheaderItem 2 3 16" xfId="14101" xr:uid="{CB2ABF90-C8F8-4284-A125-FBA51C6EAECA}"/>
    <cellStyle name="SAPBEXheaderItem 2 3 16 2" xfId="14102" xr:uid="{67D0F1C6-AFBD-4D88-B5F8-3B08426673F5}"/>
    <cellStyle name="SAPBEXheaderItem 2 3 17" xfId="14103" xr:uid="{C7516AC5-8C19-4224-9551-158C3A278EE0}"/>
    <cellStyle name="SAPBEXheaderItem 2 3 17 2" xfId="14104" xr:uid="{5C349399-7B01-449F-8AD4-A94A2C58B383}"/>
    <cellStyle name="SAPBEXheaderItem 2 3 18" xfId="14105" xr:uid="{362063A5-F03E-4219-BB82-AFD11CE9F4E6}"/>
    <cellStyle name="SAPBEXheaderItem 2 3 2" xfId="14106" xr:uid="{0EA930CF-6B11-483E-A011-FF111383FEDF}"/>
    <cellStyle name="SAPBEXheaderItem 2 3 2 10" xfId="14107" xr:uid="{FECE8260-2D8A-455D-88E3-51F63FE420C5}"/>
    <cellStyle name="SAPBEXheaderItem 2 3 2 10 2" xfId="14108" xr:uid="{984EAC05-568D-4055-9928-48A727D5DE16}"/>
    <cellStyle name="SAPBEXheaderItem 2 3 2 11" xfId="14109" xr:uid="{0CF9BF87-2D76-40F0-B509-75423D15BC3D}"/>
    <cellStyle name="SAPBEXheaderItem 2 3 2 11 2" xfId="14110" xr:uid="{C6106A9E-D4B9-4EA9-9658-C1147A6FC45A}"/>
    <cellStyle name="SAPBEXheaderItem 2 3 2 12" xfId="14111" xr:uid="{F32B5E63-8366-4752-BB9C-550E12ABB0BB}"/>
    <cellStyle name="SAPBEXheaderItem 2 3 2 12 2" xfId="14112" xr:uid="{0ADE8E31-AFD6-4F14-8E86-7A42411B9344}"/>
    <cellStyle name="SAPBEXheaderItem 2 3 2 13" xfId="14113" xr:uid="{F7109814-A84E-4959-B4D3-113BC30ECA4F}"/>
    <cellStyle name="SAPBEXheaderItem 2 3 2 13 2" xfId="14114" xr:uid="{837241FC-FB0D-4A1C-9742-C0FF2C7A50DE}"/>
    <cellStyle name="SAPBEXheaderItem 2 3 2 14" xfId="14115" xr:uid="{3F369513-E5A0-4A9C-A928-EF6137B91907}"/>
    <cellStyle name="SAPBEXheaderItem 2 3 2 14 2" xfId="14116" xr:uid="{09EDA1A9-D572-4D3E-BCD9-4B1832B34542}"/>
    <cellStyle name="SAPBEXheaderItem 2 3 2 15" xfId="14117" xr:uid="{AE14C3A9-A352-4A02-A548-EF6FACB0CD60}"/>
    <cellStyle name="SAPBEXheaderItem 2 3 2 15 2" xfId="14118" xr:uid="{521ADBDB-2DEC-4EFA-9271-6CD95A7BEBFD}"/>
    <cellStyle name="SAPBEXheaderItem 2 3 2 16" xfId="14119" xr:uid="{0C770CCB-6BBD-4213-9623-60D324BE5D59}"/>
    <cellStyle name="SAPBEXheaderItem 2 3 2 2" xfId="14120" xr:uid="{EFA2AB96-8D46-4463-8866-77052EC59742}"/>
    <cellStyle name="SAPBEXheaderItem 2 3 2 2 2" xfId="14121" xr:uid="{D64ABC33-CAD5-4D7A-8C83-23B0FDB78911}"/>
    <cellStyle name="SAPBEXheaderItem 2 3 2 3" xfId="14122" xr:uid="{111B2101-5BEB-4CC7-89E5-9EDAE307CE03}"/>
    <cellStyle name="SAPBEXheaderItem 2 3 2 3 2" xfId="14123" xr:uid="{5F969259-7893-42E0-936C-C3C06142DA61}"/>
    <cellStyle name="SAPBEXheaderItem 2 3 2 4" xfId="14124" xr:uid="{F0D17564-C2E6-413A-A5E6-F463234C05F6}"/>
    <cellStyle name="SAPBEXheaderItem 2 3 2 4 2" xfId="14125" xr:uid="{49F09267-8300-4E84-912B-0FAABFF7A1D2}"/>
    <cellStyle name="SAPBEXheaderItem 2 3 2 5" xfId="14126" xr:uid="{B6CA5701-373F-40F3-A3B7-8D4A5D455467}"/>
    <cellStyle name="SAPBEXheaderItem 2 3 2 5 2" xfId="14127" xr:uid="{D01F76AD-A9DE-4091-A39D-E5C9E116BE4B}"/>
    <cellStyle name="SAPBEXheaderItem 2 3 2 6" xfId="14128" xr:uid="{DCEF887F-3FE1-469A-B5AC-3AA47FF31BC9}"/>
    <cellStyle name="SAPBEXheaderItem 2 3 2 6 2" xfId="14129" xr:uid="{C46D83D7-759F-4C6B-A0CB-94BF9104F318}"/>
    <cellStyle name="SAPBEXheaderItem 2 3 2 7" xfId="14130" xr:uid="{1C820F74-FD4D-4917-A401-5A5234A8FCC0}"/>
    <cellStyle name="SAPBEXheaderItem 2 3 2 7 2" xfId="14131" xr:uid="{C435D63C-2628-4918-93F7-C3D605EFF8C1}"/>
    <cellStyle name="SAPBEXheaderItem 2 3 2 8" xfId="14132" xr:uid="{ADC5CB03-987C-4C7F-89DB-5AFB04E2B1C6}"/>
    <cellStyle name="SAPBEXheaderItem 2 3 2 8 2" xfId="14133" xr:uid="{B1362B1B-21A1-4EC1-BF0B-69BA306AF1D3}"/>
    <cellStyle name="SAPBEXheaderItem 2 3 2 9" xfId="14134" xr:uid="{90E7EA46-1647-4299-8463-0183AF5BFB4F}"/>
    <cellStyle name="SAPBEXheaderItem 2 3 2 9 2" xfId="14135" xr:uid="{28896A6B-4717-4DDB-99A7-135CF69C69CF}"/>
    <cellStyle name="SAPBEXheaderItem 2 3 3" xfId="14136" xr:uid="{86DB5177-489C-4489-B6B4-5B96C1077844}"/>
    <cellStyle name="SAPBEXheaderItem 2 3 3 10" xfId="14137" xr:uid="{51FCBFD1-E027-4458-A89C-4B32B0DC26F6}"/>
    <cellStyle name="SAPBEXheaderItem 2 3 3 10 2" xfId="14138" xr:uid="{E0D0341C-3C00-4055-90F4-5D984ED2B99D}"/>
    <cellStyle name="SAPBEXheaderItem 2 3 3 11" xfId="14139" xr:uid="{6BD740CF-EF10-4026-977D-2DCCB775910A}"/>
    <cellStyle name="SAPBEXheaderItem 2 3 3 11 2" xfId="14140" xr:uid="{EA232C86-1BBF-4670-8186-E2B95191AE88}"/>
    <cellStyle name="SAPBEXheaderItem 2 3 3 12" xfId="14141" xr:uid="{D372ADCD-A2AE-4823-A354-88717628D165}"/>
    <cellStyle name="SAPBEXheaderItem 2 3 3 12 2" xfId="14142" xr:uid="{E1F67358-8FAC-485B-A6B1-AEBF121E894E}"/>
    <cellStyle name="SAPBEXheaderItem 2 3 3 13" xfId="14143" xr:uid="{E2C1FA0A-49A9-4EAE-A2CD-AAEADFD1B4A6}"/>
    <cellStyle name="SAPBEXheaderItem 2 3 3 13 2" xfId="14144" xr:uid="{C235737F-A4A1-4F00-8950-C21849C55EEB}"/>
    <cellStyle name="SAPBEXheaderItem 2 3 3 14" xfId="14145" xr:uid="{DE1EA77A-AA90-4542-95B9-1599C92722D4}"/>
    <cellStyle name="SAPBEXheaderItem 2 3 3 14 2" xfId="14146" xr:uid="{5AEBC67A-1B28-4188-9437-A4C2909057D4}"/>
    <cellStyle name="SAPBEXheaderItem 2 3 3 15" xfId="14147" xr:uid="{5D8FAEC9-9DE2-46EC-8E6E-348E4B6A6528}"/>
    <cellStyle name="SAPBEXheaderItem 2 3 3 15 2" xfId="14148" xr:uid="{9E85DFBC-AF1C-42AB-9CDC-6C5EDE90D69A}"/>
    <cellStyle name="SAPBEXheaderItem 2 3 3 16" xfId="14149" xr:uid="{A09A9D1A-B043-46EC-A2B4-084D090714BF}"/>
    <cellStyle name="SAPBEXheaderItem 2 3 3 2" xfId="14150" xr:uid="{8F196C16-28E0-474D-BFB0-514EC9F7580F}"/>
    <cellStyle name="SAPBEXheaderItem 2 3 3 2 2" xfId="14151" xr:uid="{3C47889F-3DDA-48B2-8AD8-19DEA5A88D7C}"/>
    <cellStyle name="SAPBEXheaderItem 2 3 3 3" xfId="14152" xr:uid="{D2EF5DF1-7237-40B1-8951-B37B4D58A7F8}"/>
    <cellStyle name="SAPBEXheaderItem 2 3 3 3 2" xfId="14153" xr:uid="{0CBCD4F5-744D-43DA-8F5B-12196C8A70E8}"/>
    <cellStyle name="SAPBEXheaderItem 2 3 3 4" xfId="14154" xr:uid="{EEDB83BE-D372-4D15-A6DF-A9C944EA06DA}"/>
    <cellStyle name="SAPBEXheaderItem 2 3 3 4 2" xfId="14155" xr:uid="{D8D7B81F-3BC1-4E32-B55B-8FAC8C02459D}"/>
    <cellStyle name="SAPBEXheaderItem 2 3 3 5" xfId="14156" xr:uid="{33F9787B-8891-4255-A1D8-2D8682CA4819}"/>
    <cellStyle name="SAPBEXheaderItem 2 3 3 5 2" xfId="14157" xr:uid="{1CC4777B-524A-4847-9B70-895D5ED44253}"/>
    <cellStyle name="SAPBEXheaderItem 2 3 3 6" xfId="14158" xr:uid="{E9AADE74-D694-4B1F-AAEB-BAD11193D087}"/>
    <cellStyle name="SAPBEXheaderItem 2 3 3 6 2" xfId="14159" xr:uid="{800BA095-9FE8-4E90-9A51-0907F845C536}"/>
    <cellStyle name="SAPBEXheaderItem 2 3 3 7" xfId="14160" xr:uid="{036C7619-1319-478A-A0E7-41259F6CA883}"/>
    <cellStyle name="SAPBEXheaderItem 2 3 3 7 2" xfId="14161" xr:uid="{A3B2348C-B0A2-481D-98CD-59374CE906B9}"/>
    <cellStyle name="SAPBEXheaderItem 2 3 3 8" xfId="14162" xr:uid="{44F42199-39B4-444A-B144-7D8D7D461A04}"/>
    <cellStyle name="SAPBEXheaderItem 2 3 3 8 2" xfId="14163" xr:uid="{85FCAE77-C6DD-4569-9C3D-049358006F46}"/>
    <cellStyle name="SAPBEXheaderItem 2 3 3 9" xfId="14164" xr:uid="{72B07FD2-23B0-4A7D-A5EF-B6A6E4DD4EF9}"/>
    <cellStyle name="SAPBEXheaderItem 2 3 3 9 2" xfId="14165" xr:uid="{5D63F4A3-2250-4C6C-8653-9BE7F897A790}"/>
    <cellStyle name="SAPBEXheaderItem 2 3 4" xfId="14166" xr:uid="{71330788-749E-4CC7-AAE9-D4CB6FA470B3}"/>
    <cellStyle name="SAPBEXheaderItem 2 3 4 2" xfId="14167" xr:uid="{6E581F6C-94C9-44E4-94C2-F2559045E1CE}"/>
    <cellStyle name="SAPBEXheaderItem 2 3 5" xfId="14168" xr:uid="{CB0F55F5-362F-4BCA-B226-4850273559BC}"/>
    <cellStyle name="SAPBEXheaderItem 2 3 5 2" xfId="14169" xr:uid="{8F015815-AE92-44D8-AE3A-1AA44CFA173A}"/>
    <cellStyle name="SAPBEXheaderItem 2 3 6" xfId="14170" xr:uid="{AB38E620-6677-40E9-A206-602AFC9D0E81}"/>
    <cellStyle name="SAPBEXheaderItem 2 3 6 2" xfId="14171" xr:uid="{4DCC6A5A-BE72-46F1-A8C7-628EC59F88AA}"/>
    <cellStyle name="SAPBEXheaderItem 2 3 7" xfId="14172" xr:uid="{C3145745-35CB-424E-B0D1-E7E4EDEE4A55}"/>
    <cellStyle name="SAPBEXheaderItem 2 3 7 2" xfId="14173" xr:uid="{91817623-C733-4D75-A6D1-C3C7B2B48434}"/>
    <cellStyle name="SAPBEXheaderItem 2 3 8" xfId="14174" xr:uid="{2A77E1BE-DC23-4B95-B8C6-DBAAC40DB050}"/>
    <cellStyle name="SAPBEXheaderItem 2 3 8 2" xfId="14175" xr:uid="{DBF91BF1-5317-4784-BB99-39B39C36212D}"/>
    <cellStyle name="SAPBEXheaderItem 2 3 9" xfId="14176" xr:uid="{2DF05994-F594-4B10-9CA5-90D813A38C15}"/>
    <cellStyle name="SAPBEXheaderItem 2 3 9 2" xfId="14177" xr:uid="{8B37BFF0-2258-4782-9390-E9DDB4A52263}"/>
    <cellStyle name="SAPBEXheaderItem 2 4" xfId="14178" xr:uid="{D52E9F34-822C-4AB6-AE0E-C41DF0D65793}"/>
    <cellStyle name="SAPBEXheaderItem 2 4 10" xfId="14179" xr:uid="{B9FEA7B2-1DBA-455B-9B54-16B9079DA513}"/>
    <cellStyle name="SAPBEXheaderItem 2 4 10 2" xfId="14180" xr:uid="{8A8B9663-2065-41D2-A4DD-C8478A474304}"/>
    <cellStyle name="SAPBEXheaderItem 2 4 11" xfId="14181" xr:uid="{06FE8BB7-601D-4B8B-B172-254847F8836C}"/>
    <cellStyle name="SAPBEXheaderItem 2 4 11 2" xfId="14182" xr:uid="{3B536226-BDCA-45BC-AEC5-ABCD4C5B78CB}"/>
    <cellStyle name="SAPBEXheaderItem 2 4 12" xfId="14183" xr:uid="{FF950E16-2FD7-4D18-993A-CA170B1ACEEC}"/>
    <cellStyle name="SAPBEXheaderItem 2 4 12 2" xfId="14184" xr:uid="{D8A631F9-1DC9-4912-9C34-6894F4A487CA}"/>
    <cellStyle name="SAPBEXheaderItem 2 4 13" xfId="14185" xr:uid="{597DA577-0FB3-4EEB-BF1E-6C8A4A3C0CAC}"/>
    <cellStyle name="SAPBEXheaderItem 2 4 13 2" xfId="14186" xr:uid="{369A04ED-B4B9-4819-9841-1B05E4699D53}"/>
    <cellStyle name="SAPBEXheaderItem 2 4 14" xfId="14187" xr:uid="{35FEB198-A24A-4154-937E-C416546C2614}"/>
    <cellStyle name="SAPBEXheaderItem 2 4 14 2" xfId="14188" xr:uid="{4FEF222B-C12D-4553-8B32-7A6366DB299F}"/>
    <cellStyle name="SAPBEXheaderItem 2 4 15" xfId="14189" xr:uid="{8C08A52D-9434-4D89-8A28-B3D955729090}"/>
    <cellStyle name="SAPBEXheaderItem 2 4 15 2" xfId="14190" xr:uid="{F098D39A-1B70-4E33-A88A-3610D6C8D17F}"/>
    <cellStyle name="SAPBEXheaderItem 2 4 16" xfId="14191" xr:uid="{0499C940-57EA-46F5-B1BF-74AC9EC45A4C}"/>
    <cellStyle name="SAPBEXheaderItem 2 4 16 2" xfId="14192" xr:uid="{9ECB1B1B-BB87-47F3-BD06-B47ABBD02B03}"/>
    <cellStyle name="SAPBEXheaderItem 2 4 17" xfId="14193" xr:uid="{E367F39B-A13C-42CD-8D45-DD62E7D7F0AF}"/>
    <cellStyle name="SAPBEXheaderItem 2 4 17 2" xfId="14194" xr:uid="{6A51363E-D641-448F-B7AB-AF2B2348B6D0}"/>
    <cellStyle name="SAPBEXheaderItem 2 4 18" xfId="14195" xr:uid="{530D3742-C9C1-4F17-99F1-F32AAC502C87}"/>
    <cellStyle name="SAPBEXheaderItem 2 4 2" xfId="14196" xr:uid="{3DA13505-FC8A-48EA-8C65-A6A938B0B635}"/>
    <cellStyle name="SAPBEXheaderItem 2 4 2 10" xfId="14197" xr:uid="{3A976283-1A86-4446-9A8D-8234D43F586C}"/>
    <cellStyle name="SAPBEXheaderItem 2 4 2 10 2" xfId="14198" xr:uid="{E6BFCEC5-3B93-410B-87C8-4D7F3A9E5647}"/>
    <cellStyle name="SAPBEXheaderItem 2 4 2 11" xfId="14199" xr:uid="{561A3A88-A243-4EE6-AC2C-895308FB31F8}"/>
    <cellStyle name="SAPBEXheaderItem 2 4 2 11 2" xfId="14200" xr:uid="{05A8EB2F-69F2-4C26-A1E5-7D81B6AA77CD}"/>
    <cellStyle name="SAPBEXheaderItem 2 4 2 12" xfId="14201" xr:uid="{E2D93755-C5C8-4D1F-B77D-B91FC532A3C3}"/>
    <cellStyle name="SAPBEXheaderItem 2 4 2 12 2" xfId="14202" xr:uid="{43115446-6131-437A-BD68-BA96CE203F74}"/>
    <cellStyle name="SAPBEXheaderItem 2 4 2 13" xfId="14203" xr:uid="{14C07F9C-1BE7-450B-B786-28E200F9FAF6}"/>
    <cellStyle name="SAPBEXheaderItem 2 4 2 13 2" xfId="14204" xr:uid="{312840D4-0914-4339-BE81-3ECE91DFD0B0}"/>
    <cellStyle name="SAPBEXheaderItem 2 4 2 14" xfId="14205" xr:uid="{562EAD51-F891-4500-81BA-A89817F33422}"/>
    <cellStyle name="SAPBEXheaderItem 2 4 2 14 2" xfId="14206" xr:uid="{34499DC9-7B7E-4427-A1E7-42D82AC21389}"/>
    <cellStyle name="SAPBEXheaderItem 2 4 2 15" xfId="14207" xr:uid="{47810394-E249-47FA-85F6-CCBDAAE8DFF8}"/>
    <cellStyle name="SAPBEXheaderItem 2 4 2 15 2" xfId="14208" xr:uid="{4E4D7EA0-D376-49BC-B3E3-B8D77978D3AC}"/>
    <cellStyle name="SAPBEXheaderItem 2 4 2 16" xfId="14209" xr:uid="{716562B2-6D1D-40D0-9686-2CE59E111EE3}"/>
    <cellStyle name="SAPBEXheaderItem 2 4 2 2" xfId="14210" xr:uid="{8C93C4B0-CBC0-412F-8717-E941F9E12EC0}"/>
    <cellStyle name="SAPBEXheaderItem 2 4 2 2 2" xfId="14211" xr:uid="{3EAB1BE1-2854-484D-A435-0B28AE06827A}"/>
    <cellStyle name="SAPBEXheaderItem 2 4 2 3" xfId="14212" xr:uid="{8757D82C-1024-4A72-AF39-0A5C8EE6BD5D}"/>
    <cellStyle name="SAPBEXheaderItem 2 4 2 3 2" xfId="14213" xr:uid="{14F55725-F69D-432D-A10B-52D97C7B4515}"/>
    <cellStyle name="SAPBEXheaderItem 2 4 2 4" xfId="14214" xr:uid="{CA98D93F-5087-4DF9-AB72-D8499FC49361}"/>
    <cellStyle name="SAPBEXheaderItem 2 4 2 4 2" xfId="14215" xr:uid="{E8365A3A-20BD-4917-942D-6CF068A60E70}"/>
    <cellStyle name="SAPBEXheaderItem 2 4 2 5" xfId="14216" xr:uid="{A1DD38F5-89DE-407C-BBE2-2A0564462205}"/>
    <cellStyle name="SAPBEXheaderItem 2 4 2 5 2" xfId="14217" xr:uid="{78759004-533C-426E-B189-EC4C784077E0}"/>
    <cellStyle name="SAPBEXheaderItem 2 4 2 6" xfId="14218" xr:uid="{6885F725-1CAD-4EF3-8909-0CC9867D08DE}"/>
    <cellStyle name="SAPBEXheaderItem 2 4 2 6 2" xfId="14219" xr:uid="{B62B9B5E-D66A-4992-AB97-4E84A9F66B88}"/>
    <cellStyle name="SAPBEXheaderItem 2 4 2 7" xfId="14220" xr:uid="{261E67A5-BDC3-4478-B09D-3ADC073E0DFF}"/>
    <cellStyle name="SAPBEXheaderItem 2 4 2 7 2" xfId="14221" xr:uid="{B921DC09-5C43-44FD-9653-6544B6993259}"/>
    <cellStyle name="SAPBEXheaderItem 2 4 2 8" xfId="14222" xr:uid="{4B402AD7-F825-49A1-995D-8B27EDE7C384}"/>
    <cellStyle name="SAPBEXheaderItem 2 4 2 8 2" xfId="14223" xr:uid="{BF6A9516-1165-486D-B2EF-183777DD230D}"/>
    <cellStyle name="SAPBEXheaderItem 2 4 2 9" xfId="14224" xr:uid="{36AFF5C0-75C2-44A2-9BEF-7AD55A42E42A}"/>
    <cellStyle name="SAPBEXheaderItem 2 4 2 9 2" xfId="14225" xr:uid="{E1ACED39-7D57-45DD-B227-9CD56B75F28C}"/>
    <cellStyle name="SAPBEXheaderItem 2 4 3" xfId="14226" xr:uid="{3B0E58D5-9F1F-4CA7-A787-4D2B5D7D2005}"/>
    <cellStyle name="SAPBEXheaderItem 2 4 3 10" xfId="14227" xr:uid="{71ADFAB2-437B-4417-A1B2-5F675A0D501D}"/>
    <cellStyle name="SAPBEXheaderItem 2 4 3 10 2" xfId="14228" xr:uid="{A478824F-DB65-4DFF-BA6D-7D563F5E9E77}"/>
    <cellStyle name="SAPBEXheaderItem 2 4 3 11" xfId="14229" xr:uid="{8B59DDEF-98DF-4E10-BBA0-0D5F42941677}"/>
    <cellStyle name="SAPBEXheaderItem 2 4 3 11 2" xfId="14230" xr:uid="{407F9BDE-76F5-41C4-B47A-5D59EF26AE6A}"/>
    <cellStyle name="SAPBEXheaderItem 2 4 3 12" xfId="14231" xr:uid="{20B9D411-C8C5-4C97-906B-52A5582CC14B}"/>
    <cellStyle name="SAPBEXheaderItem 2 4 3 12 2" xfId="14232" xr:uid="{0778AD14-832D-4CFF-B594-3BBF9ED02FC0}"/>
    <cellStyle name="SAPBEXheaderItem 2 4 3 13" xfId="14233" xr:uid="{DA1DD977-499F-4AD9-B82F-C3A025B7CEE0}"/>
    <cellStyle name="SAPBEXheaderItem 2 4 3 13 2" xfId="14234" xr:uid="{DA8684E7-C860-4412-87B6-E8B6CD17F9F3}"/>
    <cellStyle name="SAPBEXheaderItem 2 4 3 14" xfId="14235" xr:uid="{B6C1802B-D236-46E5-9973-F9582899B7E0}"/>
    <cellStyle name="SAPBEXheaderItem 2 4 3 14 2" xfId="14236" xr:uid="{BA102A85-AC9E-45D9-AA2F-61889708B5FB}"/>
    <cellStyle name="SAPBEXheaderItem 2 4 3 15" xfId="14237" xr:uid="{4FA4B674-9C43-4D20-895D-BD76B481FA26}"/>
    <cellStyle name="SAPBEXheaderItem 2 4 3 15 2" xfId="14238" xr:uid="{FEB428B4-DC20-45BF-BE74-6FF4D488A5B5}"/>
    <cellStyle name="SAPBEXheaderItem 2 4 3 16" xfId="14239" xr:uid="{383E4D50-94D0-402E-BB01-3C209D7AC2BC}"/>
    <cellStyle name="SAPBEXheaderItem 2 4 3 2" xfId="14240" xr:uid="{EE4F843A-989E-49DC-BBEC-DDBE98265B78}"/>
    <cellStyle name="SAPBEXheaderItem 2 4 3 2 2" xfId="14241" xr:uid="{48FC42C9-0EAE-4640-8AEB-CC9825D67991}"/>
    <cellStyle name="SAPBEXheaderItem 2 4 3 3" xfId="14242" xr:uid="{2FF13518-C795-4016-8F87-99B0E60E316F}"/>
    <cellStyle name="SAPBEXheaderItem 2 4 3 3 2" xfId="14243" xr:uid="{E5EA0C5E-A267-48BD-BF6F-C86A8AC9CCD9}"/>
    <cellStyle name="SAPBEXheaderItem 2 4 3 4" xfId="14244" xr:uid="{C419CCA0-47F3-4FB6-AD2E-53F33619A5B0}"/>
    <cellStyle name="SAPBEXheaderItem 2 4 3 4 2" xfId="14245" xr:uid="{5CC9D66F-27E4-4E95-9D4F-EDC6DB4EB5E1}"/>
    <cellStyle name="SAPBEXheaderItem 2 4 3 5" xfId="14246" xr:uid="{9722F2AA-A212-4FA8-B5F2-7051B661977F}"/>
    <cellStyle name="SAPBEXheaderItem 2 4 3 5 2" xfId="14247" xr:uid="{2AB1ADAB-F1A5-43A1-A5BC-E353C8827B4B}"/>
    <cellStyle name="SAPBEXheaderItem 2 4 3 6" xfId="14248" xr:uid="{02149EF3-793F-4839-ADE6-3F3144EB8993}"/>
    <cellStyle name="SAPBEXheaderItem 2 4 3 6 2" xfId="14249" xr:uid="{4016D7BC-23E1-4513-A281-2E5D69E8941B}"/>
    <cellStyle name="SAPBEXheaderItem 2 4 3 7" xfId="14250" xr:uid="{E0B16B73-4DF0-433F-842E-0E593F0F09D2}"/>
    <cellStyle name="SAPBEXheaderItem 2 4 3 7 2" xfId="14251" xr:uid="{C567599A-6FD8-4B3E-A8DC-62E4850CCCFE}"/>
    <cellStyle name="SAPBEXheaderItem 2 4 3 8" xfId="14252" xr:uid="{5BD3800B-7488-4897-B05C-9A95257E296D}"/>
    <cellStyle name="SAPBEXheaderItem 2 4 3 8 2" xfId="14253" xr:uid="{85A2D823-FE35-443B-BBC4-29D2E70B901D}"/>
    <cellStyle name="SAPBEXheaderItem 2 4 3 9" xfId="14254" xr:uid="{F63B306E-2E3E-4B7F-8609-962FB920B27F}"/>
    <cellStyle name="SAPBEXheaderItem 2 4 3 9 2" xfId="14255" xr:uid="{DB8207F5-49F3-462E-B3B9-9663B56FC7FA}"/>
    <cellStyle name="SAPBEXheaderItem 2 4 4" xfId="14256" xr:uid="{752F77F6-F0BB-46CF-8AAF-FC02C2FF7F57}"/>
    <cellStyle name="SAPBEXheaderItem 2 4 4 2" xfId="14257" xr:uid="{968D58F5-9B67-4914-99DC-A0DA3EFBC4C7}"/>
    <cellStyle name="SAPBEXheaderItem 2 4 5" xfId="14258" xr:uid="{8F8D960A-351D-428F-8ED9-39D5DE79A41E}"/>
    <cellStyle name="SAPBEXheaderItem 2 4 5 2" xfId="14259" xr:uid="{BDF7D1C0-6710-4617-A97D-FB5E9B544302}"/>
    <cellStyle name="SAPBEXheaderItem 2 4 6" xfId="14260" xr:uid="{F4EE371A-BAB2-4E1E-A1F0-E2634EDB3379}"/>
    <cellStyle name="SAPBEXheaderItem 2 4 6 2" xfId="14261" xr:uid="{11015688-6C60-46F9-86EF-E856688F9B7B}"/>
    <cellStyle name="SAPBEXheaderItem 2 4 7" xfId="14262" xr:uid="{51D8FD27-D3E5-44C7-8092-5FD1B23F5005}"/>
    <cellStyle name="SAPBEXheaderItem 2 4 7 2" xfId="14263" xr:uid="{01B49CA9-471B-4DD2-A2AC-4A8BBCE590B9}"/>
    <cellStyle name="SAPBEXheaderItem 2 4 8" xfId="14264" xr:uid="{3B36FF4E-CF40-4006-BDF5-91787D3A42CE}"/>
    <cellStyle name="SAPBEXheaderItem 2 4 8 2" xfId="14265" xr:uid="{99EF3790-DBA9-49FB-A8A2-0DDC04463DAB}"/>
    <cellStyle name="SAPBEXheaderItem 2 4 9" xfId="14266" xr:uid="{2B3FE1C9-8522-4E0C-9CA1-45DCE5BE5DAF}"/>
    <cellStyle name="SAPBEXheaderItem 2 4 9 2" xfId="14267" xr:uid="{AAD071A3-4264-4FA5-AE37-EB9B22F43FF0}"/>
    <cellStyle name="SAPBEXheaderItem 2 5" xfId="14268" xr:uid="{F31E7BBD-C15A-479E-B074-FBA12EB8F633}"/>
    <cellStyle name="SAPBEXheaderItem 2 5 10" xfId="14269" xr:uid="{E9D12A39-E3CF-49A8-976D-A782DE92E482}"/>
    <cellStyle name="SAPBEXheaderItem 2 5 10 2" xfId="14270" xr:uid="{36372EC4-51A9-4861-8BD5-99B25A8B7B16}"/>
    <cellStyle name="SAPBEXheaderItem 2 5 11" xfId="14271" xr:uid="{A7CC813A-BE12-414B-B315-A82107342F94}"/>
    <cellStyle name="SAPBEXheaderItem 2 5 11 2" xfId="14272" xr:uid="{B957E9E8-8445-4020-8E3B-8EE281AA27BA}"/>
    <cellStyle name="SAPBEXheaderItem 2 5 12" xfId="14273" xr:uid="{6063489D-F0AD-49DA-8F1B-2B78E1F7DFD8}"/>
    <cellStyle name="SAPBEXheaderItem 2 5 12 2" xfId="14274" xr:uid="{BD7CDCAA-0E4F-4E07-9A1D-94AAB4F8E739}"/>
    <cellStyle name="SAPBEXheaderItem 2 5 13" xfId="14275" xr:uid="{EB7BB7DF-1128-4158-8847-6A93535E1C67}"/>
    <cellStyle name="SAPBEXheaderItem 2 5 13 2" xfId="14276" xr:uid="{005B3BB4-BC0A-4F1C-8F3C-54DD9572D730}"/>
    <cellStyle name="SAPBEXheaderItem 2 5 14" xfId="14277" xr:uid="{05BD3D7B-10E8-4DE3-972C-F94538F3FB9C}"/>
    <cellStyle name="SAPBEXheaderItem 2 5 14 2" xfId="14278" xr:uid="{79467B01-3AF8-48DF-A667-0C5924CEF622}"/>
    <cellStyle name="SAPBEXheaderItem 2 5 15" xfId="14279" xr:uid="{A27EA292-C890-43B2-B98C-0F30CFB37F39}"/>
    <cellStyle name="SAPBEXheaderItem 2 5 15 2" xfId="14280" xr:uid="{01E76E10-0A45-4EA4-97A6-FBE894C74A6A}"/>
    <cellStyle name="SAPBEXheaderItem 2 5 16" xfId="14281" xr:uid="{F03AA61E-8511-4082-9BE0-31E9C26B7200}"/>
    <cellStyle name="SAPBEXheaderItem 2 5 2" xfId="14282" xr:uid="{6F214F51-DD9A-4A2C-8181-E1E45C708223}"/>
    <cellStyle name="SAPBEXheaderItem 2 5 2 2" xfId="14283" xr:uid="{9281DE36-A628-4AAA-A139-6A0EE837BD3F}"/>
    <cellStyle name="SAPBEXheaderItem 2 5 3" xfId="14284" xr:uid="{8E7BF2CB-A476-4E9F-AF1B-3B0995C62EB3}"/>
    <cellStyle name="SAPBEXheaderItem 2 5 3 2" xfId="14285" xr:uid="{6BB8D2AF-011A-4447-8619-CE5DC3F626D6}"/>
    <cellStyle name="SAPBEXheaderItem 2 5 4" xfId="14286" xr:uid="{C0864C46-B413-4EB8-A61E-E662B2AF7FF7}"/>
    <cellStyle name="SAPBEXheaderItem 2 5 4 2" xfId="14287" xr:uid="{19D21FDD-0580-4EB0-A798-FA3D02893944}"/>
    <cellStyle name="SAPBEXheaderItem 2 5 5" xfId="14288" xr:uid="{A3D9E7DA-04F6-4045-9BEA-4E9BF7583E63}"/>
    <cellStyle name="SAPBEXheaderItem 2 5 5 2" xfId="14289" xr:uid="{9B1FBCA8-FDE2-41BC-AE80-6EF4FFDCE294}"/>
    <cellStyle name="SAPBEXheaderItem 2 5 6" xfId="14290" xr:uid="{EC31BEC4-870A-4D96-9072-46FB3D4E8CFF}"/>
    <cellStyle name="SAPBEXheaderItem 2 5 6 2" xfId="14291" xr:uid="{01E80A4B-DB19-4EB6-BC17-4493D6D24722}"/>
    <cellStyle name="SAPBEXheaderItem 2 5 7" xfId="14292" xr:uid="{AD918417-6E0B-4287-8756-80DEB28A33EC}"/>
    <cellStyle name="SAPBEXheaderItem 2 5 7 2" xfId="14293" xr:uid="{C75C5E6F-98BA-4BAE-9063-9616688701AE}"/>
    <cellStyle name="SAPBEXheaderItem 2 5 8" xfId="14294" xr:uid="{50A9EDAA-AC6E-4015-80E4-CDFC23C06B2B}"/>
    <cellStyle name="SAPBEXheaderItem 2 5 8 2" xfId="14295" xr:uid="{15893B83-5F12-4604-B87F-3083A790B977}"/>
    <cellStyle name="SAPBEXheaderItem 2 5 9" xfId="14296" xr:uid="{38593651-D4DB-4EA1-95DC-0FBB31B81F1C}"/>
    <cellStyle name="SAPBEXheaderItem 2 5 9 2" xfId="14297" xr:uid="{8374046E-9E74-44EA-8876-C1350FEFF9D5}"/>
    <cellStyle name="SAPBEXheaderItem 2 6" xfId="14298" xr:uid="{9EB16D41-382D-431F-88FF-0B5E1463C999}"/>
    <cellStyle name="SAPBEXheaderItem 2 6 2" xfId="14299" xr:uid="{9BA212C2-7471-424B-887C-343B791B1A92}"/>
    <cellStyle name="SAPBEXheaderItem 2 7" xfId="14300" xr:uid="{D3862490-71CA-47EE-BAD2-FFE0A09F12AB}"/>
    <cellStyle name="SAPBEXheaderItem 2 7 2" xfId="14301" xr:uid="{A4824540-552B-4EE8-B456-F02116BC77A9}"/>
    <cellStyle name="SAPBEXheaderItem 2 8" xfId="14302" xr:uid="{BB68EE52-B135-450E-8CB8-4E7EE1C7627A}"/>
    <cellStyle name="SAPBEXheaderItem 2 8 2" xfId="14303" xr:uid="{9B46C0D5-B4EB-4318-963C-6C7BC63831AA}"/>
    <cellStyle name="SAPBEXheaderItem 2 9" xfId="14304" xr:uid="{A4687F6D-837B-4BD1-8884-201547088B56}"/>
    <cellStyle name="SAPBEXheaderItem 2 9 2" xfId="14305" xr:uid="{01439E21-DD2B-48A4-BA4B-E4E4D7C861B5}"/>
    <cellStyle name="SAPBEXheaderItem 2_T1 ANSP" xfId="13977" xr:uid="{57F6F7AD-DBF1-43A3-A5CF-4C6CABA98CC2}"/>
    <cellStyle name="SAPBEXheaderItem 20" xfId="14306" xr:uid="{DDAA9F96-AF2F-495B-99E4-3AA8D5633DA0}"/>
    <cellStyle name="SAPBEXheaderItem 3" xfId="1517" xr:uid="{00000000-0005-0000-0000-000087050000}"/>
    <cellStyle name="SAPBEXheaderItem 4" xfId="14307" xr:uid="{3CBFAAD6-E9C4-434F-B7CB-F321F3B5BB5D}"/>
    <cellStyle name="SAPBEXheaderItem 5" xfId="14308" xr:uid="{184B8EBD-02B9-4244-B122-09FB0B0FEC27}"/>
    <cellStyle name="SAPBEXheaderItem 6" xfId="14309" xr:uid="{7876B4B7-A587-4C3A-BE88-3B3C9441C7AF}"/>
    <cellStyle name="SAPBEXheaderItem 6 2" xfId="14310" xr:uid="{BA81DE66-F4C9-4FCF-8C6C-2B4DFA1F7CB0}"/>
    <cellStyle name="SAPBEXheaderItem 7" xfId="14311" xr:uid="{492BF9B9-F1AA-4261-8F0A-98B5153A3E98}"/>
    <cellStyle name="SAPBEXheaderItem 7 2" xfId="14312" xr:uid="{9383C201-56A8-4535-9659-06F1D865E2C3}"/>
    <cellStyle name="SAPBEXheaderItem 8" xfId="14313" xr:uid="{D8DD0F3E-8B41-4413-8C05-1BF5B4669C85}"/>
    <cellStyle name="SAPBEXheaderItem 8 2" xfId="14314" xr:uid="{66D1C264-8DF1-401F-B8D5-6FA2AE5AB770}"/>
    <cellStyle name="SAPBEXheaderItem 9" xfId="14315" xr:uid="{DDD8CDE0-418D-4DAB-B42F-17EF0BE04B7D}"/>
    <cellStyle name="SAPBEXheaderItem 9 2" xfId="14316" xr:uid="{FAE0C35D-9093-478A-BD41-DA624F474EA5}"/>
    <cellStyle name="SAPBEXheaderItem_T1 ANSP" xfId="13956" xr:uid="{25B6AA4C-144B-4B6B-BF46-FC20B9201D42}"/>
    <cellStyle name="SAPBEXheaderText" xfId="745" xr:uid="{00000000-0005-0000-0000-000088050000}"/>
    <cellStyle name="SAPBEXheaderText 10" xfId="14318" xr:uid="{C9398036-DE63-4CA2-A36A-54A09D39AB1F}"/>
    <cellStyle name="SAPBEXheaderText 10 2" xfId="14319" xr:uid="{CECEB945-852D-48F8-B839-12E479FD766C}"/>
    <cellStyle name="SAPBEXheaderText 11" xfId="14320" xr:uid="{034E11CA-54CF-46C4-BDEF-8989F022645E}"/>
    <cellStyle name="SAPBEXheaderText 11 2" xfId="14321" xr:uid="{0AC7C1D4-CB3E-4925-8A88-A60FE543846C}"/>
    <cellStyle name="SAPBEXheaderText 12" xfId="14322" xr:uid="{E939F62B-31FA-4842-88AD-19D40EECD296}"/>
    <cellStyle name="SAPBEXheaderText 12 2" xfId="14323" xr:uid="{1B8B851A-1EB8-41E1-AEE5-2B1800FAF0B4}"/>
    <cellStyle name="SAPBEXheaderText 13" xfId="14324" xr:uid="{7AF83F21-00F6-43A1-975D-3D3675E44196}"/>
    <cellStyle name="SAPBEXheaderText 13 2" xfId="14325" xr:uid="{5F710596-6AAE-447D-A88D-406CA37C6D7F}"/>
    <cellStyle name="SAPBEXheaderText 14" xfId="14326" xr:uid="{194A5B21-B2AB-4EA5-BC2D-A9F136DF6B09}"/>
    <cellStyle name="SAPBEXheaderText 14 2" xfId="14327" xr:uid="{349BE6D5-C78F-4323-80FD-4012CB4C2A7F}"/>
    <cellStyle name="SAPBEXheaderText 15" xfId="14328" xr:uid="{08586349-0FE9-451B-A79F-B45B7CB52A65}"/>
    <cellStyle name="SAPBEXheaderText 15 2" xfId="14329" xr:uid="{C6131055-8ADF-4C02-80E2-2358428E2596}"/>
    <cellStyle name="SAPBEXheaderText 16" xfId="14330" xr:uid="{21240888-5D73-4D03-B55F-F8E91999C6E1}"/>
    <cellStyle name="SAPBEXheaderText 16 2" xfId="14331" xr:uid="{915B8442-6DC7-4D65-B56B-CEB5E87C88C5}"/>
    <cellStyle name="SAPBEXheaderText 17" xfId="14332" xr:uid="{BCC504DE-FD12-4896-A0CC-9C04029885F1}"/>
    <cellStyle name="SAPBEXheaderText 17 2" xfId="14333" xr:uid="{BEE5819E-7697-4703-A94F-7D5A5C460763}"/>
    <cellStyle name="SAPBEXheaderText 18" xfId="14334" xr:uid="{E364507E-E798-44F9-AC11-B8E8CB03686B}"/>
    <cellStyle name="SAPBEXheaderText 18 2" xfId="14335" xr:uid="{B6916634-6C0F-4EA8-ABFD-B01A875FD6F3}"/>
    <cellStyle name="SAPBEXheaderText 19" xfId="14336" xr:uid="{85E380FC-C343-49E1-8F0D-F1B549D3E32A}"/>
    <cellStyle name="SAPBEXheaderText 19 2" xfId="14337" xr:uid="{54B9AB6D-05B1-459D-9764-A7FE3D7B45E5}"/>
    <cellStyle name="SAPBEXheaderText 2" xfId="1559" xr:uid="{00000000-0005-0000-0000-000089050000}"/>
    <cellStyle name="SAPBEXheaderText 2 10" xfId="14339" xr:uid="{AD8F9E34-EA29-4F25-96E0-DC236D647B0C}"/>
    <cellStyle name="SAPBEXheaderText 2 10 2" xfId="14340" xr:uid="{469B30DC-0349-4BC0-A671-348D025AFBF1}"/>
    <cellStyle name="SAPBEXheaderText 2 11" xfId="14341" xr:uid="{93CBE2A1-8F9D-4530-9E7D-3933DA4CFD10}"/>
    <cellStyle name="SAPBEXheaderText 2 11 2" xfId="14342" xr:uid="{4FDCEC0E-155A-4B25-932A-70F93DEFB86D}"/>
    <cellStyle name="SAPBEXheaderText 2 12" xfId="14343" xr:uid="{237C9509-334A-4941-B5C3-AFFFB7EE6F5E}"/>
    <cellStyle name="SAPBEXheaderText 2 12 2" xfId="14344" xr:uid="{8F612D02-DA20-472B-B474-1F51DCBD1F8F}"/>
    <cellStyle name="SAPBEXheaderText 2 13" xfId="14345" xr:uid="{4E1F5D28-9A0F-4CFD-AB32-BBBFA4592DDC}"/>
    <cellStyle name="SAPBEXheaderText 2 13 2" xfId="14346" xr:uid="{CE67F271-BDD3-475C-9FED-5FD3F15DEC43}"/>
    <cellStyle name="SAPBEXheaderText 2 14" xfId="14347" xr:uid="{30901E9F-D9E2-427B-BAB4-8D1FCC2F36A4}"/>
    <cellStyle name="SAPBEXheaderText 2 14 2" xfId="14348" xr:uid="{F244C3D6-9F43-45F8-A909-AC1B7E4D7818}"/>
    <cellStyle name="SAPBEXheaderText 2 15" xfId="14349" xr:uid="{2F47FD31-E4F5-4A07-A3FB-3AA07381E432}"/>
    <cellStyle name="SAPBEXheaderText 2 15 2" xfId="14350" xr:uid="{15FAC23C-6E59-4CAA-A378-D1EC82AF3A78}"/>
    <cellStyle name="SAPBEXheaderText 2 16" xfId="14351" xr:uid="{7386568F-874F-4CA1-A7CD-E3A32284AFD8}"/>
    <cellStyle name="SAPBEXheaderText 2 16 2" xfId="14352" xr:uid="{A1E25AEE-B37E-4EB3-B130-56F51A253149}"/>
    <cellStyle name="SAPBEXheaderText 2 17" xfId="14353" xr:uid="{F500D9FF-6A6A-4826-8B58-C502D357E423}"/>
    <cellStyle name="SAPBEXheaderText 2 17 2" xfId="14354" xr:uid="{37A20E38-8F4C-4CC9-A9AE-346C5D6C7C49}"/>
    <cellStyle name="SAPBEXheaderText 2 18" xfId="14355" xr:uid="{1703FF37-BA20-4F0D-8BC1-3EC24D48AF3F}"/>
    <cellStyle name="SAPBEXheaderText 2 18 2" xfId="14356" xr:uid="{753E7B98-23E8-40CE-AC25-9AAD08419B4D}"/>
    <cellStyle name="SAPBEXheaderText 2 19" xfId="14357" xr:uid="{E8C1C82E-7A07-456D-810E-21EB41E9F6AC}"/>
    <cellStyle name="SAPBEXheaderText 2 19 2" xfId="14358" xr:uid="{082B137F-FF01-4FE0-A133-8F1C34D2DE45}"/>
    <cellStyle name="SAPBEXheaderText 2 2" xfId="14359" xr:uid="{CB3958F7-7121-43E1-924F-405978C27A87}"/>
    <cellStyle name="SAPBEXheaderText 2 2 10" xfId="14360" xr:uid="{4584FF75-B7F1-4BDE-A621-9852486CDFE2}"/>
    <cellStyle name="SAPBEXheaderText 2 2 10 2" xfId="14361" xr:uid="{F4C820E3-7004-4F4E-89AD-03C54C647361}"/>
    <cellStyle name="SAPBEXheaderText 2 2 11" xfId="14362" xr:uid="{BB7A91B6-995F-4316-B2FB-9F3B3B41088A}"/>
    <cellStyle name="SAPBEXheaderText 2 2 11 2" xfId="14363" xr:uid="{574E6950-2233-4E7B-B625-589F87B1C3AC}"/>
    <cellStyle name="SAPBEXheaderText 2 2 12" xfId="14364" xr:uid="{FD4CD72A-9002-4393-9218-320EE3588821}"/>
    <cellStyle name="SAPBEXheaderText 2 2 12 2" xfId="14365" xr:uid="{84A8B587-D896-4F68-9CD2-314197D95580}"/>
    <cellStyle name="SAPBEXheaderText 2 2 13" xfId="14366" xr:uid="{AA3DB331-A6B3-4302-874C-A8F92EEDDD74}"/>
    <cellStyle name="SAPBEXheaderText 2 2 13 2" xfId="14367" xr:uid="{0CFC908C-0CBA-4C5C-A9E0-1B5AE353BF89}"/>
    <cellStyle name="SAPBEXheaderText 2 2 14" xfId="14368" xr:uid="{91DCA41A-2444-42CE-9ABF-80C52A8B9833}"/>
    <cellStyle name="SAPBEXheaderText 2 2 14 2" xfId="14369" xr:uid="{DD50C01B-E876-4CD5-A1DC-324D6EF8E5F1}"/>
    <cellStyle name="SAPBEXheaderText 2 2 15" xfId="14370" xr:uid="{FBBA27FF-78A3-4831-8862-CBA0A64922C6}"/>
    <cellStyle name="SAPBEXheaderText 2 2 15 2" xfId="14371" xr:uid="{0C2076D5-2183-42E3-B58E-714A409A35C0}"/>
    <cellStyle name="SAPBEXheaderText 2 2 16" xfId="14372" xr:uid="{B01E2E93-CFCC-47C4-9CC7-2C60748EFBA0}"/>
    <cellStyle name="SAPBEXheaderText 2 2 16 2" xfId="14373" xr:uid="{C1C97C68-BDFB-404D-B654-4DFC90EA1776}"/>
    <cellStyle name="SAPBEXheaderText 2 2 17" xfId="14374" xr:uid="{3F6ED5CA-0C67-4045-AF9A-30A8061DE3C1}"/>
    <cellStyle name="SAPBEXheaderText 2 2 17 2" xfId="14375" xr:uid="{DAAFCBE0-0EE7-4ADB-AA76-0A036F5EAD6D}"/>
    <cellStyle name="SAPBEXheaderText 2 2 18" xfId="14376" xr:uid="{54191F94-FE14-48D8-B603-A090BDE8A342}"/>
    <cellStyle name="SAPBEXheaderText 2 2 2" xfId="14377" xr:uid="{A0BAA30B-5D3C-4BB1-8E95-B532D2D37E78}"/>
    <cellStyle name="SAPBEXheaderText 2 2 2 10" xfId="14378" xr:uid="{EFA234D9-3AA7-4A84-B6A4-F2EC675C3FCC}"/>
    <cellStyle name="SAPBEXheaderText 2 2 2 10 2" xfId="14379" xr:uid="{3BCAC477-5781-4427-8FA9-1E8190DD9C03}"/>
    <cellStyle name="SAPBEXheaderText 2 2 2 11" xfId="14380" xr:uid="{84C6AA2A-5AA6-4B81-966E-A3A23EAF7F61}"/>
    <cellStyle name="SAPBEXheaderText 2 2 2 11 2" xfId="14381" xr:uid="{F59C5E75-265A-4958-9180-C501274CE7A0}"/>
    <cellStyle name="SAPBEXheaderText 2 2 2 12" xfId="14382" xr:uid="{96A6E7E6-013C-4809-9D1F-D63E22A2D6ED}"/>
    <cellStyle name="SAPBEXheaderText 2 2 2 12 2" xfId="14383" xr:uid="{6B7C738A-393E-4F70-B53B-3E97C2FC0B3C}"/>
    <cellStyle name="SAPBEXheaderText 2 2 2 13" xfId="14384" xr:uid="{85870964-1891-4AF6-9DED-99E1FAD6B633}"/>
    <cellStyle name="SAPBEXheaderText 2 2 2 13 2" xfId="14385" xr:uid="{91B2BB5B-98CF-4BD1-995B-F462C3915205}"/>
    <cellStyle name="SAPBEXheaderText 2 2 2 14" xfId="14386" xr:uid="{82B04736-8DB0-4B14-BDC0-731452B1A565}"/>
    <cellStyle name="SAPBEXheaderText 2 2 2 14 2" xfId="14387" xr:uid="{A4559824-E678-4963-B8BB-62A28FE85E0C}"/>
    <cellStyle name="SAPBEXheaderText 2 2 2 15" xfId="14388" xr:uid="{197A1939-346D-42E8-A4C6-494FD24D688E}"/>
    <cellStyle name="SAPBEXheaderText 2 2 2 15 2" xfId="14389" xr:uid="{D951D7A0-A7A8-4EE4-B031-3EA2DFD4A26F}"/>
    <cellStyle name="SAPBEXheaderText 2 2 2 16" xfId="14390" xr:uid="{053AC28F-4A1C-4610-8C71-BEE2F309EF02}"/>
    <cellStyle name="SAPBEXheaderText 2 2 2 2" xfId="14391" xr:uid="{2232181A-CA6C-4186-ADFC-965979C133A5}"/>
    <cellStyle name="SAPBEXheaderText 2 2 2 2 2" xfId="14392" xr:uid="{9E81C694-E0E2-4DDA-A5E8-AA7D9347EFB1}"/>
    <cellStyle name="SAPBEXheaderText 2 2 2 3" xfId="14393" xr:uid="{BD161270-F68E-44FC-90F2-C03A427ECB9C}"/>
    <cellStyle name="SAPBEXheaderText 2 2 2 3 2" xfId="14394" xr:uid="{5191777D-B36B-48C7-9CED-DB0CF3736DD5}"/>
    <cellStyle name="SAPBEXheaderText 2 2 2 4" xfId="14395" xr:uid="{6786734B-9572-4201-B17D-83DC9590DE47}"/>
    <cellStyle name="SAPBEXheaderText 2 2 2 4 2" xfId="14396" xr:uid="{6B4BC14E-F0C1-491A-AD2F-B5AB74C667A5}"/>
    <cellStyle name="SAPBEXheaderText 2 2 2 5" xfId="14397" xr:uid="{9AE9233C-2915-4371-AB1E-BF0FF446085E}"/>
    <cellStyle name="SAPBEXheaderText 2 2 2 5 2" xfId="14398" xr:uid="{61E3007B-CC36-4302-835E-EF2151AB0ADD}"/>
    <cellStyle name="SAPBEXheaderText 2 2 2 6" xfId="14399" xr:uid="{45656BB7-454B-425D-B538-87A3D661A12D}"/>
    <cellStyle name="SAPBEXheaderText 2 2 2 6 2" xfId="14400" xr:uid="{61AEB195-9053-4F3B-8E9D-5B830AB8C62B}"/>
    <cellStyle name="SAPBEXheaderText 2 2 2 7" xfId="14401" xr:uid="{E36821C4-F68E-4EFA-9BA5-CC0265DAB958}"/>
    <cellStyle name="SAPBEXheaderText 2 2 2 7 2" xfId="14402" xr:uid="{B5F92221-CF6C-4766-B9E1-6BAE863AC2AD}"/>
    <cellStyle name="SAPBEXheaderText 2 2 2 8" xfId="14403" xr:uid="{6C6DB758-2459-4DA2-B55F-6608D87BE603}"/>
    <cellStyle name="SAPBEXheaderText 2 2 2 8 2" xfId="14404" xr:uid="{6664BCC0-E885-4D21-A094-DF8B5DE17377}"/>
    <cellStyle name="SAPBEXheaderText 2 2 2 9" xfId="14405" xr:uid="{FC4C44F6-843F-449C-B1A1-513BB2FAE5A2}"/>
    <cellStyle name="SAPBEXheaderText 2 2 2 9 2" xfId="14406" xr:uid="{CC072157-78A5-45E3-89A7-03BF15DEE939}"/>
    <cellStyle name="SAPBEXheaderText 2 2 3" xfId="14407" xr:uid="{8FD8E16F-957F-4D7A-81B8-AB71603BC4D9}"/>
    <cellStyle name="SAPBEXheaderText 2 2 3 10" xfId="14408" xr:uid="{64B36B23-3C87-4BEB-9F8D-9C190F26FDD7}"/>
    <cellStyle name="SAPBEXheaderText 2 2 3 10 2" xfId="14409" xr:uid="{61C68EA0-30FD-463C-B1D8-9E901E41B5F1}"/>
    <cellStyle name="SAPBEXheaderText 2 2 3 11" xfId="14410" xr:uid="{A76AF45D-D370-4DA6-8D45-2C3366C9E13D}"/>
    <cellStyle name="SAPBEXheaderText 2 2 3 11 2" xfId="14411" xr:uid="{A631244F-15F9-43AD-B6AE-8AE37B6B24A6}"/>
    <cellStyle name="SAPBEXheaderText 2 2 3 12" xfId="14412" xr:uid="{4F13AE53-760C-43AB-8DA6-CCBC4D548ABA}"/>
    <cellStyle name="SAPBEXheaderText 2 2 3 12 2" xfId="14413" xr:uid="{AD0E06B8-917B-424D-AD73-E50BEFC36146}"/>
    <cellStyle name="SAPBEXheaderText 2 2 3 13" xfId="14414" xr:uid="{788C8DB3-D3A2-49B3-9388-51300DAADE41}"/>
    <cellStyle name="SAPBEXheaderText 2 2 3 13 2" xfId="14415" xr:uid="{ADF1AC11-7C08-4E25-B3D4-C9C0B01E9B6B}"/>
    <cellStyle name="SAPBEXheaderText 2 2 3 14" xfId="14416" xr:uid="{0ABE3C9B-8427-4C29-BB0F-32B6C09FD236}"/>
    <cellStyle name="SAPBEXheaderText 2 2 3 14 2" xfId="14417" xr:uid="{AC07BC1F-A7CA-4A35-98F5-516740E7EA37}"/>
    <cellStyle name="SAPBEXheaderText 2 2 3 15" xfId="14418" xr:uid="{90407415-0230-4F52-B308-23DFED916642}"/>
    <cellStyle name="SAPBEXheaderText 2 2 3 15 2" xfId="14419" xr:uid="{3673615F-8BF7-4DDE-A62D-CC12A0C4F52A}"/>
    <cellStyle name="SAPBEXheaderText 2 2 3 16" xfId="14420" xr:uid="{3DB564FA-645A-4122-A3C2-4E084BF1F9A3}"/>
    <cellStyle name="SAPBEXheaderText 2 2 3 2" xfId="14421" xr:uid="{AFB8A209-BDAD-4A8C-87B0-F9EACB5F4FFC}"/>
    <cellStyle name="SAPBEXheaderText 2 2 3 2 2" xfId="14422" xr:uid="{D604755C-3BCA-4C80-B8D7-B3D5424EC8B0}"/>
    <cellStyle name="SAPBEXheaderText 2 2 3 3" xfId="14423" xr:uid="{72D0E505-69DD-406D-AFA6-41E29EF74294}"/>
    <cellStyle name="SAPBEXheaderText 2 2 3 3 2" xfId="14424" xr:uid="{3C70C9A5-B78D-4156-98E6-230B7A14493F}"/>
    <cellStyle name="SAPBEXheaderText 2 2 3 4" xfId="14425" xr:uid="{8B58E4B8-038C-47AF-8167-CFE8D904BF0B}"/>
    <cellStyle name="SAPBEXheaderText 2 2 3 4 2" xfId="14426" xr:uid="{680C17DA-4CAB-45E0-8C3E-B406C60D48FF}"/>
    <cellStyle name="SAPBEXheaderText 2 2 3 5" xfId="14427" xr:uid="{299F60D7-5ECE-4CD5-87B3-50BD530B6147}"/>
    <cellStyle name="SAPBEXheaderText 2 2 3 5 2" xfId="14428" xr:uid="{239480E9-7C84-4366-8BEE-ABD5AB884581}"/>
    <cellStyle name="SAPBEXheaderText 2 2 3 6" xfId="14429" xr:uid="{77911F1D-A1DF-49DE-8392-30DD36D92AD3}"/>
    <cellStyle name="SAPBEXheaderText 2 2 3 6 2" xfId="14430" xr:uid="{42FA7E7B-C52F-4A8F-8FCD-FABF5A9D9A34}"/>
    <cellStyle name="SAPBEXheaderText 2 2 3 7" xfId="14431" xr:uid="{44E4F4BB-44D8-483F-AA3E-3338F9F58916}"/>
    <cellStyle name="SAPBEXheaderText 2 2 3 7 2" xfId="14432" xr:uid="{C7EA45FA-5C04-4EB7-A6B3-84F010E55B35}"/>
    <cellStyle name="SAPBEXheaderText 2 2 3 8" xfId="14433" xr:uid="{AE62F863-89CA-45F0-9D4E-3B63502F0890}"/>
    <cellStyle name="SAPBEXheaderText 2 2 3 8 2" xfId="14434" xr:uid="{AF343543-6D25-4868-B36F-CE9E9C11D61F}"/>
    <cellStyle name="SAPBEXheaderText 2 2 3 9" xfId="14435" xr:uid="{91822728-6CB9-4C66-9A13-9AFDD7CB2CCF}"/>
    <cellStyle name="SAPBEXheaderText 2 2 3 9 2" xfId="14436" xr:uid="{A95EF975-C771-40CD-A5E7-3D65EE9EA250}"/>
    <cellStyle name="SAPBEXheaderText 2 2 4" xfId="14437" xr:uid="{12D4B723-9A1E-4D50-A263-08CAF3416D5D}"/>
    <cellStyle name="SAPBEXheaderText 2 2 4 2" xfId="14438" xr:uid="{E7248156-9975-439B-B3FE-6FC40A331A97}"/>
    <cellStyle name="SAPBEXheaderText 2 2 5" xfId="14439" xr:uid="{E559E908-A2B8-43DC-9603-463B4082BBEB}"/>
    <cellStyle name="SAPBEXheaderText 2 2 5 2" xfId="14440" xr:uid="{85B76E39-CAD0-46CC-A661-FBE76D3FC0DE}"/>
    <cellStyle name="SAPBEXheaderText 2 2 6" xfId="14441" xr:uid="{1C4460C3-EB51-4C13-9CE9-3027A78735BE}"/>
    <cellStyle name="SAPBEXheaderText 2 2 6 2" xfId="14442" xr:uid="{25552A93-1D7F-4F76-B03F-40A98CF29F5E}"/>
    <cellStyle name="SAPBEXheaderText 2 2 7" xfId="14443" xr:uid="{399D4DEA-075A-45C1-A743-DC4F53C152DE}"/>
    <cellStyle name="SAPBEXheaderText 2 2 7 2" xfId="14444" xr:uid="{2F18F105-02F2-4F09-9288-A4032F162E52}"/>
    <cellStyle name="SAPBEXheaderText 2 2 8" xfId="14445" xr:uid="{9DDE9E5C-70C5-4816-B2AB-4C1026B8A880}"/>
    <cellStyle name="SAPBEXheaderText 2 2 8 2" xfId="14446" xr:uid="{98274C89-4F67-4514-9ED3-6C41075DF909}"/>
    <cellStyle name="SAPBEXheaderText 2 2 9" xfId="14447" xr:uid="{720D39E0-437F-41B0-8FA6-2E2DD366F44A}"/>
    <cellStyle name="SAPBEXheaderText 2 2 9 2" xfId="14448" xr:uid="{AD057F15-C3F9-4CA2-AFDF-F813364034A6}"/>
    <cellStyle name="SAPBEXheaderText 2 3" xfId="14449" xr:uid="{F49655C0-78D4-4CA1-8D80-2028C842C9DF}"/>
    <cellStyle name="SAPBEXheaderText 2 3 10" xfId="14450" xr:uid="{5BACC211-0936-475F-A62C-61F68DE1E4CF}"/>
    <cellStyle name="SAPBEXheaderText 2 3 10 2" xfId="14451" xr:uid="{5C4D145E-3501-4608-B104-0918470201BB}"/>
    <cellStyle name="SAPBEXheaderText 2 3 11" xfId="14452" xr:uid="{5F329CE8-4F59-405D-9424-72D312E6F708}"/>
    <cellStyle name="SAPBEXheaderText 2 3 11 2" xfId="14453" xr:uid="{5CBC1F3A-5F67-42DA-9751-2F291A5F4314}"/>
    <cellStyle name="SAPBEXheaderText 2 3 12" xfId="14454" xr:uid="{8CBF3AEA-6566-4953-BACB-DCD99FB70BD6}"/>
    <cellStyle name="SAPBEXheaderText 2 3 12 2" xfId="14455" xr:uid="{445A4880-A0EC-4D13-B679-B7DFA8143838}"/>
    <cellStyle name="SAPBEXheaderText 2 3 13" xfId="14456" xr:uid="{FE836471-16E9-4232-A1AE-D466C40EC521}"/>
    <cellStyle name="SAPBEXheaderText 2 3 13 2" xfId="14457" xr:uid="{4241D8C9-28D8-4AC6-B6AA-1E6909D26AB3}"/>
    <cellStyle name="SAPBEXheaderText 2 3 14" xfId="14458" xr:uid="{A41A5A89-7451-4FCF-A4B7-67D69AEF18AE}"/>
    <cellStyle name="SAPBEXheaderText 2 3 14 2" xfId="14459" xr:uid="{9E7871F8-8447-453A-A272-015D13523307}"/>
    <cellStyle name="SAPBEXheaderText 2 3 15" xfId="14460" xr:uid="{91488D03-B691-4717-998C-3237759ADF02}"/>
    <cellStyle name="SAPBEXheaderText 2 3 15 2" xfId="14461" xr:uid="{F8EE4BA6-669D-474C-99E8-1DB80AE15343}"/>
    <cellStyle name="SAPBEXheaderText 2 3 16" xfId="14462" xr:uid="{506D8EF0-DEA0-4D79-B68E-E70CCE2005AD}"/>
    <cellStyle name="SAPBEXheaderText 2 3 16 2" xfId="14463" xr:uid="{27EFCDCC-48AC-4DD7-A899-927298B1E854}"/>
    <cellStyle name="SAPBEXheaderText 2 3 17" xfId="14464" xr:uid="{8B998011-5957-4522-9F15-1B61CE5975DD}"/>
    <cellStyle name="SAPBEXheaderText 2 3 17 2" xfId="14465" xr:uid="{3FA09CEB-07E6-48E9-A7CE-01C0127AA69D}"/>
    <cellStyle name="SAPBEXheaderText 2 3 18" xfId="14466" xr:uid="{F60E7EDB-4718-4850-989A-605CD339EA07}"/>
    <cellStyle name="SAPBEXheaderText 2 3 2" xfId="14467" xr:uid="{9B946156-9420-46FD-A3BE-E87A11563788}"/>
    <cellStyle name="SAPBEXheaderText 2 3 2 10" xfId="14468" xr:uid="{6A343923-9135-48CA-BC8E-80C1FFF768A5}"/>
    <cellStyle name="SAPBEXheaderText 2 3 2 10 2" xfId="14469" xr:uid="{7BAB58D4-5DE4-46FF-B0CC-87E720447862}"/>
    <cellStyle name="SAPBEXheaderText 2 3 2 11" xfId="14470" xr:uid="{8C393365-E944-44C2-858A-2EB26D04F486}"/>
    <cellStyle name="SAPBEXheaderText 2 3 2 11 2" xfId="14471" xr:uid="{B207908B-1D7B-4F1F-B677-752F23612A24}"/>
    <cellStyle name="SAPBEXheaderText 2 3 2 12" xfId="14472" xr:uid="{28C3C3FC-A5E7-4EB2-9198-D851B83DEC30}"/>
    <cellStyle name="SAPBEXheaderText 2 3 2 12 2" xfId="14473" xr:uid="{CD0E21D5-A292-41F9-9C62-BB36561CFADF}"/>
    <cellStyle name="SAPBEXheaderText 2 3 2 13" xfId="14474" xr:uid="{27316290-930F-4A12-9A4E-F3305BAB30E2}"/>
    <cellStyle name="SAPBEXheaderText 2 3 2 13 2" xfId="14475" xr:uid="{AE14B46F-6971-4FAB-B86C-7FF405AA3029}"/>
    <cellStyle name="SAPBEXheaderText 2 3 2 14" xfId="14476" xr:uid="{4532F3D1-2E2E-42F2-BB67-054F839EACBE}"/>
    <cellStyle name="SAPBEXheaderText 2 3 2 14 2" xfId="14477" xr:uid="{A4511119-3E6D-43A1-B4BE-817725AA4240}"/>
    <cellStyle name="SAPBEXheaderText 2 3 2 15" xfId="14478" xr:uid="{5115BD6C-9E70-479F-AE11-A578D2E49B4E}"/>
    <cellStyle name="SAPBEXheaderText 2 3 2 15 2" xfId="14479" xr:uid="{B69DE8AD-1890-44C5-AFEA-7ECE340B8FB9}"/>
    <cellStyle name="SAPBEXheaderText 2 3 2 16" xfId="14480" xr:uid="{63618422-3DD6-4572-AA74-AF8520FEEBC8}"/>
    <cellStyle name="SAPBEXheaderText 2 3 2 2" xfId="14481" xr:uid="{350EE754-8ABC-41B7-8020-E7B0037D4B91}"/>
    <cellStyle name="SAPBEXheaderText 2 3 2 2 2" xfId="14482" xr:uid="{72D0C0A1-C2CC-4C72-875E-6C980A3728CE}"/>
    <cellStyle name="SAPBEXheaderText 2 3 2 3" xfId="14483" xr:uid="{BFDCA6F8-F247-4DEF-BB90-0336E62AE1B1}"/>
    <cellStyle name="SAPBEXheaderText 2 3 2 3 2" xfId="14484" xr:uid="{6BD2BDFC-9688-4B73-B0BB-EDCF77623002}"/>
    <cellStyle name="SAPBEXheaderText 2 3 2 4" xfId="14485" xr:uid="{28927829-4C1D-42EA-ABA1-D53EE95DD473}"/>
    <cellStyle name="SAPBEXheaderText 2 3 2 4 2" xfId="14486" xr:uid="{8433B08F-35E3-4484-80E2-8174D593E8C3}"/>
    <cellStyle name="SAPBEXheaderText 2 3 2 5" xfId="14487" xr:uid="{67D9C9B0-B7EE-40C6-8F16-0B1F4BE2EEE4}"/>
    <cellStyle name="SAPBEXheaderText 2 3 2 5 2" xfId="14488" xr:uid="{6024E6D8-8670-4EF4-BCB4-0A0FADD6233F}"/>
    <cellStyle name="SAPBEXheaderText 2 3 2 6" xfId="14489" xr:uid="{26605933-D845-4CC8-9916-C464293D89D2}"/>
    <cellStyle name="SAPBEXheaderText 2 3 2 6 2" xfId="14490" xr:uid="{668DBDC4-552B-4CE3-8313-1049D4E36792}"/>
    <cellStyle name="SAPBEXheaderText 2 3 2 7" xfId="14491" xr:uid="{EA17E457-6E85-44AD-ACA1-0B1F477E8A3C}"/>
    <cellStyle name="SAPBEXheaderText 2 3 2 7 2" xfId="14492" xr:uid="{6F3559F6-0679-4456-9743-A9BC52A7DE6F}"/>
    <cellStyle name="SAPBEXheaderText 2 3 2 8" xfId="14493" xr:uid="{76315C87-7ABB-4707-AF46-AA3BA1875CC9}"/>
    <cellStyle name="SAPBEXheaderText 2 3 2 8 2" xfId="14494" xr:uid="{F84F60F3-7C16-491B-956C-FDB2C79E1E21}"/>
    <cellStyle name="SAPBEXheaderText 2 3 2 9" xfId="14495" xr:uid="{B68A4C50-C712-44BC-B350-A33A76E44B9D}"/>
    <cellStyle name="SAPBEXheaderText 2 3 2 9 2" xfId="14496" xr:uid="{498431E8-50DE-43FE-95C8-2FD4CF949274}"/>
    <cellStyle name="SAPBEXheaderText 2 3 3" xfId="14497" xr:uid="{71476B07-DEB1-4403-94D7-30D77311C30B}"/>
    <cellStyle name="SAPBEXheaderText 2 3 3 10" xfId="14498" xr:uid="{52A29B8A-DC2D-45C4-BFCC-6C8AAD1E08F8}"/>
    <cellStyle name="SAPBEXheaderText 2 3 3 10 2" xfId="14499" xr:uid="{7F4F6BD7-5D98-48A4-AA27-7E5C6E9F6F9A}"/>
    <cellStyle name="SAPBEXheaderText 2 3 3 11" xfId="14500" xr:uid="{315874D4-C4A8-4186-A3D5-F4A7BF78F250}"/>
    <cellStyle name="SAPBEXheaderText 2 3 3 11 2" xfId="14501" xr:uid="{22EC31A2-2EFC-44BF-A64B-19DF7B97070E}"/>
    <cellStyle name="SAPBEXheaderText 2 3 3 12" xfId="14502" xr:uid="{1AB97535-2422-4970-A49E-659A25A072B4}"/>
    <cellStyle name="SAPBEXheaderText 2 3 3 12 2" xfId="14503" xr:uid="{5664D663-343A-4EDE-A0C4-A7F4F415DEFA}"/>
    <cellStyle name="SAPBEXheaderText 2 3 3 13" xfId="14504" xr:uid="{030354C7-4144-4B15-A89F-F1ADED269126}"/>
    <cellStyle name="SAPBEXheaderText 2 3 3 13 2" xfId="14505" xr:uid="{BA0E1B7A-E9A7-4F4A-853B-4CB94AF4CBD5}"/>
    <cellStyle name="SAPBEXheaderText 2 3 3 14" xfId="14506" xr:uid="{B1344D20-79F6-415A-83D5-51E018E24ED8}"/>
    <cellStyle name="SAPBEXheaderText 2 3 3 14 2" xfId="14507" xr:uid="{ACCB52FE-3B2B-48A7-A827-A1E9FD1BA322}"/>
    <cellStyle name="SAPBEXheaderText 2 3 3 15" xfId="14508" xr:uid="{1C849D4B-A047-401E-9D91-4F3DDA810FCA}"/>
    <cellStyle name="SAPBEXheaderText 2 3 3 15 2" xfId="14509" xr:uid="{41AA4579-350B-4EAB-ACAF-61908CA1DBD9}"/>
    <cellStyle name="SAPBEXheaderText 2 3 3 16" xfId="14510" xr:uid="{F119C45F-60C6-4D45-B2D0-80EF6DDBF35F}"/>
    <cellStyle name="SAPBEXheaderText 2 3 3 2" xfId="14511" xr:uid="{7FAF8DEF-D9DC-4F73-99C2-03ED238A1B68}"/>
    <cellStyle name="SAPBEXheaderText 2 3 3 2 2" xfId="14512" xr:uid="{91523AAD-0CA6-4258-98B3-D504B27EE17C}"/>
    <cellStyle name="SAPBEXheaderText 2 3 3 3" xfId="14513" xr:uid="{0FD50ABA-5428-4541-84BA-0B9B49DC72EC}"/>
    <cellStyle name="SAPBEXheaderText 2 3 3 3 2" xfId="14514" xr:uid="{8327219E-BB88-4F8A-B5CF-4DC6706F1051}"/>
    <cellStyle name="SAPBEXheaderText 2 3 3 4" xfId="14515" xr:uid="{97DE3801-9513-4112-863F-C6BF21C6AF9C}"/>
    <cellStyle name="SAPBEXheaderText 2 3 3 4 2" xfId="14516" xr:uid="{D81DC9B6-C61D-44A6-BDF8-0F906FD969D3}"/>
    <cellStyle name="SAPBEXheaderText 2 3 3 5" xfId="14517" xr:uid="{7D6AFFCF-C0E7-4AA9-9122-AA2DA686628E}"/>
    <cellStyle name="SAPBEXheaderText 2 3 3 5 2" xfId="14518" xr:uid="{87E24B14-4893-45A0-9621-DEEE0C9A0219}"/>
    <cellStyle name="SAPBEXheaderText 2 3 3 6" xfId="14519" xr:uid="{FE903AA6-19FD-4B45-B0DF-A9CEF4EF7F5B}"/>
    <cellStyle name="SAPBEXheaderText 2 3 3 6 2" xfId="14520" xr:uid="{82EAE559-0FCC-4F80-98C9-8FFAE3730AD1}"/>
    <cellStyle name="SAPBEXheaderText 2 3 3 7" xfId="14521" xr:uid="{C547A2B7-505D-47C4-82FD-D032852AED6C}"/>
    <cellStyle name="SAPBEXheaderText 2 3 3 7 2" xfId="14522" xr:uid="{6F5B58A6-3DD8-447D-969C-BA0D9590B1DB}"/>
    <cellStyle name="SAPBEXheaderText 2 3 3 8" xfId="14523" xr:uid="{E9DC23CC-F6B0-4E69-9987-6FF4A56F2A23}"/>
    <cellStyle name="SAPBEXheaderText 2 3 3 8 2" xfId="14524" xr:uid="{24660B9D-37C6-4BB4-BE17-DBE7EADAB486}"/>
    <cellStyle name="SAPBEXheaderText 2 3 3 9" xfId="14525" xr:uid="{4D712D65-C49C-484D-9D37-E95B4C8D363C}"/>
    <cellStyle name="SAPBEXheaderText 2 3 3 9 2" xfId="14526" xr:uid="{A98DCEAA-054C-4018-A660-7D21B136E5F9}"/>
    <cellStyle name="SAPBEXheaderText 2 3 4" xfId="14527" xr:uid="{1895F2C8-ED1B-4CA5-B8B5-070E77B8E875}"/>
    <cellStyle name="SAPBEXheaderText 2 3 4 2" xfId="14528" xr:uid="{F4F00C68-6D2D-49C7-A4F3-8327EA39BA1D}"/>
    <cellStyle name="SAPBEXheaderText 2 3 5" xfId="14529" xr:uid="{4D99125F-268F-46C1-B302-6FA7F59B2573}"/>
    <cellStyle name="SAPBEXheaderText 2 3 5 2" xfId="14530" xr:uid="{05162D9A-09C2-4A91-8218-35CA54A4F606}"/>
    <cellStyle name="SAPBEXheaderText 2 3 6" xfId="14531" xr:uid="{053E887D-EAAB-4C03-BE33-B8F5C6C9AA50}"/>
    <cellStyle name="SAPBEXheaderText 2 3 6 2" xfId="14532" xr:uid="{C1B78EDA-801F-48DA-A003-5F6D7A9AE154}"/>
    <cellStyle name="SAPBEXheaderText 2 3 7" xfId="14533" xr:uid="{754BC469-4A2D-4AD3-A240-667FA80FB62D}"/>
    <cellStyle name="SAPBEXheaderText 2 3 7 2" xfId="14534" xr:uid="{740F82AA-A5C8-48D7-9AA4-007B9FE1FC17}"/>
    <cellStyle name="SAPBEXheaderText 2 3 8" xfId="14535" xr:uid="{5B39C11C-7348-4E37-BEDF-D67E2708A4E6}"/>
    <cellStyle name="SAPBEXheaderText 2 3 8 2" xfId="14536" xr:uid="{46221E81-5F93-47EF-B708-01836E4D49CD}"/>
    <cellStyle name="SAPBEXheaderText 2 3 9" xfId="14537" xr:uid="{FB54CB82-CE82-4049-AC8B-0BCA7AC500DF}"/>
    <cellStyle name="SAPBEXheaderText 2 3 9 2" xfId="14538" xr:uid="{B2FFFC09-2C2E-40E9-8E3C-223F961C3D2C}"/>
    <cellStyle name="SAPBEXheaderText 2 4" xfId="14539" xr:uid="{69D21C6E-DB00-49D6-977B-ABA6653DE56A}"/>
    <cellStyle name="SAPBEXheaderText 2 4 10" xfId="14540" xr:uid="{3F40445B-FE82-4812-862E-06CA79E5F987}"/>
    <cellStyle name="SAPBEXheaderText 2 4 10 2" xfId="14541" xr:uid="{1A84492A-0C25-4A95-97CE-A81DD1BEF87B}"/>
    <cellStyle name="SAPBEXheaderText 2 4 11" xfId="14542" xr:uid="{19AC645B-4D9D-46DA-8798-068805B2CD8C}"/>
    <cellStyle name="SAPBEXheaderText 2 4 11 2" xfId="14543" xr:uid="{A48FB757-ED98-4291-8831-893C9FE38EB5}"/>
    <cellStyle name="SAPBEXheaderText 2 4 12" xfId="14544" xr:uid="{4F1C87C3-33CA-4614-A10F-BFCBC52C9D87}"/>
    <cellStyle name="SAPBEXheaderText 2 4 12 2" xfId="14545" xr:uid="{1E3D911C-83D7-4331-8AAD-A4E3B55D6409}"/>
    <cellStyle name="SAPBEXheaderText 2 4 13" xfId="14546" xr:uid="{7981601C-152A-4030-8F6A-9BCC92D06937}"/>
    <cellStyle name="SAPBEXheaderText 2 4 13 2" xfId="14547" xr:uid="{2608896E-23B9-4B48-BCAB-4558EA23F3D4}"/>
    <cellStyle name="SAPBEXheaderText 2 4 14" xfId="14548" xr:uid="{413D49FA-8A1A-4960-8511-9BCDDA0130BB}"/>
    <cellStyle name="SAPBEXheaderText 2 4 14 2" xfId="14549" xr:uid="{B2728D88-0753-46F6-85C1-D51F0DC7EA0C}"/>
    <cellStyle name="SAPBEXheaderText 2 4 15" xfId="14550" xr:uid="{569C1C76-0058-4526-9F4E-BF796C1507D6}"/>
    <cellStyle name="SAPBEXheaderText 2 4 15 2" xfId="14551" xr:uid="{C304BA82-CD4A-4E16-8FDA-51B601DC0885}"/>
    <cellStyle name="SAPBEXheaderText 2 4 16" xfId="14552" xr:uid="{EAC413D7-45A3-47E2-ACBE-601F01AAF7A9}"/>
    <cellStyle name="SAPBEXheaderText 2 4 16 2" xfId="14553" xr:uid="{C78149E0-1506-4180-8AB2-A2F5C63B95D1}"/>
    <cellStyle name="SAPBEXheaderText 2 4 17" xfId="14554" xr:uid="{29F40418-2CD9-4905-9BB1-A2DB04169504}"/>
    <cellStyle name="SAPBEXheaderText 2 4 17 2" xfId="14555" xr:uid="{E40787C7-614D-4F60-B63D-8325AB4CD8BD}"/>
    <cellStyle name="SAPBEXheaderText 2 4 18" xfId="14556" xr:uid="{247A1826-43C3-4144-9C14-D52CB7036204}"/>
    <cellStyle name="SAPBEXheaderText 2 4 2" xfId="14557" xr:uid="{CA7F30E8-EEE7-468F-8878-C2B15840F596}"/>
    <cellStyle name="SAPBEXheaderText 2 4 2 10" xfId="14558" xr:uid="{341C95C8-0F1A-4EF2-8168-62F0F763A493}"/>
    <cellStyle name="SAPBEXheaderText 2 4 2 10 2" xfId="14559" xr:uid="{FB8D71A3-A065-4D6B-BF94-E2FF186EB98A}"/>
    <cellStyle name="SAPBEXheaderText 2 4 2 11" xfId="14560" xr:uid="{D4F381B0-1CC7-4AA0-BDF7-36067B636463}"/>
    <cellStyle name="SAPBEXheaderText 2 4 2 11 2" xfId="14561" xr:uid="{D000D448-D139-4A58-95F8-F08312CBC484}"/>
    <cellStyle name="SAPBEXheaderText 2 4 2 12" xfId="14562" xr:uid="{BDF2D746-1578-4AE8-90A8-4D9CEA0562B5}"/>
    <cellStyle name="SAPBEXheaderText 2 4 2 12 2" xfId="14563" xr:uid="{CF6B6C2B-FF52-48CA-ADD1-946A27A0B8B5}"/>
    <cellStyle name="SAPBEXheaderText 2 4 2 13" xfId="14564" xr:uid="{A8B831DB-8091-4CDE-A73C-FA212FF9F7A2}"/>
    <cellStyle name="SAPBEXheaderText 2 4 2 13 2" xfId="14565" xr:uid="{F8C9E77D-B884-4C41-A367-7C59636F4B94}"/>
    <cellStyle name="SAPBEXheaderText 2 4 2 14" xfId="14566" xr:uid="{9A2D9E9E-31FA-47E3-B963-1188704114A5}"/>
    <cellStyle name="SAPBEXheaderText 2 4 2 14 2" xfId="14567" xr:uid="{1CDCA1A2-73C4-4C79-9348-CD1FAE0B6705}"/>
    <cellStyle name="SAPBEXheaderText 2 4 2 15" xfId="14568" xr:uid="{53216065-7C2C-428B-B30E-F381A76DB30B}"/>
    <cellStyle name="SAPBEXheaderText 2 4 2 15 2" xfId="14569" xr:uid="{C6D9E777-3DF8-43DF-A0EB-34F9D6C41111}"/>
    <cellStyle name="SAPBEXheaderText 2 4 2 16" xfId="14570" xr:uid="{8DF395B3-5F92-424B-9873-AF32DA42F6B7}"/>
    <cellStyle name="SAPBEXheaderText 2 4 2 2" xfId="14571" xr:uid="{21CFC002-AFB1-4F2B-A069-98CA9AD19D20}"/>
    <cellStyle name="SAPBEXheaderText 2 4 2 2 2" xfId="14572" xr:uid="{287ADEAF-3E92-48E3-AD5B-A174CEEE18CC}"/>
    <cellStyle name="SAPBEXheaderText 2 4 2 3" xfId="14573" xr:uid="{F5DBA41E-1515-4592-8CD8-5217FB0CD563}"/>
    <cellStyle name="SAPBEXheaderText 2 4 2 3 2" xfId="14574" xr:uid="{C0C0AF56-B178-4DDB-9E4F-2E0A90133283}"/>
    <cellStyle name="SAPBEXheaderText 2 4 2 4" xfId="14575" xr:uid="{FD9975D6-51D0-475F-8642-2105C25CC649}"/>
    <cellStyle name="SAPBEXheaderText 2 4 2 4 2" xfId="14576" xr:uid="{321677F9-5B4A-4986-999A-F69528182CFA}"/>
    <cellStyle name="SAPBEXheaderText 2 4 2 5" xfId="14577" xr:uid="{93A47513-02F0-4091-BCAB-24E0FB9684B1}"/>
    <cellStyle name="SAPBEXheaderText 2 4 2 5 2" xfId="14578" xr:uid="{7F440A18-A64F-4C14-AB5B-AB811B5EC6E8}"/>
    <cellStyle name="SAPBEXheaderText 2 4 2 6" xfId="14579" xr:uid="{F1D20457-2871-44C5-B4D4-7964CF947205}"/>
    <cellStyle name="SAPBEXheaderText 2 4 2 6 2" xfId="14580" xr:uid="{35AC44A6-885E-4039-85BF-3AB467E4B406}"/>
    <cellStyle name="SAPBEXheaderText 2 4 2 7" xfId="14581" xr:uid="{B47474C5-F5DD-4F2A-ADF0-8BE7B42A8747}"/>
    <cellStyle name="SAPBEXheaderText 2 4 2 7 2" xfId="14582" xr:uid="{25B99B95-225E-47FB-B10E-F74399863DE1}"/>
    <cellStyle name="SAPBEXheaderText 2 4 2 8" xfId="14583" xr:uid="{FCC42C70-B076-4331-82B7-7EBAC82D2496}"/>
    <cellStyle name="SAPBEXheaderText 2 4 2 8 2" xfId="14584" xr:uid="{4F784CAB-489D-4721-9379-D792E53079FD}"/>
    <cellStyle name="SAPBEXheaderText 2 4 2 9" xfId="14585" xr:uid="{2F75164D-95B4-4675-B38F-439555D1D3D5}"/>
    <cellStyle name="SAPBEXheaderText 2 4 2 9 2" xfId="14586" xr:uid="{75165DA3-8030-41DB-AAA0-A71BB841C45F}"/>
    <cellStyle name="SAPBEXheaderText 2 4 3" xfId="14587" xr:uid="{752D432E-BA50-42E6-B8A2-D3A8F45FF106}"/>
    <cellStyle name="SAPBEXheaderText 2 4 3 10" xfId="14588" xr:uid="{2BA09E78-1B4A-4B36-9B87-3BE7EB1F4F82}"/>
    <cellStyle name="SAPBEXheaderText 2 4 3 10 2" xfId="14589" xr:uid="{6ED30028-2D4C-41FD-8A9A-1D36B214F705}"/>
    <cellStyle name="SAPBEXheaderText 2 4 3 11" xfId="14590" xr:uid="{06B8D57F-37F2-4416-B304-82824C8D6B66}"/>
    <cellStyle name="SAPBEXheaderText 2 4 3 11 2" xfId="14591" xr:uid="{AB357FC3-50B0-4EAA-8A9F-500E4772C5E6}"/>
    <cellStyle name="SAPBEXheaderText 2 4 3 12" xfId="14592" xr:uid="{E10E765D-4983-4E61-A007-809F0A11347D}"/>
    <cellStyle name="SAPBEXheaderText 2 4 3 12 2" xfId="14593" xr:uid="{53C8D3DD-5348-463D-AF50-9C0B47F6B3C8}"/>
    <cellStyle name="SAPBEXheaderText 2 4 3 13" xfId="14594" xr:uid="{887E6009-4175-41F8-98BD-DF20F6F6925E}"/>
    <cellStyle name="SAPBEXheaderText 2 4 3 13 2" xfId="14595" xr:uid="{3C3C2732-57E7-4EE9-9731-0948269C20C5}"/>
    <cellStyle name="SAPBEXheaderText 2 4 3 14" xfId="14596" xr:uid="{F33E0D53-FE66-4511-9ADB-3C1041729113}"/>
    <cellStyle name="SAPBEXheaderText 2 4 3 14 2" xfId="14597" xr:uid="{FEBCBF27-138C-4F50-9453-F1CEFE76305D}"/>
    <cellStyle name="SAPBEXheaderText 2 4 3 15" xfId="14598" xr:uid="{D98F033B-C005-4951-B37A-D129ED6DFDF1}"/>
    <cellStyle name="SAPBEXheaderText 2 4 3 15 2" xfId="14599" xr:uid="{1466933B-8000-429F-AF48-094375CB7C96}"/>
    <cellStyle name="SAPBEXheaderText 2 4 3 16" xfId="14600" xr:uid="{EBE3FE3C-E02D-42C4-A326-5FDFD33E3187}"/>
    <cellStyle name="SAPBEXheaderText 2 4 3 2" xfId="14601" xr:uid="{94BACE40-3FF3-4309-A666-E0BF4F1CFA42}"/>
    <cellStyle name="SAPBEXheaderText 2 4 3 2 2" xfId="14602" xr:uid="{45791F19-07E9-4241-B158-B3061B29CFFB}"/>
    <cellStyle name="SAPBEXheaderText 2 4 3 3" xfId="14603" xr:uid="{B079EA3A-C73B-4767-BC53-B82D5EC65351}"/>
    <cellStyle name="SAPBEXheaderText 2 4 3 3 2" xfId="14604" xr:uid="{48E155E1-4706-4B18-B938-EF4C500E0D42}"/>
    <cellStyle name="SAPBEXheaderText 2 4 3 4" xfId="14605" xr:uid="{635C8D77-52E2-4257-9C85-B5945CF27F48}"/>
    <cellStyle name="SAPBEXheaderText 2 4 3 4 2" xfId="14606" xr:uid="{80114501-9CA0-449E-AD39-BDA1BF22A386}"/>
    <cellStyle name="SAPBEXheaderText 2 4 3 5" xfId="14607" xr:uid="{08432E75-7F9A-43F6-8DE8-C6B149A43120}"/>
    <cellStyle name="SAPBEXheaderText 2 4 3 5 2" xfId="14608" xr:uid="{84CBDCB1-97DA-408C-A60F-8080257241C6}"/>
    <cellStyle name="SAPBEXheaderText 2 4 3 6" xfId="14609" xr:uid="{1EA498C6-448B-4D9B-B1C4-9CB347EB1652}"/>
    <cellStyle name="SAPBEXheaderText 2 4 3 6 2" xfId="14610" xr:uid="{7230DB88-7526-49C0-AC49-C522982A1930}"/>
    <cellStyle name="SAPBEXheaderText 2 4 3 7" xfId="14611" xr:uid="{07072A9C-6FEA-4246-9DF7-5B10F0358953}"/>
    <cellStyle name="SAPBEXheaderText 2 4 3 7 2" xfId="14612" xr:uid="{E78E3156-3E1C-4A78-93EA-C1F53C84AA15}"/>
    <cellStyle name="SAPBEXheaderText 2 4 3 8" xfId="14613" xr:uid="{974BA4EB-88A8-44F8-A0CE-847D4F458570}"/>
    <cellStyle name="SAPBEXheaderText 2 4 3 8 2" xfId="14614" xr:uid="{ADA6C7FD-0B1C-4350-A138-ED218DB03F81}"/>
    <cellStyle name="SAPBEXheaderText 2 4 3 9" xfId="14615" xr:uid="{557E4384-4D73-4F48-BD23-E75733844C87}"/>
    <cellStyle name="SAPBEXheaderText 2 4 3 9 2" xfId="14616" xr:uid="{905E400A-35C9-41F9-AD19-398673939F29}"/>
    <cellStyle name="SAPBEXheaderText 2 4 4" xfId="14617" xr:uid="{B10E34F7-0BC2-4B97-B6C2-32B3639C3FBF}"/>
    <cellStyle name="SAPBEXheaderText 2 4 4 2" xfId="14618" xr:uid="{452FF891-CACD-498C-A715-54CF6D651028}"/>
    <cellStyle name="SAPBEXheaderText 2 4 5" xfId="14619" xr:uid="{C153C38C-F445-48F5-803E-C10D9F525A5A}"/>
    <cellStyle name="SAPBEXheaderText 2 4 5 2" xfId="14620" xr:uid="{FBF2631B-FD6A-4199-8CB2-5A2485476139}"/>
    <cellStyle name="SAPBEXheaderText 2 4 6" xfId="14621" xr:uid="{872E6EC1-B6B4-46BA-B488-69193F6B5656}"/>
    <cellStyle name="SAPBEXheaderText 2 4 6 2" xfId="14622" xr:uid="{E6F6361A-9923-4551-9DD4-AA893C2E464E}"/>
    <cellStyle name="SAPBEXheaderText 2 4 7" xfId="14623" xr:uid="{A3BE17C7-DD83-472C-89D2-01E4667EDB2D}"/>
    <cellStyle name="SAPBEXheaderText 2 4 7 2" xfId="14624" xr:uid="{E1BDB818-60E6-4207-8C89-ED7039990FA1}"/>
    <cellStyle name="SAPBEXheaderText 2 4 8" xfId="14625" xr:uid="{C6A31F3B-E388-4216-A667-AF5C317DBB6F}"/>
    <cellStyle name="SAPBEXheaderText 2 4 8 2" xfId="14626" xr:uid="{EB54CC9D-9BCD-4DD3-A7EF-AB02CCC1BE7D}"/>
    <cellStyle name="SAPBEXheaderText 2 4 9" xfId="14627" xr:uid="{939E9D7A-88B6-4944-94E2-693250EE58D1}"/>
    <cellStyle name="SAPBEXheaderText 2 4 9 2" xfId="14628" xr:uid="{468EB648-D890-4DD8-B441-C7F121C565F8}"/>
    <cellStyle name="SAPBEXheaderText 2 5" xfId="14629" xr:uid="{C0E128DB-D7A1-48B2-AA8C-41EB6A67A708}"/>
    <cellStyle name="SAPBEXheaderText 2 5 10" xfId="14630" xr:uid="{4F040E24-1FED-4A7B-AC84-40B08C477DBB}"/>
    <cellStyle name="SAPBEXheaderText 2 5 10 2" xfId="14631" xr:uid="{B377C0F2-E0F4-4BDF-9509-8FEBC7DF5360}"/>
    <cellStyle name="SAPBEXheaderText 2 5 11" xfId="14632" xr:uid="{1F442D99-0950-479E-A88B-747FE81EA4CC}"/>
    <cellStyle name="SAPBEXheaderText 2 5 11 2" xfId="14633" xr:uid="{4A2B6A2A-8704-4014-AFB4-4E723D26910E}"/>
    <cellStyle name="SAPBEXheaderText 2 5 12" xfId="14634" xr:uid="{19AB6671-3ED4-4001-9A13-298F19A98C68}"/>
    <cellStyle name="SAPBEXheaderText 2 5 12 2" xfId="14635" xr:uid="{6990355F-3802-4972-AE6F-30ADBB81535C}"/>
    <cellStyle name="SAPBEXheaderText 2 5 13" xfId="14636" xr:uid="{27BE0777-F067-4A79-A662-EA7D5805011C}"/>
    <cellStyle name="SAPBEXheaderText 2 5 13 2" xfId="14637" xr:uid="{6E1F40BE-3C98-42E8-BB8B-96B6179E6CCD}"/>
    <cellStyle name="SAPBEXheaderText 2 5 14" xfId="14638" xr:uid="{327B7AA5-2D1D-428C-8570-9C23E456A611}"/>
    <cellStyle name="SAPBEXheaderText 2 5 14 2" xfId="14639" xr:uid="{92F04855-40D8-47A7-ACBC-935AC55147B4}"/>
    <cellStyle name="SAPBEXheaderText 2 5 15" xfId="14640" xr:uid="{996EA9ED-CDD0-4A58-BBE0-5A292BABCE7F}"/>
    <cellStyle name="SAPBEXheaderText 2 5 15 2" xfId="14641" xr:uid="{3BA899C7-13E9-47B1-AC1E-07997F27DFC7}"/>
    <cellStyle name="SAPBEXheaderText 2 5 16" xfId="14642" xr:uid="{0FCA84F0-B1BB-472F-B858-AFB05985EA21}"/>
    <cellStyle name="SAPBEXheaderText 2 5 2" xfId="14643" xr:uid="{282804D5-D374-41E4-9E9B-77C8B5324424}"/>
    <cellStyle name="SAPBEXheaderText 2 5 2 2" xfId="14644" xr:uid="{494F111C-81AE-4008-BF22-0A1518BF0547}"/>
    <cellStyle name="SAPBEXheaderText 2 5 3" xfId="14645" xr:uid="{8F239C4D-F51B-43FC-A899-DA298A18562B}"/>
    <cellStyle name="SAPBEXheaderText 2 5 3 2" xfId="14646" xr:uid="{CA6F71D1-16C3-48C3-9F29-17C317D79202}"/>
    <cellStyle name="SAPBEXheaderText 2 5 4" xfId="14647" xr:uid="{AE8BEECC-C3F6-4B97-BA1E-42E6AFCD4C85}"/>
    <cellStyle name="SAPBEXheaderText 2 5 4 2" xfId="14648" xr:uid="{AB9B846D-3408-4FD3-8CDA-59AC9C40F864}"/>
    <cellStyle name="SAPBEXheaderText 2 5 5" xfId="14649" xr:uid="{0B2F513C-1565-4EC6-98AE-FB01E8381E17}"/>
    <cellStyle name="SAPBEXheaderText 2 5 5 2" xfId="14650" xr:uid="{6FDC5DA2-72B8-40FA-AC01-04A852033973}"/>
    <cellStyle name="SAPBEXheaderText 2 5 6" xfId="14651" xr:uid="{F9E938D3-073F-4FF2-A88E-99DCAFF1A2D8}"/>
    <cellStyle name="SAPBEXheaderText 2 5 6 2" xfId="14652" xr:uid="{FC57D5DB-B3AE-47C1-B641-B17C842D1FD2}"/>
    <cellStyle name="SAPBEXheaderText 2 5 7" xfId="14653" xr:uid="{8FD35A2C-3FAB-4EA2-8D58-90054EDAA8E6}"/>
    <cellStyle name="SAPBEXheaderText 2 5 7 2" xfId="14654" xr:uid="{3E833726-D1EE-483D-A158-71F407C734CB}"/>
    <cellStyle name="SAPBEXheaderText 2 5 8" xfId="14655" xr:uid="{8C659E12-7AEA-4284-BAE0-A7F63382276D}"/>
    <cellStyle name="SAPBEXheaderText 2 5 8 2" xfId="14656" xr:uid="{01B980BF-9290-40EE-A9B4-35E2FEEBEF92}"/>
    <cellStyle name="SAPBEXheaderText 2 5 9" xfId="14657" xr:uid="{DFEC93DC-5F4B-4A02-B5E3-0519CEDB8F32}"/>
    <cellStyle name="SAPBEXheaderText 2 5 9 2" xfId="14658" xr:uid="{19D77FAD-0F7A-412D-BFD3-09D2BB5F6E61}"/>
    <cellStyle name="SAPBEXheaderText 2 6" xfId="14659" xr:uid="{B5F731AA-94CB-46DE-B1F3-8175547D8AE1}"/>
    <cellStyle name="SAPBEXheaderText 2 6 2" xfId="14660" xr:uid="{0FB70CF8-AF0D-4043-AA82-D2B136161003}"/>
    <cellStyle name="SAPBEXheaderText 2 7" xfId="14661" xr:uid="{0C50A806-C72B-412B-9F6B-3255237A23BC}"/>
    <cellStyle name="SAPBEXheaderText 2 7 2" xfId="14662" xr:uid="{BC31C0BA-1EBE-43C8-8285-6B589D1CFCB8}"/>
    <cellStyle name="SAPBEXheaderText 2 8" xfId="14663" xr:uid="{EDEE1089-EC90-4E6B-9B91-1F511727318B}"/>
    <cellStyle name="SAPBEXheaderText 2 8 2" xfId="14664" xr:uid="{800865CE-7A01-47D3-9A68-EC0471915018}"/>
    <cellStyle name="SAPBEXheaderText 2 9" xfId="14665" xr:uid="{A2D3E9AD-2D12-4FF2-8456-0002D7187633}"/>
    <cellStyle name="SAPBEXheaderText 2 9 2" xfId="14666" xr:uid="{364ABB81-57F8-482D-B1B6-FEE0825FA23C}"/>
    <cellStyle name="SAPBEXheaderText 2_T1 ANSP" xfId="14338" xr:uid="{C411E98F-BC74-4EB4-ACC6-B13FCA77F3F6}"/>
    <cellStyle name="SAPBEXheaderText 20" xfId="14667" xr:uid="{F747FDE9-2EEA-41FE-BD79-A40D998FACE5}"/>
    <cellStyle name="SAPBEXheaderText 3" xfId="1518" xr:uid="{00000000-0005-0000-0000-00008A050000}"/>
    <cellStyle name="SAPBEXheaderText 4" xfId="14668" xr:uid="{19C34E8A-16BF-4C12-8A92-F38C5569C519}"/>
    <cellStyle name="SAPBEXheaderText 5" xfId="14669" xr:uid="{44FE5911-7C0D-4F71-A0AC-72E1BA482FFF}"/>
    <cellStyle name="SAPBEXheaderText 6" xfId="14670" xr:uid="{572657A2-1B58-4476-8D5B-25D90E4623DD}"/>
    <cellStyle name="SAPBEXheaderText 6 2" xfId="14671" xr:uid="{B0FA6291-A414-4E43-8A06-BC1DA0E4389C}"/>
    <cellStyle name="SAPBEXheaderText 7" xfId="14672" xr:uid="{860E975F-4FC1-4002-BA12-CD09D4BA41B2}"/>
    <cellStyle name="SAPBEXheaderText 7 2" xfId="14673" xr:uid="{720F00DF-B6D9-4C48-8FCE-86E03393F0A1}"/>
    <cellStyle name="SAPBEXheaderText 8" xfId="14674" xr:uid="{F82BA928-3FAD-4549-ABB1-04B9B8D94643}"/>
    <cellStyle name="SAPBEXheaderText 8 2" xfId="14675" xr:uid="{CC2E89B1-A8CB-4F86-A180-075A1342C4C6}"/>
    <cellStyle name="SAPBEXheaderText 9" xfId="14676" xr:uid="{E1B12379-8A2E-4584-AB00-BAF7F421A384}"/>
    <cellStyle name="SAPBEXheaderText 9 2" xfId="14677" xr:uid="{1477490F-4A40-4903-B028-11B4C88DEFD3}"/>
    <cellStyle name="SAPBEXheaderText_T1 ANSP" xfId="14317" xr:uid="{DA5CADCA-9BDD-48E2-BF92-022327AD3EFB}"/>
    <cellStyle name="SAPBEXHLevel0" xfId="746" xr:uid="{00000000-0005-0000-0000-00008B050000}"/>
    <cellStyle name="SAPBEXHLevel0 10" xfId="14679" xr:uid="{6D93821F-1037-409C-8775-48FD065C8B54}"/>
    <cellStyle name="SAPBEXHLevel0 10 2" xfId="14680" xr:uid="{B47FE8F1-52D8-417F-BA54-27D14B364608}"/>
    <cellStyle name="SAPBEXHLevel0 11" xfId="14681" xr:uid="{4D8AD106-AFD0-4863-AD77-B461D5FD7675}"/>
    <cellStyle name="SAPBEXHLevel0 11 2" xfId="14682" xr:uid="{134204DA-633D-44D6-8B45-4C97E28B77DD}"/>
    <cellStyle name="SAPBEXHLevel0 12" xfId="14683" xr:uid="{8DE925A0-A715-44CC-A861-548635911859}"/>
    <cellStyle name="SAPBEXHLevel0 12 2" xfId="14684" xr:uid="{81212B41-B562-4EED-B2C3-7D218415CBB0}"/>
    <cellStyle name="SAPBEXHLevel0 13" xfId="14685" xr:uid="{8D0729BD-CD48-401D-98AB-AA26CD25B043}"/>
    <cellStyle name="SAPBEXHLevel0 13 2" xfId="14686" xr:uid="{3CDD9F09-17A8-49D9-BE50-AA0BDBCAE61C}"/>
    <cellStyle name="SAPBEXHLevel0 14" xfId="14687" xr:uid="{5CE88FB6-8072-40A9-9383-1EA899BBE9D8}"/>
    <cellStyle name="SAPBEXHLevel0 14 2" xfId="14688" xr:uid="{3A17C5B6-56F5-42B7-85AE-9DE4E2EC1818}"/>
    <cellStyle name="SAPBEXHLevel0 15" xfId="14689" xr:uid="{62478BD1-5DB1-4DE6-9006-72FDF8C9E11C}"/>
    <cellStyle name="SAPBEXHLevel0 15 2" xfId="14690" xr:uid="{B732B630-E92C-4854-912F-D74C4F797A35}"/>
    <cellStyle name="SAPBEXHLevel0 16" xfId="14691" xr:uid="{0AE1A553-0513-4FE1-9001-D6E822211F4C}"/>
    <cellStyle name="SAPBEXHLevel0 16 2" xfId="14692" xr:uid="{5CB52AA6-91A7-4E77-979D-18F06F9B2510}"/>
    <cellStyle name="SAPBEXHLevel0 17" xfId="14693" xr:uid="{36CA1EEA-0D3D-427A-8044-227226607463}"/>
    <cellStyle name="SAPBEXHLevel0 17 2" xfId="14694" xr:uid="{14C2F257-DA9D-4E6F-A818-E860F382D40F}"/>
    <cellStyle name="SAPBEXHLevel0 18" xfId="14695" xr:uid="{F1A94E94-9F62-4A86-B50A-766894B3D399}"/>
    <cellStyle name="SAPBEXHLevel0 18 2" xfId="14696" xr:uid="{E2BF98A2-499F-4770-B416-74E026875EAD}"/>
    <cellStyle name="SAPBEXHLevel0 19" xfId="14697" xr:uid="{56E8AD54-98E2-4611-B2E2-120DCBFD18ED}"/>
    <cellStyle name="SAPBEXHLevel0 19 2" xfId="14698" xr:uid="{E81F329B-D28E-4505-A7BB-BB268252D6F4}"/>
    <cellStyle name="SAPBEXHLevel0 2" xfId="1560" xr:uid="{00000000-0005-0000-0000-00008C050000}"/>
    <cellStyle name="SAPBEXHLevel0 2 10" xfId="14700" xr:uid="{9C439D05-5349-4EF7-82CF-FEA6E24ACB1C}"/>
    <cellStyle name="SAPBEXHLevel0 2 10 2" xfId="14701" xr:uid="{6E22EB35-8423-4F51-A691-8A7B6F5F6E54}"/>
    <cellStyle name="SAPBEXHLevel0 2 11" xfId="14702" xr:uid="{72FDE60E-CD29-4ECE-A5E7-EE88CE0745A9}"/>
    <cellStyle name="SAPBEXHLevel0 2 11 2" xfId="14703" xr:uid="{75D2F9ED-0855-49B2-849A-783A649F4782}"/>
    <cellStyle name="SAPBEXHLevel0 2 12" xfId="14704" xr:uid="{FEAB6E45-70E1-42A8-9968-2EDB041E67A3}"/>
    <cellStyle name="SAPBEXHLevel0 2 12 2" xfId="14705" xr:uid="{C967BDCF-4E52-4C21-A6ED-BB73FCD910EC}"/>
    <cellStyle name="SAPBEXHLevel0 2 13" xfId="14706" xr:uid="{2C4F8A8B-3CFC-449B-BB9E-2B5B6BE11378}"/>
    <cellStyle name="SAPBEXHLevel0 2 13 2" xfId="14707" xr:uid="{43597C77-F48C-4E5F-A2EB-0AA4F61ECAA8}"/>
    <cellStyle name="SAPBEXHLevel0 2 14" xfId="14708" xr:uid="{00961E58-A03B-4BA6-8307-28FF0011BF51}"/>
    <cellStyle name="SAPBEXHLevel0 2 14 2" xfId="14709" xr:uid="{FAD67639-5566-475C-B091-A8F359BEC55D}"/>
    <cellStyle name="SAPBEXHLevel0 2 15" xfId="14710" xr:uid="{624DA4B7-40C8-47A9-939E-986C96A5B169}"/>
    <cellStyle name="SAPBEXHLevel0 2 15 2" xfId="14711" xr:uid="{92AC9270-D518-43F7-91CD-2E948DDD5E48}"/>
    <cellStyle name="SAPBEXHLevel0 2 16" xfId="14712" xr:uid="{005C8D83-C703-4E1E-89A7-685F35B5E1AE}"/>
    <cellStyle name="SAPBEXHLevel0 2 16 2" xfId="14713" xr:uid="{96F11E0E-2161-4781-992B-3C596DD162FE}"/>
    <cellStyle name="SAPBEXHLevel0 2 17" xfId="14714" xr:uid="{8FAA7276-8CE8-4201-88A1-35AEEB96BF8C}"/>
    <cellStyle name="SAPBEXHLevel0 2 17 2" xfId="14715" xr:uid="{8B23AEF3-3D06-4EA9-B400-0EF00155CF55}"/>
    <cellStyle name="SAPBEXHLevel0 2 18" xfId="14716" xr:uid="{DF1B94FD-F550-4FB4-8DEA-9C13DD0ED128}"/>
    <cellStyle name="SAPBEXHLevel0 2 18 2" xfId="14717" xr:uid="{F9A59444-F5CC-48CB-BD16-1AAE8C60E467}"/>
    <cellStyle name="SAPBEXHLevel0 2 2" xfId="14718" xr:uid="{DAB182F0-8E56-4230-9A40-83821A39CC3F}"/>
    <cellStyle name="SAPBEXHLevel0 2 2 10" xfId="14719" xr:uid="{3D1B6F82-B509-4886-9C68-584CCC4A18E5}"/>
    <cellStyle name="SAPBEXHLevel0 2 2 10 2" xfId="14720" xr:uid="{6109262C-DA46-4DDF-B56E-4BDB57BB2501}"/>
    <cellStyle name="SAPBEXHLevel0 2 2 11" xfId="14721" xr:uid="{75A6101C-2531-4A4B-AC12-3F5EC0EA9FF7}"/>
    <cellStyle name="SAPBEXHLevel0 2 2 11 2" xfId="14722" xr:uid="{1DCA6B9D-CBB2-48C7-983C-9A29527DE4F3}"/>
    <cellStyle name="SAPBEXHLevel0 2 2 12" xfId="14723" xr:uid="{7BE82858-8AEB-4C34-A45E-9DD496DC25E0}"/>
    <cellStyle name="SAPBEXHLevel0 2 2 12 2" xfId="14724" xr:uid="{2EFC221A-EAB0-47DE-AFEA-5156AA95666B}"/>
    <cellStyle name="SAPBEXHLevel0 2 2 13" xfId="14725" xr:uid="{3DEDE1E5-611A-4B0D-A5E2-AFFD895F9FD0}"/>
    <cellStyle name="SAPBEXHLevel0 2 2 13 2" xfId="14726" xr:uid="{C0D760C7-940A-442A-83FD-9AC12263C0F9}"/>
    <cellStyle name="SAPBEXHLevel0 2 2 14" xfId="14727" xr:uid="{3B68C2F3-93BF-447A-BD17-711CF218FFFA}"/>
    <cellStyle name="SAPBEXHLevel0 2 2 14 2" xfId="14728" xr:uid="{C641C9B8-16C6-425D-A06A-4F61FFF06DAB}"/>
    <cellStyle name="SAPBEXHLevel0 2 2 15" xfId="14729" xr:uid="{D7FBE4D6-4C8A-4912-BC8D-7D14128FF875}"/>
    <cellStyle name="SAPBEXHLevel0 2 2 15 2" xfId="14730" xr:uid="{78290DFB-9FAD-408F-AD55-7933FE07BB0A}"/>
    <cellStyle name="SAPBEXHLevel0 2 2 16" xfId="14731" xr:uid="{350DD4AD-6E36-49D4-9B28-295ED062D5FE}"/>
    <cellStyle name="SAPBEXHLevel0 2 2 16 2" xfId="14732" xr:uid="{15068EA7-B3DF-4715-95D8-7F39E4DC7799}"/>
    <cellStyle name="SAPBEXHLevel0 2 2 17" xfId="14733" xr:uid="{81BC9401-1BEA-4A50-A29F-C772FB6248BA}"/>
    <cellStyle name="SAPBEXHLevel0 2 2 17 2" xfId="14734" xr:uid="{A359F232-7D60-45E2-905C-A338FD0C7386}"/>
    <cellStyle name="SAPBEXHLevel0 2 2 2" xfId="14735" xr:uid="{EF23B6E6-D1AD-4CA0-B1AE-A8455A14E918}"/>
    <cellStyle name="SAPBEXHLevel0 2 2 2 10" xfId="14736" xr:uid="{9ABADB3B-ADE9-450B-9E2E-72BC87915486}"/>
    <cellStyle name="SAPBEXHLevel0 2 2 2 10 2" xfId="14737" xr:uid="{E6598D08-554F-4795-88F2-EAC6A9B07574}"/>
    <cellStyle name="SAPBEXHLevel0 2 2 2 11" xfId="14738" xr:uid="{6ACDAE41-CC1F-4BE2-B744-8954302CB43A}"/>
    <cellStyle name="SAPBEXHLevel0 2 2 2 11 2" xfId="14739" xr:uid="{37ABE2E4-0E4E-4369-980E-0FBAD307D0D0}"/>
    <cellStyle name="SAPBEXHLevel0 2 2 2 12" xfId="14740" xr:uid="{AAEDA309-0634-4958-8414-3010D351A7E8}"/>
    <cellStyle name="SAPBEXHLevel0 2 2 2 12 2" xfId="14741" xr:uid="{4C39ABAD-5D57-4B87-ACF9-9B6B9FD6D1A8}"/>
    <cellStyle name="SAPBEXHLevel0 2 2 2 13" xfId="14742" xr:uid="{580F115F-630C-4F7C-8608-50C706DABBEB}"/>
    <cellStyle name="SAPBEXHLevel0 2 2 2 13 2" xfId="14743" xr:uid="{BCEA2623-BF3D-45EE-BF75-72D20F38DD0A}"/>
    <cellStyle name="SAPBEXHLevel0 2 2 2 14" xfId="14744" xr:uid="{9FB4579F-5D69-47D2-9EA4-F9A6C4D9BCCE}"/>
    <cellStyle name="SAPBEXHLevel0 2 2 2 14 2" xfId="14745" xr:uid="{A44B8FB1-FB24-403F-8E25-9E421B5F1866}"/>
    <cellStyle name="SAPBEXHLevel0 2 2 2 15" xfId="14746" xr:uid="{6E2DF59D-430E-4525-A270-BFFA1FF99F85}"/>
    <cellStyle name="SAPBEXHLevel0 2 2 2 15 2" xfId="14747" xr:uid="{D342096E-23AA-42FC-B65A-ED04A7491D06}"/>
    <cellStyle name="SAPBEXHLevel0 2 2 2 2" xfId="14748" xr:uid="{A556AA6E-22A1-4D63-B52A-4CE8B681BE77}"/>
    <cellStyle name="SAPBEXHLevel0 2 2 2 2 2" xfId="14749" xr:uid="{19EE2AE5-8CC0-4832-B233-30F816536E65}"/>
    <cellStyle name="SAPBEXHLevel0 2 2 2 3" xfId="14750" xr:uid="{847BDB75-8BC4-44E4-9273-14FDF16E5A83}"/>
    <cellStyle name="SAPBEXHLevel0 2 2 2 3 2" xfId="14751" xr:uid="{54ADBEBB-1D58-455D-886F-00ED95672C05}"/>
    <cellStyle name="SAPBEXHLevel0 2 2 2 4" xfId="14752" xr:uid="{91BB9159-F148-4194-B0A1-D74B8EF9435D}"/>
    <cellStyle name="SAPBEXHLevel0 2 2 2 4 2" xfId="14753" xr:uid="{902BE412-540D-482C-9AAA-1CAD9AF93CCD}"/>
    <cellStyle name="SAPBEXHLevel0 2 2 2 5" xfId="14754" xr:uid="{A65DBD80-0C5B-4C95-96C0-AAC03222F74B}"/>
    <cellStyle name="SAPBEXHLevel0 2 2 2 5 2" xfId="14755" xr:uid="{2EAB62B8-FF76-406C-AA01-04D9E346D1D4}"/>
    <cellStyle name="SAPBEXHLevel0 2 2 2 6" xfId="14756" xr:uid="{1A475F25-E267-4F68-B558-15312597A07F}"/>
    <cellStyle name="SAPBEXHLevel0 2 2 2 6 2" xfId="14757" xr:uid="{FCDF84E1-0B2C-434B-A1D9-5F2A332B75E8}"/>
    <cellStyle name="SAPBEXHLevel0 2 2 2 7" xfId="14758" xr:uid="{84097028-2CA8-45A0-9ABD-D49E898326FE}"/>
    <cellStyle name="SAPBEXHLevel0 2 2 2 7 2" xfId="14759" xr:uid="{69BAF466-A68E-4355-BECF-610C3414B713}"/>
    <cellStyle name="SAPBEXHLevel0 2 2 2 8" xfId="14760" xr:uid="{626E043D-FB58-4EEC-B4CC-6B3E5B5CED33}"/>
    <cellStyle name="SAPBEXHLevel0 2 2 2 8 2" xfId="14761" xr:uid="{330DFDEE-B5F7-4E06-BA74-447E91741C1F}"/>
    <cellStyle name="SAPBEXHLevel0 2 2 2 9" xfId="14762" xr:uid="{3E1F8CA8-4E07-4FCF-8E31-90323AC27CBF}"/>
    <cellStyle name="SAPBEXHLevel0 2 2 2 9 2" xfId="14763" xr:uid="{351299D6-B8F6-4CA5-BF6B-7AE92BFA60AF}"/>
    <cellStyle name="SAPBEXHLevel0 2 2 3" xfId="14764" xr:uid="{4793734A-4367-4233-BED9-A42870533F1C}"/>
    <cellStyle name="SAPBEXHLevel0 2 2 3 10" xfId="14765" xr:uid="{45938F0A-4A24-4421-9BBB-090EEE5DD867}"/>
    <cellStyle name="SAPBEXHLevel0 2 2 3 10 2" xfId="14766" xr:uid="{E08E89FC-3106-4891-B16B-237F7CF67A86}"/>
    <cellStyle name="SAPBEXHLevel0 2 2 3 11" xfId="14767" xr:uid="{34B10669-E834-48DB-9546-96380D3A8C07}"/>
    <cellStyle name="SAPBEXHLevel0 2 2 3 11 2" xfId="14768" xr:uid="{AFD0FB9F-A603-44BF-90AC-4E17A03253E8}"/>
    <cellStyle name="SAPBEXHLevel0 2 2 3 12" xfId="14769" xr:uid="{849C0A67-FBE5-4779-B6B6-CD91B9581CDB}"/>
    <cellStyle name="SAPBEXHLevel0 2 2 3 12 2" xfId="14770" xr:uid="{98EC0A5A-FD3F-49D8-B3E3-DD55FAB93980}"/>
    <cellStyle name="SAPBEXHLevel0 2 2 3 13" xfId="14771" xr:uid="{0839EE87-4CEA-4B0B-BA70-66A10B27E7BB}"/>
    <cellStyle name="SAPBEXHLevel0 2 2 3 13 2" xfId="14772" xr:uid="{E0AAF3B9-2AB6-4A88-AC52-50EAA82B2A53}"/>
    <cellStyle name="SAPBEXHLevel0 2 2 3 14" xfId="14773" xr:uid="{1D71D704-6B75-4078-AA84-52DA49584363}"/>
    <cellStyle name="SAPBEXHLevel0 2 2 3 14 2" xfId="14774" xr:uid="{DE6F99B1-59BE-43D7-9077-3044E80891DE}"/>
    <cellStyle name="SAPBEXHLevel0 2 2 3 15" xfId="14775" xr:uid="{4DE63DB4-E7B2-4ABA-9E68-8CC9DB8FE857}"/>
    <cellStyle name="SAPBEXHLevel0 2 2 3 15 2" xfId="14776" xr:uid="{5D4F6EC2-F445-411A-954B-BA8F7B135849}"/>
    <cellStyle name="SAPBEXHLevel0 2 2 3 2" xfId="14777" xr:uid="{BAF2626B-3044-41B0-934A-2268B726E6B3}"/>
    <cellStyle name="SAPBEXHLevel0 2 2 3 2 2" xfId="14778" xr:uid="{560CD3AA-048F-4032-B30E-680EA4AE42B0}"/>
    <cellStyle name="SAPBEXHLevel0 2 2 3 3" xfId="14779" xr:uid="{08EAAC18-9ACB-42A9-A7CA-161CD121DAA8}"/>
    <cellStyle name="SAPBEXHLevel0 2 2 3 3 2" xfId="14780" xr:uid="{FCDB9D3A-8E26-4184-87AD-EA430EF0F3CC}"/>
    <cellStyle name="SAPBEXHLevel0 2 2 3 4" xfId="14781" xr:uid="{05799549-30ED-436F-85AF-EE0BEB78E77D}"/>
    <cellStyle name="SAPBEXHLevel0 2 2 3 4 2" xfId="14782" xr:uid="{53B27EBF-A9B8-4AE8-B841-F497FF61A26B}"/>
    <cellStyle name="SAPBEXHLevel0 2 2 3 5" xfId="14783" xr:uid="{986512B4-1A74-460E-933F-B18458F0E145}"/>
    <cellStyle name="SAPBEXHLevel0 2 2 3 5 2" xfId="14784" xr:uid="{D50605CA-75D1-4E2E-A515-3BD831F5F91D}"/>
    <cellStyle name="SAPBEXHLevel0 2 2 3 6" xfId="14785" xr:uid="{5DAFD2A2-E030-40BE-BC97-480EA62992B4}"/>
    <cellStyle name="SAPBEXHLevel0 2 2 3 6 2" xfId="14786" xr:uid="{A85022B9-5386-495B-8D15-C7F5C26A03F6}"/>
    <cellStyle name="SAPBEXHLevel0 2 2 3 7" xfId="14787" xr:uid="{FA101D71-B258-4FC5-A146-2B6370186C9A}"/>
    <cellStyle name="SAPBEXHLevel0 2 2 3 7 2" xfId="14788" xr:uid="{B2EB3F26-D3C5-4F84-8FBE-8FC58F374FA5}"/>
    <cellStyle name="SAPBEXHLevel0 2 2 3 8" xfId="14789" xr:uid="{AE8FAC71-0800-42EC-91E5-2004FAEF1F1C}"/>
    <cellStyle name="SAPBEXHLevel0 2 2 3 8 2" xfId="14790" xr:uid="{C1B150B0-8616-4B2E-8573-E961F9310916}"/>
    <cellStyle name="SAPBEXHLevel0 2 2 3 9" xfId="14791" xr:uid="{BA1EDA07-094F-4450-825D-151F739DDB31}"/>
    <cellStyle name="SAPBEXHLevel0 2 2 3 9 2" xfId="14792" xr:uid="{7815FD31-1DA4-4827-88C0-62E9C280BCB2}"/>
    <cellStyle name="SAPBEXHLevel0 2 2 4" xfId="14793" xr:uid="{3A7D6361-C9B5-48E6-AE72-3220EF3C4C3A}"/>
    <cellStyle name="SAPBEXHLevel0 2 2 4 2" xfId="14794" xr:uid="{D71C8BF1-C382-436A-8B2D-F26132D4A8AA}"/>
    <cellStyle name="SAPBEXHLevel0 2 2 5" xfId="14795" xr:uid="{87E7FB49-7E7D-40A4-84B4-E89341C23C38}"/>
    <cellStyle name="SAPBEXHLevel0 2 2 5 2" xfId="14796" xr:uid="{8784CE67-1E39-4391-81E5-4FD975F42B6A}"/>
    <cellStyle name="SAPBEXHLevel0 2 2 6" xfId="14797" xr:uid="{A464662F-85DC-4034-9454-4E7B16B20093}"/>
    <cellStyle name="SAPBEXHLevel0 2 2 6 2" xfId="14798" xr:uid="{0032DB35-5AEA-42A4-98C0-432A04235E90}"/>
    <cellStyle name="SAPBEXHLevel0 2 2 7" xfId="14799" xr:uid="{62090F95-7AF4-4E3B-8793-BC4248518ABB}"/>
    <cellStyle name="SAPBEXHLevel0 2 2 7 2" xfId="14800" xr:uid="{C86170E0-906F-41D1-AA2C-470258F798F9}"/>
    <cellStyle name="SAPBEXHLevel0 2 2 8" xfId="14801" xr:uid="{C4576C36-FBEE-432C-9AE1-F786024AD265}"/>
    <cellStyle name="SAPBEXHLevel0 2 2 8 2" xfId="14802" xr:uid="{9AE510F0-3DCD-422E-9FA1-4003E7079DEC}"/>
    <cellStyle name="SAPBEXHLevel0 2 2 9" xfId="14803" xr:uid="{75B96B5C-ADAC-4913-B0B6-BAB0EF9AFC45}"/>
    <cellStyle name="SAPBEXHLevel0 2 2 9 2" xfId="14804" xr:uid="{89F99743-8FF7-4E8F-8B0C-06770506DAB1}"/>
    <cellStyle name="SAPBEXHLevel0 2 3" xfId="14805" xr:uid="{55C702C1-84E6-49B8-9F47-3D70B5168961}"/>
    <cellStyle name="SAPBEXHLevel0 2 3 10" xfId="14806" xr:uid="{A0F7CFA7-484F-4574-ABDB-1D1B675676B0}"/>
    <cellStyle name="SAPBEXHLevel0 2 3 10 2" xfId="14807" xr:uid="{6A576F91-B929-4F5D-96B5-728A17E4E014}"/>
    <cellStyle name="SAPBEXHLevel0 2 3 11" xfId="14808" xr:uid="{18E03274-3185-450D-A905-35B554D1D754}"/>
    <cellStyle name="SAPBEXHLevel0 2 3 11 2" xfId="14809" xr:uid="{CA613346-DB56-48B1-964A-DD157F990685}"/>
    <cellStyle name="SAPBEXHLevel0 2 3 12" xfId="14810" xr:uid="{C04860FA-FF4F-4AA1-BAEE-B48421F0F399}"/>
    <cellStyle name="SAPBEXHLevel0 2 3 12 2" xfId="14811" xr:uid="{18B7E97E-21DD-4F31-83C0-34B3BA49D33F}"/>
    <cellStyle name="SAPBEXHLevel0 2 3 13" xfId="14812" xr:uid="{CA59E0BA-0371-40C5-B3A7-60C8FD6BB9F1}"/>
    <cellStyle name="SAPBEXHLevel0 2 3 13 2" xfId="14813" xr:uid="{684B9250-E54A-4F93-B244-1BF043312954}"/>
    <cellStyle name="SAPBEXHLevel0 2 3 14" xfId="14814" xr:uid="{8A471B35-E7E8-488F-950B-F9875CAB4A51}"/>
    <cellStyle name="SAPBEXHLevel0 2 3 14 2" xfId="14815" xr:uid="{34756C10-BC73-4C55-8046-FE6BD5695D57}"/>
    <cellStyle name="SAPBEXHLevel0 2 3 15" xfId="14816" xr:uid="{3A77A7CC-D7FE-49A7-B367-B3181E193DDA}"/>
    <cellStyle name="SAPBEXHLevel0 2 3 15 2" xfId="14817" xr:uid="{5C8F2F42-5DB1-49F6-8CCA-73BBCA12B5ED}"/>
    <cellStyle name="SAPBEXHLevel0 2 3 16" xfId="14818" xr:uid="{B40B36C2-29D4-4457-9152-80FA746AE865}"/>
    <cellStyle name="SAPBEXHLevel0 2 3 16 2" xfId="14819" xr:uid="{D22ACE96-AFBC-4C2B-944B-DBD817C6973E}"/>
    <cellStyle name="SAPBEXHLevel0 2 3 17" xfId="14820" xr:uid="{2000BB4A-9252-4516-B375-80372CB6CBC1}"/>
    <cellStyle name="SAPBEXHLevel0 2 3 17 2" xfId="14821" xr:uid="{A78234F9-ED8A-46E4-9386-484A0811C5D4}"/>
    <cellStyle name="SAPBEXHLevel0 2 3 2" xfId="14822" xr:uid="{E5F07E9C-51A9-49D4-B6C5-C6BF7AE39678}"/>
    <cellStyle name="SAPBEXHLevel0 2 3 2 10" xfId="14823" xr:uid="{6C990F65-7983-41BA-9992-941A179DBEAD}"/>
    <cellStyle name="SAPBEXHLevel0 2 3 2 10 2" xfId="14824" xr:uid="{D3DF4107-D4F3-4014-B881-D385412F6E9D}"/>
    <cellStyle name="SAPBEXHLevel0 2 3 2 11" xfId="14825" xr:uid="{511FE5FC-11EC-4366-B643-1D3292C02174}"/>
    <cellStyle name="SAPBEXHLevel0 2 3 2 11 2" xfId="14826" xr:uid="{C14B91D6-C97A-465F-8B0F-A629CB9155FD}"/>
    <cellStyle name="SAPBEXHLevel0 2 3 2 12" xfId="14827" xr:uid="{3F6D8377-7BB3-4F1C-AC6E-6CBC1FF6F824}"/>
    <cellStyle name="SAPBEXHLevel0 2 3 2 12 2" xfId="14828" xr:uid="{73134A88-22B9-457F-B8E6-583BED28C591}"/>
    <cellStyle name="SAPBEXHLevel0 2 3 2 13" xfId="14829" xr:uid="{4BAEE72B-2113-43DB-AB37-4ED1508CEBC4}"/>
    <cellStyle name="SAPBEXHLevel0 2 3 2 13 2" xfId="14830" xr:uid="{EB22007D-8805-41F0-ACC7-4997164FE7A5}"/>
    <cellStyle name="SAPBEXHLevel0 2 3 2 14" xfId="14831" xr:uid="{802406B5-C816-498E-BFFA-C345FCB71412}"/>
    <cellStyle name="SAPBEXHLevel0 2 3 2 14 2" xfId="14832" xr:uid="{51CA038C-17B5-4D47-9E3D-BCB21C2475BA}"/>
    <cellStyle name="SAPBEXHLevel0 2 3 2 15" xfId="14833" xr:uid="{413C5573-2239-42A0-AFDA-C6EAA964C668}"/>
    <cellStyle name="SAPBEXHLevel0 2 3 2 15 2" xfId="14834" xr:uid="{983147F2-7063-4D41-901E-469205FE8706}"/>
    <cellStyle name="SAPBEXHLevel0 2 3 2 2" xfId="14835" xr:uid="{964EF373-7DA1-4474-9834-142678A14B92}"/>
    <cellStyle name="SAPBEXHLevel0 2 3 2 2 2" xfId="14836" xr:uid="{AC9CF7BF-5153-4F73-A391-9150B993316A}"/>
    <cellStyle name="SAPBEXHLevel0 2 3 2 3" xfId="14837" xr:uid="{4EA4945F-9DD2-4725-999D-00725903D950}"/>
    <cellStyle name="SAPBEXHLevel0 2 3 2 3 2" xfId="14838" xr:uid="{AF699BB8-CFBE-4523-AFD9-4BE0BED4D6F2}"/>
    <cellStyle name="SAPBEXHLevel0 2 3 2 4" xfId="14839" xr:uid="{608E588E-A1AF-4F1F-BA81-326027E1A99E}"/>
    <cellStyle name="SAPBEXHLevel0 2 3 2 4 2" xfId="14840" xr:uid="{2C32A8B6-E223-43A7-9A8E-C924E29DD2EA}"/>
    <cellStyle name="SAPBEXHLevel0 2 3 2 5" xfId="14841" xr:uid="{9CE189EC-33F3-4240-9F6F-66844E829CA1}"/>
    <cellStyle name="SAPBEXHLevel0 2 3 2 5 2" xfId="14842" xr:uid="{014F4E57-8834-454C-94A7-DFEE649685C0}"/>
    <cellStyle name="SAPBEXHLevel0 2 3 2 6" xfId="14843" xr:uid="{445EE4C1-F67A-4B8F-88AF-884FE542B75B}"/>
    <cellStyle name="SAPBEXHLevel0 2 3 2 6 2" xfId="14844" xr:uid="{DF2202E5-52F7-4E7B-9580-BB78F4644562}"/>
    <cellStyle name="SAPBEXHLevel0 2 3 2 7" xfId="14845" xr:uid="{AACFF30A-E0F9-47B0-BAFA-D68AE835110A}"/>
    <cellStyle name="SAPBEXHLevel0 2 3 2 7 2" xfId="14846" xr:uid="{3DE18ED5-45D0-4F1A-A629-50B2869D9519}"/>
    <cellStyle name="SAPBEXHLevel0 2 3 2 8" xfId="14847" xr:uid="{BDDAF0DD-F0C4-4B97-B00A-1A912E450D7A}"/>
    <cellStyle name="SAPBEXHLevel0 2 3 2 8 2" xfId="14848" xr:uid="{9515B120-98FF-4CEA-AFFD-63550CA68A01}"/>
    <cellStyle name="SAPBEXHLevel0 2 3 2 9" xfId="14849" xr:uid="{69EC22D9-F022-41AD-B272-2A810E40E429}"/>
    <cellStyle name="SAPBEXHLevel0 2 3 2 9 2" xfId="14850" xr:uid="{95A235D7-6B37-49B0-8FC6-9B37D8A15133}"/>
    <cellStyle name="SAPBEXHLevel0 2 3 3" xfId="14851" xr:uid="{C36A895D-15AC-4B91-AA17-940422DF15EA}"/>
    <cellStyle name="SAPBEXHLevel0 2 3 3 10" xfId="14852" xr:uid="{D8E1C539-580D-489F-83B9-167C67707B85}"/>
    <cellStyle name="SAPBEXHLevel0 2 3 3 10 2" xfId="14853" xr:uid="{A583F2E9-B3BA-48C1-A85F-D48B4D7484E1}"/>
    <cellStyle name="SAPBEXHLevel0 2 3 3 11" xfId="14854" xr:uid="{583D6674-6871-4E63-9886-86C472CC5819}"/>
    <cellStyle name="SAPBEXHLevel0 2 3 3 11 2" xfId="14855" xr:uid="{8A378598-7F9A-4188-AF46-8877E8B6E7A1}"/>
    <cellStyle name="SAPBEXHLevel0 2 3 3 12" xfId="14856" xr:uid="{CF10F838-5C43-40AC-B634-5CBC3DCD18EB}"/>
    <cellStyle name="SAPBEXHLevel0 2 3 3 12 2" xfId="14857" xr:uid="{E339C8DD-362A-4291-8930-262878A1F97C}"/>
    <cellStyle name="SAPBEXHLevel0 2 3 3 13" xfId="14858" xr:uid="{EC4B8639-D6C5-4BF9-AE05-A53799C3F0CA}"/>
    <cellStyle name="SAPBEXHLevel0 2 3 3 13 2" xfId="14859" xr:uid="{3C3ECF25-F776-48A6-9FCC-4C6EF83D3724}"/>
    <cellStyle name="SAPBEXHLevel0 2 3 3 14" xfId="14860" xr:uid="{B2F691A7-B5ED-485E-AB08-882C005CF37B}"/>
    <cellStyle name="SAPBEXHLevel0 2 3 3 14 2" xfId="14861" xr:uid="{7DF6863E-462F-44F7-B913-F4AF2BCC031D}"/>
    <cellStyle name="SAPBEXHLevel0 2 3 3 15" xfId="14862" xr:uid="{91EE05F6-3510-4C62-9F88-4278A68CBB41}"/>
    <cellStyle name="SAPBEXHLevel0 2 3 3 15 2" xfId="14863" xr:uid="{5B8CFEA2-D4AA-4B64-B10A-FDB6FB65A5EB}"/>
    <cellStyle name="SAPBEXHLevel0 2 3 3 2" xfId="14864" xr:uid="{751C139F-B0A5-429D-AB89-82F367B83175}"/>
    <cellStyle name="SAPBEXHLevel0 2 3 3 2 2" xfId="14865" xr:uid="{3423F4D2-4942-47A7-B010-A0BA4F9F4FFA}"/>
    <cellStyle name="SAPBEXHLevel0 2 3 3 3" xfId="14866" xr:uid="{A25FEEE1-F2C6-4364-8B1A-EE9126ACEC8C}"/>
    <cellStyle name="SAPBEXHLevel0 2 3 3 3 2" xfId="14867" xr:uid="{230119E5-5D0F-4E46-A7EA-2C932538EF56}"/>
    <cellStyle name="SAPBEXHLevel0 2 3 3 4" xfId="14868" xr:uid="{A3816B0A-07ED-4978-85FC-EFDA42498456}"/>
    <cellStyle name="SAPBEXHLevel0 2 3 3 4 2" xfId="14869" xr:uid="{87A5F518-12BD-476B-911B-776DFD93BB91}"/>
    <cellStyle name="SAPBEXHLevel0 2 3 3 5" xfId="14870" xr:uid="{C01B6C69-5CDB-4336-B41A-551A8CFEEF37}"/>
    <cellStyle name="SAPBEXHLevel0 2 3 3 5 2" xfId="14871" xr:uid="{051F058F-0C86-4FDB-A1B1-5AA40E98796B}"/>
    <cellStyle name="SAPBEXHLevel0 2 3 3 6" xfId="14872" xr:uid="{D64EBADC-DF71-4F99-94CC-6DC1CB026771}"/>
    <cellStyle name="SAPBEXHLevel0 2 3 3 6 2" xfId="14873" xr:uid="{73F24020-1611-4ED1-9A87-ECAA3F66A32B}"/>
    <cellStyle name="SAPBEXHLevel0 2 3 3 7" xfId="14874" xr:uid="{2BF72904-1207-46FB-8B27-64CFB50B87E9}"/>
    <cellStyle name="SAPBEXHLevel0 2 3 3 7 2" xfId="14875" xr:uid="{559FB7F1-87C1-4915-A0BB-B15791E26CF4}"/>
    <cellStyle name="SAPBEXHLevel0 2 3 3 8" xfId="14876" xr:uid="{F78FC96D-70FD-4D10-88F8-FDF532CD8CE7}"/>
    <cellStyle name="SAPBEXHLevel0 2 3 3 8 2" xfId="14877" xr:uid="{33B44306-25F5-4617-A786-866D9101C508}"/>
    <cellStyle name="SAPBEXHLevel0 2 3 3 9" xfId="14878" xr:uid="{E3EB3155-5373-450A-81B7-8360CF86684E}"/>
    <cellStyle name="SAPBEXHLevel0 2 3 3 9 2" xfId="14879" xr:uid="{98FCB426-A3E5-4803-9B2E-026FC696E609}"/>
    <cellStyle name="SAPBEXHLevel0 2 3 4" xfId="14880" xr:uid="{F2F882AD-C9B9-4425-9ED3-FCDE5F621C6B}"/>
    <cellStyle name="SAPBEXHLevel0 2 3 4 2" xfId="14881" xr:uid="{835C16C0-57AF-4223-B358-8D691C0D6C93}"/>
    <cellStyle name="SAPBEXHLevel0 2 3 5" xfId="14882" xr:uid="{102ABFBA-9E5E-445F-BD34-BA4FFC99C16D}"/>
    <cellStyle name="SAPBEXHLevel0 2 3 5 2" xfId="14883" xr:uid="{CA8EE018-68F9-4D71-A89D-0EF0C34D5E38}"/>
    <cellStyle name="SAPBEXHLevel0 2 3 6" xfId="14884" xr:uid="{C76913FF-13EF-4D09-801D-5C22A84B54A7}"/>
    <cellStyle name="SAPBEXHLevel0 2 3 6 2" xfId="14885" xr:uid="{50CDC6B2-DCF2-4D13-9FC2-5F85124252F5}"/>
    <cellStyle name="SAPBEXHLevel0 2 3 7" xfId="14886" xr:uid="{170D1703-481D-43E5-9B01-9B3162B8CD66}"/>
    <cellStyle name="SAPBEXHLevel0 2 3 7 2" xfId="14887" xr:uid="{B007E659-C1B1-4E3B-81AB-DE9204022D7D}"/>
    <cellStyle name="SAPBEXHLevel0 2 3 8" xfId="14888" xr:uid="{8C7C7B13-907D-4A67-BC43-2FFDD98F83C1}"/>
    <cellStyle name="SAPBEXHLevel0 2 3 8 2" xfId="14889" xr:uid="{ACC6A14D-3E6C-481E-8EFC-3946F1B6F0CD}"/>
    <cellStyle name="SAPBEXHLevel0 2 3 9" xfId="14890" xr:uid="{5257E62A-DFDE-43B5-9967-669EEBEB5693}"/>
    <cellStyle name="SAPBEXHLevel0 2 3 9 2" xfId="14891" xr:uid="{7C07632A-62AD-4B71-82E9-FFDFB0C63125}"/>
    <cellStyle name="SAPBEXHLevel0 2 4" xfId="14892" xr:uid="{F4B49E3E-7175-42FB-9F89-6D6E28CEF4F2}"/>
    <cellStyle name="SAPBEXHLevel0 2 4 10" xfId="14893" xr:uid="{D2E7C59A-ACBF-47D7-ACA9-76044F791092}"/>
    <cellStyle name="SAPBEXHLevel0 2 4 10 2" xfId="14894" xr:uid="{23E39C5B-F936-49D1-91BA-4FB58D37AD1D}"/>
    <cellStyle name="SAPBEXHLevel0 2 4 11" xfId="14895" xr:uid="{8B4676BF-6DE0-4C4D-A7E0-CC399008F1BE}"/>
    <cellStyle name="SAPBEXHLevel0 2 4 11 2" xfId="14896" xr:uid="{5874FA83-B7C9-43F6-9842-9BF735FD1654}"/>
    <cellStyle name="SAPBEXHLevel0 2 4 12" xfId="14897" xr:uid="{F4ADFF26-5C49-4C51-916D-DC4F6E225F94}"/>
    <cellStyle name="SAPBEXHLevel0 2 4 12 2" xfId="14898" xr:uid="{5C45650A-6385-4120-85FC-7102A23D8408}"/>
    <cellStyle name="SAPBEXHLevel0 2 4 13" xfId="14899" xr:uid="{8102CF80-7152-4C4A-A164-32478DB6AE16}"/>
    <cellStyle name="SAPBEXHLevel0 2 4 13 2" xfId="14900" xr:uid="{274CF0DF-4ABC-441D-BA9A-D37D96531BFA}"/>
    <cellStyle name="SAPBEXHLevel0 2 4 14" xfId="14901" xr:uid="{59541EE2-F752-45C7-A068-7D79C01DD732}"/>
    <cellStyle name="SAPBEXHLevel0 2 4 14 2" xfId="14902" xr:uid="{129E1231-2DDB-4C98-91BB-4B14EDD4D3F4}"/>
    <cellStyle name="SAPBEXHLevel0 2 4 15" xfId="14903" xr:uid="{5E72FD7C-692C-4A91-9B2B-2A8F4A890966}"/>
    <cellStyle name="SAPBEXHLevel0 2 4 15 2" xfId="14904" xr:uid="{F535AE3C-05AE-4375-AA10-F1FB9EFA07A9}"/>
    <cellStyle name="SAPBEXHLevel0 2 4 16" xfId="14905" xr:uid="{5C7C71D6-4339-4FAB-8A1B-AFC728150A97}"/>
    <cellStyle name="SAPBEXHLevel0 2 4 16 2" xfId="14906" xr:uid="{4161F647-4394-4EE4-A64C-48D529806781}"/>
    <cellStyle name="SAPBEXHLevel0 2 4 17" xfId="14907" xr:uid="{C58C16B2-E3E5-4278-992B-2E48453FF297}"/>
    <cellStyle name="SAPBEXHLevel0 2 4 17 2" xfId="14908" xr:uid="{3B7522D3-759A-4650-B0DB-016967E69390}"/>
    <cellStyle name="SAPBEXHLevel0 2 4 2" xfId="14909" xr:uid="{8FB21403-69CD-4226-9CC8-447937521DBD}"/>
    <cellStyle name="SAPBEXHLevel0 2 4 2 10" xfId="14910" xr:uid="{13122898-3C24-4B9B-A8F6-4CF0CC98F3E3}"/>
    <cellStyle name="SAPBEXHLevel0 2 4 2 10 2" xfId="14911" xr:uid="{D231886E-D8FB-42E2-AC1D-39C93CE236D7}"/>
    <cellStyle name="SAPBEXHLevel0 2 4 2 11" xfId="14912" xr:uid="{5846DEC1-D895-42FE-93CF-56EFA98B644F}"/>
    <cellStyle name="SAPBEXHLevel0 2 4 2 11 2" xfId="14913" xr:uid="{69C7A19A-3D24-4FED-90DE-E86DF3BB9259}"/>
    <cellStyle name="SAPBEXHLevel0 2 4 2 12" xfId="14914" xr:uid="{47DB6A96-C567-4930-BEB8-BA34BF4CEE9B}"/>
    <cellStyle name="SAPBEXHLevel0 2 4 2 12 2" xfId="14915" xr:uid="{110BA497-932C-4670-9D7A-699D8C621970}"/>
    <cellStyle name="SAPBEXHLevel0 2 4 2 13" xfId="14916" xr:uid="{CD40F452-6AF2-47D5-98B1-A6DF37935F33}"/>
    <cellStyle name="SAPBEXHLevel0 2 4 2 13 2" xfId="14917" xr:uid="{CB8B2BD9-3DA5-4E4F-B0E8-0B67F4BC78BF}"/>
    <cellStyle name="SAPBEXHLevel0 2 4 2 14" xfId="14918" xr:uid="{FE800B31-E5F9-476E-9F55-77EBF3D23258}"/>
    <cellStyle name="SAPBEXHLevel0 2 4 2 14 2" xfId="14919" xr:uid="{06467E6D-BADB-4236-AFD2-C2BDB78500C5}"/>
    <cellStyle name="SAPBEXHLevel0 2 4 2 15" xfId="14920" xr:uid="{BEE07235-1DFE-4392-8F59-D4FAD9610D91}"/>
    <cellStyle name="SAPBEXHLevel0 2 4 2 15 2" xfId="14921" xr:uid="{80B17FBE-AFD5-4AB1-941A-6421FCB9BE18}"/>
    <cellStyle name="SAPBEXHLevel0 2 4 2 2" xfId="14922" xr:uid="{D8FB75BC-1024-4587-91A5-68B69C1E838D}"/>
    <cellStyle name="SAPBEXHLevel0 2 4 2 2 2" xfId="14923" xr:uid="{67295E45-1630-468F-8A06-0AA3B96EEC3A}"/>
    <cellStyle name="SAPBEXHLevel0 2 4 2 3" xfId="14924" xr:uid="{92FCD730-28FC-43CD-AF7E-8BED12EA8DF8}"/>
    <cellStyle name="SAPBEXHLevel0 2 4 2 3 2" xfId="14925" xr:uid="{C9D349C9-A619-4519-AE3C-23622A78EF93}"/>
    <cellStyle name="SAPBEXHLevel0 2 4 2 4" xfId="14926" xr:uid="{45289641-5866-465C-92EE-7FFA53189906}"/>
    <cellStyle name="SAPBEXHLevel0 2 4 2 4 2" xfId="14927" xr:uid="{CF61AEC0-C251-40EF-814E-D02044228495}"/>
    <cellStyle name="SAPBEXHLevel0 2 4 2 5" xfId="14928" xr:uid="{B0911565-E5B3-43DB-9612-239397BE4564}"/>
    <cellStyle name="SAPBEXHLevel0 2 4 2 5 2" xfId="14929" xr:uid="{83C56A54-94E9-4561-9EF5-689C695EB3A4}"/>
    <cellStyle name="SAPBEXHLevel0 2 4 2 6" xfId="14930" xr:uid="{7BA64161-481B-4FB4-8795-F1E03A0515CF}"/>
    <cellStyle name="SAPBEXHLevel0 2 4 2 6 2" xfId="14931" xr:uid="{86737A4A-33C3-41A7-A54D-C1832D88AEAF}"/>
    <cellStyle name="SAPBEXHLevel0 2 4 2 7" xfId="14932" xr:uid="{5A9AAC2F-1496-400C-BDE9-F47F9860EDDE}"/>
    <cellStyle name="SAPBEXHLevel0 2 4 2 7 2" xfId="14933" xr:uid="{2A098429-1E13-4A50-993F-09D80BD97EBA}"/>
    <cellStyle name="SAPBEXHLevel0 2 4 2 8" xfId="14934" xr:uid="{6C0FBC65-9386-49E1-9596-81740B6CB6AF}"/>
    <cellStyle name="SAPBEXHLevel0 2 4 2 8 2" xfId="14935" xr:uid="{D8AF2C45-5388-44C0-B7A4-D92ED33A2B5C}"/>
    <cellStyle name="SAPBEXHLevel0 2 4 2 9" xfId="14936" xr:uid="{BCC23FB3-7BE7-422F-BD82-DCF655BD7EA1}"/>
    <cellStyle name="SAPBEXHLevel0 2 4 2 9 2" xfId="14937" xr:uid="{6452FA2D-1687-4C37-8C5B-A06D16C88D6C}"/>
    <cellStyle name="SAPBEXHLevel0 2 4 3" xfId="14938" xr:uid="{1D67828D-212E-4800-BFF8-2C1214808E6A}"/>
    <cellStyle name="SAPBEXHLevel0 2 4 3 10" xfId="14939" xr:uid="{C0FED1D9-DA5D-4801-98BD-107F1C99B4BD}"/>
    <cellStyle name="SAPBEXHLevel0 2 4 3 10 2" xfId="14940" xr:uid="{A2DE034B-9346-48A8-B84A-36C41988C944}"/>
    <cellStyle name="SAPBEXHLevel0 2 4 3 11" xfId="14941" xr:uid="{BB6B7ED8-D1EB-412E-96E7-2827353E4C1D}"/>
    <cellStyle name="SAPBEXHLevel0 2 4 3 11 2" xfId="14942" xr:uid="{A1B4EA4B-6E30-424C-8A9C-8D93BB4F075B}"/>
    <cellStyle name="SAPBEXHLevel0 2 4 3 12" xfId="14943" xr:uid="{44213EB0-6900-4C44-B2E5-B07C3DC7CC8B}"/>
    <cellStyle name="SAPBEXHLevel0 2 4 3 12 2" xfId="14944" xr:uid="{9B09C8DD-E525-4900-B057-2C3E2655A21F}"/>
    <cellStyle name="SAPBEXHLevel0 2 4 3 13" xfId="14945" xr:uid="{F8061877-E0F7-43D7-B03D-6AAB9855B45F}"/>
    <cellStyle name="SAPBEXHLevel0 2 4 3 13 2" xfId="14946" xr:uid="{312DFE22-25E6-40C2-B946-4CEC7FA6AD7B}"/>
    <cellStyle name="SAPBEXHLevel0 2 4 3 14" xfId="14947" xr:uid="{F51C7345-52F1-4478-A4BA-88C300D15AD5}"/>
    <cellStyle name="SAPBEXHLevel0 2 4 3 14 2" xfId="14948" xr:uid="{D4A4DC3B-B30C-4E3D-9D29-85931A70AEEC}"/>
    <cellStyle name="SAPBEXHLevel0 2 4 3 15" xfId="14949" xr:uid="{C917A6CC-19CA-4116-A333-6005A32513C7}"/>
    <cellStyle name="SAPBEXHLevel0 2 4 3 15 2" xfId="14950" xr:uid="{D797888F-F77A-4F7A-AAC0-E30C83FBD8B2}"/>
    <cellStyle name="SAPBEXHLevel0 2 4 3 2" xfId="14951" xr:uid="{917950F7-39C9-4257-85F5-BFD280692EC3}"/>
    <cellStyle name="SAPBEXHLevel0 2 4 3 2 2" xfId="14952" xr:uid="{63704A51-CEF1-4A0C-B77D-23CC83142E4A}"/>
    <cellStyle name="SAPBEXHLevel0 2 4 3 3" xfId="14953" xr:uid="{771F1BFB-4AEA-4D92-83E0-A372A1C8EE60}"/>
    <cellStyle name="SAPBEXHLevel0 2 4 3 3 2" xfId="14954" xr:uid="{2AF780AF-877F-4B1C-A679-D335E5191ED3}"/>
    <cellStyle name="SAPBEXHLevel0 2 4 3 4" xfId="14955" xr:uid="{AECB116C-DB4E-4093-BD63-95F895376B56}"/>
    <cellStyle name="SAPBEXHLevel0 2 4 3 4 2" xfId="14956" xr:uid="{86D27B0E-284D-4860-B202-7D2257D901D3}"/>
    <cellStyle name="SAPBEXHLevel0 2 4 3 5" xfId="14957" xr:uid="{3594165A-E21F-4F72-A73F-54396F01766F}"/>
    <cellStyle name="SAPBEXHLevel0 2 4 3 5 2" xfId="14958" xr:uid="{295FB7CE-95BB-4E49-B6A3-2816E9088DDD}"/>
    <cellStyle name="SAPBEXHLevel0 2 4 3 6" xfId="14959" xr:uid="{330FF4EC-0C46-4A9A-9681-5415FBD32797}"/>
    <cellStyle name="SAPBEXHLevel0 2 4 3 6 2" xfId="14960" xr:uid="{64E26A16-DF1D-4E94-97C2-28F6D4E89764}"/>
    <cellStyle name="SAPBEXHLevel0 2 4 3 7" xfId="14961" xr:uid="{47C0DEAA-B9AB-4977-8052-39BAA5DAE3BC}"/>
    <cellStyle name="SAPBEXHLevel0 2 4 3 7 2" xfId="14962" xr:uid="{9B39BC9E-E407-411C-88CA-7AF7F8A23D14}"/>
    <cellStyle name="SAPBEXHLevel0 2 4 3 8" xfId="14963" xr:uid="{35219AC8-AE4B-4381-8ED5-CCD426DFC57A}"/>
    <cellStyle name="SAPBEXHLevel0 2 4 3 8 2" xfId="14964" xr:uid="{CAC8ADE0-727F-4B6B-BAD5-BA7DE5FBDFA4}"/>
    <cellStyle name="SAPBEXHLevel0 2 4 3 9" xfId="14965" xr:uid="{1EE912B7-5120-4E28-A19B-DA48774B36D9}"/>
    <cellStyle name="SAPBEXHLevel0 2 4 3 9 2" xfId="14966" xr:uid="{2CEF8C9E-62B8-4FB5-BA15-524086E9C239}"/>
    <cellStyle name="SAPBEXHLevel0 2 4 4" xfId="14967" xr:uid="{6B85948D-607D-4BAA-8595-A1A07EDD4CAE}"/>
    <cellStyle name="SAPBEXHLevel0 2 4 4 2" xfId="14968" xr:uid="{F0350FE0-10FC-4CEA-BE8B-053AE1433623}"/>
    <cellStyle name="SAPBEXHLevel0 2 4 5" xfId="14969" xr:uid="{D9D94E9F-62DD-4C81-B334-EDCAAB572140}"/>
    <cellStyle name="SAPBEXHLevel0 2 4 5 2" xfId="14970" xr:uid="{E1D0C9BB-A5E9-4988-A6F7-D72ADBE955E3}"/>
    <cellStyle name="SAPBEXHLevel0 2 4 6" xfId="14971" xr:uid="{C737D149-C1B4-44E2-8A95-F6F4AB4522D5}"/>
    <cellStyle name="SAPBEXHLevel0 2 4 6 2" xfId="14972" xr:uid="{7AD0C2EE-3ED4-4642-B565-8E07398FD399}"/>
    <cellStyle name="SAPBEXHLevel0 2 4 7" xfId="14973" xr:uid="{1C212ABD-D2D2-4FE6-BD85-09FA128AB746}"/>
    <cellStyle name="SAPBEXHLevel0 2 4 7 2" xfId="14974" xr:uid="{2617D63C-8DBC-4929-BE1D-82531A1162E8}"/>
    <cellStyle name="SAPBEXHLevel0 2 4 8" xfId="14975" xr:uid="{85424B89-A6A9-4249-8523-BF15EAF8923B}"/>
    <cellStyle name="SAPBEXHLevel0 2 4 8 2" xfId="14976" xr:uid="{2750E86A-C410-47E5-A7B4-B16984969628}"/>
    <cellStyle name="SAPBEXHLevel0 2 4 9" xfId="14977" xr:uid="{6311E24C-8658-4BB4-B293-F0EE88ED47EE}"/>
    <cellStyle name="SAPBEXHLevel0 2 4 9 2" xfId="14978" xr:uid="{D27E31AF-B323-4EC4-AF0E-55A4B91F6414}"/>
    <cellStyle name="SAPBEXHLevel0 2 5" xfId="14979" xr:uid="{99E393C0-2454-458E-8456-F876D7159334}"/>
    <cellStyle name="SAPBEXHLevel0 2 5 2" xfId="14980" xr:uid="{3BE42EA1-6E92-4472-A7D3-ADE12F8C92DC}"/>
    <cellStyle name="SAPBEXHLevel0 2 6" xfId="14981" xr:uid="{1B889107-8F51-43FB-A729-3FDF890A8D67}"/>
    <cellStyle name="SAPBEXHLevel0 2 6 2" xfId="14982" xr:uid="{3F3CE9C9-2EFC-46A8-8315-F2F6F4C6FD62}"/>
    <cellStyle name="SAPBEXHLevel0 2 7" xfId="14983" xr:uid="{D6FC8EB5-F0FB-43A6-A0B3-8A531A5098F6}"/>
    <cellStyle name="SAPBEXHLevel0 2 7 2" xfId="14984" xr:uid="{D470AFCD-4BF8-4DCC-BE0B-56F0B496230B}"/>
    <cellStyle name="SAPBEXHLevel0 2 8" xfId="14985" xr:uid="{AD0897B5-DDC0-4C95-8A44-65B66BFAAA1B}"/>
    <cellStyle name="SAPBEXHLevel0 2 8 2" xfId="14986" xr:uid="{0EDB4BF5-85DE-4816-AA65-B5F77F1E9763}"/>
    <cellStyle name="SAPBEXHLevel0 2 9" xfId="14987" xr:uid="{AC47E735-446B-4A16-8A56-09978146F32F}"/>
    <cellStyle name="SAPBEXHLevel0 2 9 2" xfId="14988" xr:uid="{6C7A2566-EF1A-4199-8D51-5BF4CE8A8F1D}"/>
    <cellStyle name="SAPBEXHLevel0 2_T1 ANSP" xfId="14699" xr:uid="{782A45B3-A18D-4527-A1DD-C1F6654FF425}"/>
    <cellStyle name="SAPBEXHLevel0 20" xfId="14989" xr:uid="{8114139C-AECC-4DA2-B8C3-FDF380AD8C59}"/>
    <cellStyle name="SAPBEXHLevel0 20 2" xfId="14990" xr:uid="{DA6EBE2A-3F14-4DA5-AD32-78D0B40493A3}"/>
    <cellStyle name="SAPBEXHLevel0 21" xfId="14991" xr:uid="{BC3D5C19-843C-4582-9395-D4EE8A6B94DA}"/>
    <cellStyle name="SAPBEXHLevel0 3" xfId="1519" xr:uid="{00000000-0005-0000-0000-00008D050000}"/>
    <cellStyle name="SAPBEXHLevel0 3 10" xfId="14993" xr:uid="{4AB9B0A2-BE3E-46ED-869A-08C1CC0F6C1F}"/>
    <cellStyle name="SAPBEXHLevel0 3 10 2" xfId="14994" xr:uid="{73A727E6-E1EB-4AC4-8496-66FA7E27F513}"/>
    <cellStyle name="SAPBEXHLevel0 3 11" xfId="14995" xr:uid="{EA8A4748-2437-47C0-B4C9-89DA88A35B72}"/>
    <cellStyle name="SAPBEXHLevel0 3 11 2" xfId="14996" xr:uid="{57C06458-90AA-4E12-AD10-D816A222F1F4}"/>
    <cellStyle name="SAPBEXHLevel0 3 12" xfId="14997" xr:uid="{44D5A847-1527-4F87-B5EE-DB188CEA4F99}"/>
    <cellStyle name="SAPBEXHLevel0 3 12 2" xfId="14998" xr:uid="{7E681A43-C2ED-481B-950F-279A209D7455}"/>
    <cellStyle name="SAPBEXHLevel0 3 13" xfId="14999" xr:uid="{2ED06FEE-1F91-4BBE-AFC4-E1DD14619498}"/>
    <cellStyle name="SAPBEXHLevel0 3 13 2" xfId="15000" xr:uid="{04F1E51A-4D61-4236-809D-D209AE3A691F}"/>
    <cellStyle name="SAPBEXHLevel0 3 14" xfId="15001" xr:uid="{06C36A9F-DE5F-4B20-B5BB-21B1F058037D}"/>
    <cellStyle name="SAPBEXHLevel0 3 14 2" xfId="15002" xr:uid="{0CBCDF93-F05B-4431-912E-B26B4176CAF5}"/>
    <cellStyle name="SAPBEXHLevel0 3 15" xfId="15003" xr:uid="{2773340D-15B4-403F-8AE0-9A5EAA885F9A}"/>
    <cellStyle name="SAPBEXHLevel0 3 15 2" xfId="15004" xr:uid="{9C581E32-643D-4627-BF64-DC607972EFC7}"/>
    <cellStyle name="SAPBEXHLevel0 3 16" xfId="15005" xr:uid="{333A5064-D5AB-419B-8455-4C97985AAF7B}"/>
    <cellStyle name="SAPBEXHLevel0 3 16 2" xfId="15006" xr:uid="{952C1AF1-2C05-4DDF-B6BF-FF0177E9A13A}"/>
    <cellStyle name="SAPBEXHLevel0 3 17" xfId="15007" xr:uid="{C766556B-1455-4421-9A9E-0B34BD48D074}"/>
    <cellStyle name="SAPBEXHLevel0 3 17 2" xfId="15008" xr:uid="{5AF94DAB-0CCB-49FD-93AF-00A1F46F37A4}"/>
    <cellStyle name="SAPBEXHLevel0 3 18" xfId="15009" xr:uid="{956C0A3B-7DEF-4130-B473-9B1CC8F6DB6E}"/>
    <cellStyle name="SAPBEXHLevel0 3 2" xfId="15010" xr:uid="{69517D6C-CB5E-4774-AA83-0447EE3643BB}"/>
    <cellStyle name="SAPBEXHLevel0 3 2 10" xfId="15011" xr:uid="{AC4756C3-CCD5-4AB4-9E5F-AC02AA4289A0}"/>
    <cellStyle name="SAPBEXHLevel0 3 2 10 2" xfId="15012" xr:uid="{162E4D2F-FA8C-4ED4-9819-9AD85C332B68}"/>
    <cellStyle name="SAPBEXHLevel0 3 2 11" xfId="15013" xr:uid="{AA414E2B-9673-4A9C-BDD4-6993828C18D0}"/>
    <cellStyle name="SAPBEXHLevel0 3 2 11 2" xfId="15014" xr:uid="{8179CC47-E8BB-4A15-9E92-F34FE3FDC432}"/>
    <cellStyle name="SAPBEXHLevel0 3 2 12" xfId="15015" xr:uid="{E58758F4-0ED3-49BB-9798-6167287FEEB6}"/>
    <cellStyle name="SAPBEXHLevel0 3 2 12 2" xfId="15016" xr:uid="{55FB30A7-1609-46D6-B59D-59C55E118234}"/>
    <cellStyle name="SAPBEXHLevel0 3 2 13" xfId="15017" xr:uid="{52D76DEE-0EE1-4C6A-A1ED-552B141B315E}"/>
    <cellStyle name="SAPBEXHLevel0 3 2 13 2" xfId="15018" xr:uid="{30F5F62C-0CFF-4D4C-8D92-BBF95155256E}"/>
    <cellStyle name="SAPBEXHLevel0 3 2 14" xfId="15019" xr:uid="{587D4FA9-D5BC-402C-AC52-820ADA661592}"/>
    <cellStyle name="SAPBEXHLevel0 3 2 14 2" xfId="15020" xr:uid="{4AD8FB65-9051-4C43-80DA-3F5048673030}"/>
    <cellStyle name="SAPBEXHLevel0 3 2 15" xfId="15021" xr:uid="{BC4592A9-EEA6-48F8-9490-AA02E9DFC339}"/>
    <cellStyle name="SAPBEXHLevel0 3 2 15 2" xfId="15022" xr:uid="{117E6387-1C40-439D-9F62-728A6125183B}"/>
    <cellStyle name="SAPBEXHLevel0 3 2 16" xfId="15023" xr:uid="{35DFB8BD-9561-497A-ADEA-07AEEE5654DF}"/>
    <cellStyle name="SAPBEXHLevel0 3 2 2" xfId="15024" xr:uid="{BAF25F4A-97A1-4E65-B7DD-F5FA6BA556AA}"/>
    <cellStyle name="SAPBEXHLevel0 3 2 2 2" xfId="15025" xr:uid="{FFE62CD2-6FFC-4B89-8154-EE0EC5665ACA}"/>
    <cellStyle name="SAPBEXHLevel0 3 2 3" xfId="15026" xr:uid="{E03B21C0-A2E9-4CCD-85F8-A4335E870531}"/>
    <cellStyle name="SAPBEXHLevel0 3 2 3 2" xfId="15027" xr:uid="{24C7AAB6-C21F-448A-B97A-15AF2D2346C3}"/>
    <cellStyle name="SAPBEXHLevel0 3 2 4" xfId="15028" xr:uid="{104C39F9-F830-48F2-8789-C8772FA27199}"/>
    <cellStyle name="SAPBEXHLevel0 3 2 4 2" xfId="15029" xr:uid="{90222E5A-C3F0-4771-8123-334C319AD0B6}"/>
    <cellStyle name="SAPBEXHLevel0 3 2 5" xfId="15030" xr:uid="{6A1F8CDA-C80B-4600-ABB3-A9F073CAC23A}"/>
    <cellStyle name="SAPBEXHLevel0 3 2 5 2" xfId="15031" xr:uid="{89228715-F861-401B-83A0-F1373CB3C3A3}"/>
    <cellStyle name="SAPBEXHLevel0 3 2 6" xfId="15032" xr:uid="{91B0856E-8D05-401A-B257-1DCFD99ED912}"/>
    <cellStyle name="SAPBEXHLevel0 3 2 6 2" xfId="15033" xr:uid="{9A58CF8D-A1AC-46D9-A7D8-45162B37C363}"/>
    <cellStyle name="SAPBEXHLevel0 3 2 7" xfId="15034" xr:uid="{EBD72E80-CC98-4D04-9F7C-513C125BC3A6}"/>
    <cellStyle name="SAPBEXHLevel0 3 2 7 2" xfId="15035" xr:uid="{35A2D970-A2B9-4F46-B740-D90D4E4A5C30}"/>
    <cellStyle name="SAPBEXHLevel0 3 2 8" xfId="15036" xr:uid="{6A8E500E-4120-4D61-8BE2-A2821793F4DD}"/>
    <cellStyle name="SAPBEXHLevel0 3 2 8 2" xfId="15037" xr:uid="{82F18C91-AE76-4F1C-B6AB-38A39407212C}"/>
    <cellStyle name="SAPBEXHLevel0 3 2 9" xfId="15038" xr:uid="{35D65D8A-9F02-4C86-AEAC-38322C118A5B}"/>
    <cellStyle name="SAPBEXHLevel0 3 2 9 2" xfId="15039" xr:uid="{18EB441C-B76A-4137-9925-072B49EB5F3C}"/>
    <cellStyle name="SAPBEXHLevel0 3 3" xfId="15040" xr:uid="{F5610056-FE28-40F3-9B96-642C41B86AA1}"/>
    <cellStyle name="SAPBEXHLevel0 3 3 10" xfId="15041" xr:uid="{7258F3FF-E2B4-425A-81CB-1DD494249A4C}"/>
    <cellStyle name="SAPBEXHLevel0 3 3 10 2" xfId="15042" xr:uid="{9FFEA5D2-AD18-491C-9D81-7078EE74CECE}"/>
    <cellStyle name="SAPBEXHLevel0 3 3 11" xfId="15043" xr:uid="{530E0302-FB4D-4364-BC26-CB1E63CB6DFC}"/>
    <cellStyle name="SAPBEXHLevel0 3 3 11 2" xfId="15044" xr:uid="{49BFD261-4BF8-4AA5-80B3-3D78F90BF027}"/>
    <cellStyle name="SAPBEXHLevel0 3 3 12" xfId="15045" xr:uid="{F16F5C63-171F-40E4-A019-5521D099AEBF}"/>
    <cellStyle name="SAPBEXHLevel0 3 3 12 2" xfId="15046" xr:uid="{F0740F3A-D587-4CD3-989F-D0A06DAD1336}"/>
    <cellStyle name="SAPBEXHLevel0 3 3 13" xfId="15047" xr:uid="{6172D568-2655-4D60-A694-AAE51CD8E626}"/>
    <cellStyle name="SAPBEXHLevel0 3 3 13 2" xfId="15048" xr:uid="{5EE41335-4DEC-461E-AA9D-D71B13763765}"/>
    <cellStyle name="SAPBEXHLevel0 3 3 14" xfId="15049" xr:uid="{4985B520-3BE7-4815-A89D-84E4B2210C30}"/>
    <cellStyle name="SAPBEXHLevel0 3 3 14 2" xfId="15050" xr:uid="{61BEFB09-E3D4-4FFA-83EE-4EADC004DA62}"/>
    <cellStyle name="SAPBEXHLevel0 3 3 15" xfId="15051" xr:uid="{2A27B208-AB21-4FC8-94F2-8FC7095482B3}"/>
    <cellStyle name="SAPBEXHLevel0 3 3 15 2" xfId="15052" xr:uid="{F4B167F9-31C6-40E6-8DD3-989EC4C4EA09}"/>
    <cellStyle name="SAPBEXHLevel0 3 3 16" xfId="15053" xr:uid="{4F7734C4-44F9-41AB-ABF7-F9800148F0A1}"/>
    <cellStyle name="SAPBEXHLevel0 3 3 2" xfId="15054" xr:uid="{C6F258BF-1349-47A0-B6AF-EAFB6E1FB298}"/>
    <cellStyle name="SAPBEXHLevel0 3 3 2 2" xfId="15055" xr:uid="{B0FB35D5-5216-4B62-AD2B-BD4720E5026A}"/>
    <cellStyle name="SAPBEXHLevel0 3 3 3" xfId="15056" xr:uid="{63A71FFB-5001-4757-813E-A1AA5F98B274}"/>
    <cellStyle name="SAPBEXHLevel0 3 3 3 2" xfId="15057" xr:uid="{AB6C947B-AA5E-4937-B008-73E1046776E1}"/>
    <cellStyle name="SAPBEXHLevel0 3 3 4" xfId="15058" xr:uid="{D0AA8C45-3AF2-46C6-AD57-7D6F4D91CE1B}"/>
    <cellStyle name="SAPBEXHLevel0 3 3 4 2" xfId="15059" xr:uid="{C98C420E-D1FE-4E74-9C71-25D0F4AC251C}"/>
    <cellStyle name="SAPBEXHLevel0 3 3 5" xfId="15060" xr:uid="{BAAF7F41-537C-45C0-90D8-CC98D643B2D5}"/>
    <cellStyle name="SAPBEXHLevel0 3 3 5 2" xfId="15061" xr:uid="{D4812F20-6FD4-4E07-942C-2E39E196DFA9}"/>
    <cellStyle name="SAPBEXHLevel0 3 3 6" xfId="15062" xr:uid="{99FBC79E-E506-4FEE-8143-274090BB5C5A}"/>
    <cellStyle name="SAPBEXHLevel0 3 3 6 2" xfId="15063" xr:uid="{5E3BA554-EBF5-43E1-B6C4-9882F841EAF5}"/>
    <cellStyle name="SAPBEXHLevel0 3 3 7" xfId="15064" xr:uid="{A3FDF866-E49F-4892-9B55-1D92699FC15B}"/>
    <cellStyle name="SAPBEXHLevel0 3 3 7 2" xfId="15065" xr:uid="{5F885415-7994-4195-8240-B37688B8DD19}"/>
    <cellStyle name="SAPBEXHLevel0 3 3 8" xfId="15066" xr:uid="{662822DD-59F7-4491-922D-1EEB56995E37}"/>
    <cellStyle name="SAPBEXHLevel0 3 3 8 2" xfId="15067" xr:uid="{7CE8AFB7-78C3-4225-B049-0C1347404772}"/>
    <cellStyle name="SAPBEXHLevel0 3 3 9" xfId="15068" xr:uid="{0AA85803-00EC-4B5F-A9F8-BEEE8C7B9118}"/>
    <cellStyle name="SAPBEXHLevel0 3 3 9 2" xfId="15069" xr:uid="{CFFC219F-26B0-4FA4-9684-6CAAC1B6DDA1}"/>
    <cellStyle name="SAPBEXHLevel0 3 4" xfId="15070" xr:uid="{A802C890-17AC-4C00-8A6E-8D464B8E5444}"/>
    <cellStyle name="SAPBEXHLevel0 3 4 2" xfId="15071" xr:uid="{E0B06958-9CBA-4FB7-8405-A0591B758730}"/>
    <cellStyle name="SAPBEXHLevel0 3 5" xfId="15072" xr:uid="{44E6A792-B11A-44F3-841F-AFB1D13634E6}"/>
    <cellStyle name="SAPBEXHLevel0 3 5 2" xfId="15073" xr:uid="{D634245A-6F14-45E5-90A1-14D4CB7E51D9}"/>
    <cellStyle name="SAPBEXHLevel0 3 6" xfId="15074" xr:uid="{1966080A-1362-43A4-BD8D-1996C44E9AC2}"/>
    <cellStyle name="SAPBEXHLevel0 3 6 2" xfId="15075" xr:uid="{34CEE5B6-F13B-4D58-B8B2-F4156936CD76}"/>
    <cellStyle name="SAPBEXHLevel0 3 7" xfId="15076" xr:uid="{264DA12B-8565-432C-9BE5-AB7E0D85088F}"/>
    <cellStyle name="SAPBEXHLevel0 3 7 2" xfId="15077" xr:uid="{3BDD6B67-8A3D-4C90-8CDD-44B26D44B7C6}"/>
    <cellStyle name="SAPBEXHLevel0 3 8" xfId="15078" xr:uid="{7645BF52-C4D1-4C6E-8408-216CB022B9B7}"/>
    <cellStyle name="SAPBEXHLevel0 3 8 2" xfId="15079" xr:uid="{331B0404-518B-4250-962B-D8AB7E72E876}"/>
    <cellStyle name="SAPBEXHLevel0 3 9" xfId="15080" xr:uid="{1C057296-EC7D-40F9-B700-9BAAE595EE2D}"/>
    <cellStyle name="SAPBEXHLevel0 3 9 2" xfId="15081" xr:uid="{7FE0654C-3950-48A5-9F52-567E98859FA2}"/>
    <cellStyle name="SAPBEXHLevel0 3_T1 ANSP" xfId="14992" xr:uid="{CDC33B94-18D2-4A73-8A30-24A4186E1EE7}"/>
    <cellStyle name="SAPBEXHLevel0 4" xfId="15082" xr:uid="{4FC03EAC-071F-4850-A78F-7EE7252C0828}"/>
    <cellStyle name="SAPBEXHLevel0 4 10" xfId="15083" xr:uid="{00B97501-EEB9-40C8-A50A-0F0FE76D9744}"/>
    <cellStyle name="SAPBEXHLevel0 4 10 2" xfId="15084" xr:uid="{04ADC0C2-58C0-46C1-B171-4C409D1387EC}"/>
    <cellStyle name="SAPBEXHLevel0 4 11" xfId="15085" xr:uid="{E1217E95-F6C7-4085-AE0F-F7EC9BB2F5BA}"/>
    <cellStyle name="SAPBEXHLevel0 4 11 2" xfId="15086" xr:uid="{982C2576-E688-457A-BE4C-1D7F0C1D596C}"/>
    <cellStyle name="SAPBEXHLevel0 4 12" xfId="15087" xr:uid="{993D6800-D9B4-4106-9E63-6668CA1A53EB}"/>
    <cellStyle name="SAPBEXHLevel0 4 12 2" xfId="15088" xr:uid="{EE2A19B7-5D4B-47A1-8193-AE761168187C}"/>
    <cellStyle name="SAPBEXHLevel0 4 13" xfId="15089" xr:uid="{4B5F58B4-D4D7-4807-8061-38E237CE42BC}"/>
    <cellStyle name="SAPBEXHLevel0 4 13 2" xfId="15090" xr:uid="{A8FDB404-9835-4C56-8F92-2DC281A17E67}"/>
    <cellStyle name="SAPBEXHLevel0 4 14" xfId="15091" xr:uid="{AB82F91E-B8D4-4064-9BBC-33E704F30064}"/>
    <cellStyle name="SAPBEXHLevel0 4 14 2" xfId="15092" xr:uid="{C4C31C7E-B3CE-49B4-B351-54762C7F392C}"/>
    <cellStyle name="SAPBEXHLevel0 4 15" xfId="15093" xr:uid="{4F3CC748-1F46-4F36-A508-5FB71EA8BF10}"/>
    <cellStyle name="SAPBEXHLevel0 4 15 2" xfId="15094" xr:uid="{83B9F601-737A-464A-8631-985E6A796E3B}"/>
    <cellStyle name="SAPBEXHLevel0 4 16" xfId="15095" xr:uid="{A279C846-3C72-4795-ADDA-17477682CE72}"/>
    <cellStyle name="SAPBEXHLevel0 4 16 2" xfId="15096" xr:uid="{6B1044DF-61C8-489F-877E-D0E1FFD4FC16}"/>
    <cellStyle name="SAPBEXHLevel0 4 17" xfId="15097" xr:uid="{BE12007E-00BA-4E28-8548-C097B0A4CB02}"/>
    <cellStyle name="SAPBEXHLevel0 4 17 2" xfId="15098" xr:uid="{AE7DE407-96DB-42EC-A141-6AC60BD10715}"/>
    <cellStyle name="SAPBEXHLevel0 4 18" xfId="15099" xr:uid="{F0F0FEA7-651B-4B49-8DBF-2CC087C55CC0}"/>
    <cellStyle name="SAPBEXHLevel0 4 2" xfId="15100" xr:uid="{0482938C-7D88-4309-A8AC-95D4E8255958}"/>
    <cellStyle name="SAPBEXHLevel0 4 2 10" xfId="15101" xr:uid="{90380C8C-F3B0-4559-8EF2-B694CBCFB7DC}"/>
    <cellStyle name="SAPBEXHLevel0 4 2 10 2" xfId="15102" xr:uid="{02106186-7EBC-4FB4-BAB1-969F59631F96}"/>
    <cellStyle name="SAPBEXHLevel0 4 2 11" xfId="15103" xr:uid="{18AAC2CB-D3C5-4D47-9679-523F95A700DD}"/>
    <cellStyle name="SAPBEXHLevel0 4 2 11 2" xfId="15104" xr:uid="{A5B5EB75-4520-4B77-9A14-B999C94C548D}"/>
    <cellStyle name="SAPBEXHLevel0 4 2 12" xfId="15105" xr:uid="{E11134BA-3D97-44B9-B193-BA186ABF09AC}"/>
    <cellStyle name="SAPBEXHLevel0 4 2 12 2" xfId="15106" xr:uid="{E6FDB465-20D0-4582-89AC-61E37A34455B}"/>
    <cellStyle name="SAPBEXHLevel0 4 2 13" xfId="15107" xr:uid="{1E354C32-09E2-40C4-BA1F-A766785ED686}"/>
    <cellStyle name="SAPBEXHLevel0 4 2 13 2" xfId="15108" xr:uid="{9FD8F002-024B-4622-9C6E-E8CAC0707A67}"/>
    <cellStyle name="SAPBEXHLevel0 4 2 14" xfId="15109" xr:uid="{A66D480A-74BC-4BB3-8911-42C998178819}"/>
    <cellStyle name="SAPBEXHLevel0 4 2 14 2" xfId="15110" xr:uid="{3E08B137-5441-43BB-AC7B-7AB3E4D9F3DA}"/>
    <cellStyle name="SAPBEXHLevel0 4 2 15" xfId="15111" xr:uid="{CED3A03C-C532-41A0-BDF4-2CB1A3C3A033}"/>
    <cellStyle name="SAPBEXHLevel0 4 2 15 2" xfId="15112" xr:uid="{DC05C7D7-D429-4591-A1F4-3A3AA4061E23}"/>
    <cellStyle name="SAPBEXHLevel0 4 2 16" xfId="15113" xr:uid="{ECDD0F0A-EA6C-488B-B2FB-AE7F0F50E41F}"/>
    <cellStyle name="SAPBEXHLevel0 4 2 2" xfId="15114" xr:uid="{C1FDF1E8-9FCF-492B-AB1A-C0BB3E9EEF89}"/>
    <cellStyle name="SAPBEXHLevel0 4 2 2 2" xfId="15115" xr:uid="{E3801893-8724-472A-92CB-598CD9C94824}"/>
    <cellStyle name="SAPBEXHLevel0 4 2 3" xfId="15116" xr:uid="{9E541D59-F760-4901-91E1-ADC193CBD6CF}"/>
    <cellStyle name="SAPBEXHLevel0 4 2 3 2" xfId="15117" xr:uid="{462C2D39-C664-404C-BF31-C18EE19352DF}"/>
    <cellStyle name="SAPBEXHLevel0 4 2 4" xfId="15118" xr:uid="{F9237746-EDB9-430D-B821-09C03FFF9134}"/>
    <cellStyle name="SAPBEXHLevel0 4 2 4 2" xfId="15119" xr:uid="{23435F48-8BB9-41A5-93A2-C8C97CF19428}"/>
    <cellStyle name="SAPBEXHLevel0 4 2 5" xfId="15120" xr:uid="{36FC6BAE-8B04-4AE5-BEFF-4DF38D97246B}"/>
    <cellStyle name="SAPBEXHLevel0 4 2 5 2" xfId="15121" xr:uid="{C28A2790-B201-47B0-9B78-0C3EDA6AA838}"/>
    <cellStyle name="SAPBEXHLevel0 4 2 6" xfId="15122" xr:uid="{7809D0E5-A1F6-4D55-BB6D-2CBED3772EC6}"/>
    <cellStyle name="SAPBEXHLevel0 4 2 6 2" xfId="15123" xr:uid="{95FC3C74-41F0-4B7F-96B1-E37DDB21AEB7}"/>
    <cellStyle name="SAPBEXHLevel0 4 2 7" xfId="15124" xr:uid="{6E44D035-CC1D-436C-8B36-B98928187137}"/>
    <cellStyle name="SAPBEXHLevel0 4 2 7 2" xfId="15125" xr:uid="{62F1F5AD-4C53-4F3C-AC4F-BE9EE4F7B055}"/>
    <cellStyle name="SAPBEXHLevel0 4 2 8" xfId="15126" xr:uid="{68DE1E26-B23B-4E73-AA4F-011A209606FF}"/>
    <cellStyle name="SAPBEXHLevel0 4 2 8 2" xfId="15127" xr:uid="{F6360BD6-A621-4362-AF33-9C3FCA443C8A}"/>
    <cellStyle name="SAPBEXHLevel0 4 2 9" xfId="15128" xr:uid="{5B525554-5FAC-4894-891F-BDC208A240DF}"/>
    <cellStyle name="SAPBEXHLevel0 4 2 9 2" xfId="15129" xr:uid="{F0C6A916-9616-433B-8CA0-504E06B0C6FD}"/>
    <cellStyle name="SAPBEXHLevel0 4 3" xfId="15130" xr:uid="{1E18837B-DA57-49B9-8A3A-9A41BC69D6A6}"/>
    <cellStyle name="SAPBEXHLevel0 4 3 10" xfId="15131" xr:uid="{4E8B9229-DA09-48A6-A12C-05C1D8776BA0}"/>
    <cellStyle name="SAPBEXHLevel0 4 3 10 2" xfId="15132" xr:uid="{2667F40E-BB23-4CB9-9C05-DD43D5817E7A}"/>
    <cellStyle name="SAPBEXHLevel0 4 3 11" xfId="15133" xr:uid="{1B7FB8E9-AAEE-45CC-8FB2-1854F902080D}"/>
    <cellStyle name="SAPBEXHLevel0 4 3 11 2" xfId="15134" xr:uid="{61A61E7F-611D-4DEE-9ECE-916F11764C81}"/>
    <cellStyle name="SAPBEXHLevel0 4 3 12" xfId="15135" xr:uid="{1A5246F3-B33F-423F-B7A2-88EE5746CF7E}"/>
    <cellStyle name="SAPBEXHLevel0 4 3 12 2" xfId="15136" xr:uid="{566CAB5D-3E3C-45FE-B07E-798530AD8F22}"/>
    <cellStyle name="SAPBEXHLevel0 4 3 13" xfId="15137" xr:uid="{F686BBD3-FD7F-4DF4-B991-1BA7A6810ECE}"/>
    <cellStyle name="SAPBEXHLevel0 4 3 13 2" xfId="15138" xr:uid="{29842FF0-5F27-4A90-9E11-7D96430AF25E}"/>
    <cellStyle name="SAPBEXHLevel0 4 3 14" xfId="15139" xr:uid="{2844CC85-0B56-4B55-842C-AB1EE638A7E4}"/>
    <cellStyle name="SAPBEXHLevel0 4 3 14 2" xfId="15140" xr:uid="{484BC3AE-EC29-4511-BBEE-9CBE80FDE8B6}"/>
    <cellStyle name="SAPBEXHLevel0 4 3 15" xfId="15141" xr:uid="{82E7D6BF-E8C8-4CAC-8C73-84E12492041D}"/>
    <cellStyle name="SAPBEXHLevel0 4 3 15 2" xfId="15142" xr:uid="{52A1805A-11C5-43A2-A77E-4A74834EBAFC}"/>
    <cellStyle name="SAPBEXHLevel0 4 3 16" xfId="15143" xr:uid="{9D65DF84-E8C1-47D0-9D26-874D76906AAC}"/>
    <cellStyle name="SAPBEXHLevel0 4 3 2" xfId="15144" xr:uid="{2E2B31A3-8386-4EF1-A1C3-811D3B46C7AD}"/>
    <cellStyle name="SAPBEXHLevel0 4 3 2 2" xfId="15145" xr:uid="{67F3C56D-8121-4CF3-8074-E4ECDE2D9360}"/>
    <cellStyle name="SAPBEXHLevel0 4 3 3" xfId="15146" xr:uid="{53B55C19-9F07-4F72-9F2B-CCF1A9BB5926}"/>
    <cellStyle name="SAPBEXHLevel0 4 3 3 2" xfId="15147" xr:uid="{A2083392-FA44-4FFF-A790-02E35D64AAE6}"/>
    <cellStyle name="SAPBEXHLevel0 4 3 4" xfId="15148" xr:uid="{761BB65E-15F4-4609-A534-E2C464EF8C64}"/>
    <cellStyle name="SAPBEXHLevel0 4 3 4 2" xfId="15149" xr:uid="{8FE20342-90FA-47D4-B9B8-2333E62993A8}"/>
    <cellStyle name="SAPBEXHLevel0 4 3 5" xfId="15150" xr:uid="{EEA4256E-882B-4DEC-B430-BAAC5A2C5DD8}"/>
    <cellStyle name="SAPBEXHLevel0 4 3 5 2" xfId="15151" xr:uid="{6743A20F-2A24-43EC-9BA3-8850F5B0E867}"/>
    <cellStyle name="SAPBEXHLevel0 4 3 6" xfId="15152" xr:uid="{0388BD58-1C16-4036-A3BE-2688B9466F66}"/>
    <cellStyle name="SAPBEXHLevel0 4 3 6 2" xfId="15153" xr:uid="{CD997342-9298-4461-98FD-9E11E9A734BD}"/>
    <cellStyle name="SAPBEXHLevel0 4 3 7" xfId="15154" xr:uid="{16607163-33C1-4FBA-9BCB-0DC50D9D0E64}"/>
    <cellStyle name="SAPBEXHLevel0 4 3 7 2" xfId="15155" xr:uid="{B076BE0F-09F1-479C-BF60-86582E8CF4F3}"/>
    <cellStyle name="SAPBEXHLevel0 4 3 8" xfId="15156" xr:uid="{1385C86F-D91B-4620-9F31-CA61FA647E4C}"/>
    <cellStyle name="SAPBEXHLevel0 4 3 8 2" xfId="15157" xr:uid="{BAB59164-798C-4AD1-BBE4-784865F6E990}"/>
    <cellStyle name="SAPBEXHLevel0 4 3 9" xfId="15158" xr:uid="{21310B4F-35C2-42EF-A03A-98410F77B73A}"/>
    <cellStyle name="SAPBEXHLevel0 4 3 9 2" xfId="15159" xr:uid="{60E37A78-4008-43FA-BFD0-AF19F39A1799}"/>
    <cellStyle name="SAPBEXHLevel0 4 4" xfId="15160" xr:uid="{94C7658C-0887-4B0A-ABA6-E14F3B4D8CA7}"/>
    <cellStyle name="SAPBEXHLevel0 4 4 2" xfId="15161" xr:uid="{129F2DF4-EBE8-443A-8FAC-BBC015990C28}"/>
    <cellStyle name="SAPBEXHLevel0 4 5" xfId="15162" xr:uid="{A945539E-D0A5-4E49-9A4A-9F3C45F72954}"/>
    <cellStyle name="SAPBEXHLevel0 4 5 2" xfId="15163" xr:uid="{CDEDFF37-2E7F-4E52-B435-EDE12EE6D22E}"/>
    <cellStyle name="SAPBEXHLevel0 4 6" xfId="15164" xr:uid="{C60C618E-B25D-4885-82C0-8BD20F56D091}"/>
    <cellStyle name="SAPBEXHLevel0 4 6 2" xfId="15165" xr:uid="{9E1003F9-C95C-449F-B4BA-A4E1B7C29D0C}"/>
    <cellStyle name="SAPBEXHLevel0 4 7" xfId="15166" xr:uid="{337EA205-7627-4D70-846F-C2151E39DC25}"/>
    <cellStyle name="SAPBEXHLevel0 4 7 2" xfId="15167" xr:uid="{127ACABF-3992-43F9-9CFF-D9C1D9E95120}"/>
    <cellStyle name="SAPBEXHLevel0 4 8" xfId="15168" xr:uid="{6D8E09FE-8DA5-4F4C-BAC7-F7E845976923}"/>
    <cellStyle name="SAPBEXHLevel0 4 8 2" xfId="15169" xr:uid="{2DA6C601-FDF4-49F3-B2C5-81E35A67B550}"/>
    <cellStyle name="SAPBEXHLevel0 4 9" xfId="15170" xr:uid="{E58C65D7-523D-40E6-8013-9DADC5304DB2}"/>
    <cellStyle name="SAPBEXHLevel0 4 9 2" xfId="15171" xr:uid="{60BA5FC1-43C2-4DF9-8292-9C9A59CD844E}"/>
    <cellStyle name="SAPBEXHLevel0 5" xfId="15172" xr:uid="{9BC13C3C-F388-455A-A56F-25FF220EC6D0}"/>
    <cellStyle name="SAPBEXHLevel0 5 10" xfId="15173" xr:uid="{9C0E41FC-A7E6-4127-9006-E2BF1774B265}"/>
    <cellStyle name="SAPBEXHLevel0 5 10 2" xfId="15174" xr:uid="{AC604759-FC4A-4F87-B227-83E17D9B0BD2}"/>
    <cellStyle name="SAPBEXHLevel0 5 11" xfId="15175" xr:uid="{BC17A313-6E98-4745-8264-9EEE04B21C09}"/>
    <cellStyle name="SAPBEXHLevel0 5 11 2" xfId="15176" xr:uid="{7E23623A-51F5-4D65-9C31-EAA1719BAD86}"/>
    <cellStyle name="SAPBEXHLevel0 5 12" xfId="15177" xr:uid="{47285E6B-0A68-420C-A1E7-6FB34D5F12EF}"/>
    <cellStyle name="SAPBEXHLevel0 5 12 2" xfId="15178" xr:uid="{A319424E-CB83-4667-9C1A-98FAD61BE48A}"/>
    <cellStyle name="SAPBEXHLevel0 5 13" xfId="15179" xr:uid="{BC203175-5E3B-4386-BDA0-09C4197BF763}"/>
    <cellStyle name="SAPBEXHLevel0 5 13 2" xfId="15180" xr:uid="{B1C6B4A9-42B0-405D-B4AB-107EC47411F1}"/>
    <cellStyle name="SAPBEXHLevel0 5 14" xfId="15181" xr:uid="{552C3E00-4723-4C4E-8A88-649FE1C60AB2}"/>
    <cellStyle name="SAPBEXHLevel0 5 14 2" xfId="15182" xr:uid="{A9AFDF5C-E6FA-4B4E-9385-7B73DA2E8D66}"/>
    <cellStyle name="SAPBEXHLevel0 5 15" xfId="15183" xr:uid="{17B6434D-AC95-4445-A53B-A87A8A76FA3F}"/>
    <cellStyle name="SAPBEXHLevel0 5 15 2" xfId="15184" xr:uid="{CE860849-661B-47CF-8271-2BD17E36D502}"/>
    <cellStyle name="SAPBEXHLevel0 5 16" xfId="15185" xr:uid="{E2698D15-DE84-409D-87B3-CC6F6CEE7ABA}"/>
    <cellStyle name="SAPBEXHLevel0 5 16 2" xfId="15186" xr:uid="{A1AA82F8-7CA2-404E-A5A1-9FBB7A40D114}"/>
    <cellStyle name="SAPBEXHLevel0 5 17" xfId="15187" xr:uid="{73DD476C-488C-42E5-AD62-CCC08CD87F60}"/>
    <cellStyle name="SAPBEXHLevel0 5 17 2" xfId="15188" xr:uid="{C8F7D21D-53EC-4448-8F53-71270469D090}"/>
    <cellStyle name="SAPBEXHLevel0 5 18" xfId="15189" xr:uid="{DD2C695E-28A5-4A59-9E88-A8DE0C1BBB82}"/>
    <cellStyle name="SAPBEXHLevel0 5 2" xfId="15190" xr:uid="{F1EA4DC9-8364-4DFA-8D50-0EF52930ADEF}"/>
    <cellStyle name="SAPBEXHLevel0 5 2 10" xfId="15191" xr:uid="{AB96F6A0-0E8B-4CFA-804C-7B75A81EF6BE}"/>
    <cellStyle name="SAPBEXHLevel0 5 2 10 2" xfId="15192" xr:uid="{7FB35C48-B160-4A84-BDCB-A97159C4E54B}"/>
    <cellStyle name="SAPBEXHLevel0 5 2 11" xfId="15193" xr:uid="{B6FA278A-61FE-4C55-B6D5-F4846335FBDC}"/>
    <cellStyle name="SAPBEXHLevel0 5 2 11 2" xfId="15194" xr:uid="{83406B96-47D4-4884-B76A-E544905A7E4D}"/>
    <cellStyle name="SAPBEXHLevel0 5 2 12" xfId="15195" xr:uid="{BF0F3578-DA8B-4F1E-AAD3-1A05A1331A83}"/>
    <cellStyle name="SAPBEXHLevel0 5 2 12 2" xfId="15196" xr:uid="{21A11B96-8665-4C1B-9FA4-CC57EC54B138}"/>
    <cellStyle name="SAPBEXHLevel0 5 2 13" xfId="15197" xr:uid="{DCDE386B-CC94-4C5D-AC8B-8F28A3DC5926}"/>
    <cellStyle name="SAPBEXHLevel0 5 2 13 2" xfId="15198" xr:uid="{A4BA9080-8AF3-4A65-ACF3-1CF3666EC6E9}"/>
    <cellStyle name="SAPBEXHLevel0 5 2 14" xfId="15199" xr:uid="{B2E8F5EA-23DA-42B9-B49D-CBD9453AB51F}"/>
    <cellStyle name="SAPBEXHLevel0 5 2 14 2" xfId="15200" xr:uid="{9B3A50BE-072B-46A1-9362-F6CA0706CF87}"/>
    <cellStyle name="SAPBEXHLevel0 5 2 15" xfId="15201" xr:uid="{42E16154-9212-4D16-B364-ADF4F6786CA6}"/>
    <cellStyle name="SAPBEXHLevel0 5 2 15 2" xfId="15202" xr:uid="{DE78D028-0295-4540-86A5-CE2BCD3587F9}"/>
    <cellStyle name="SAPBEXHLevel0 5 2 16" xfId="15203" xr:uid="{DE1706D8-E288-4198-BCC2-28F65C8C4A43}"/>
    <cellStyle name="SAPBEXHLevel0 5 2 2" xfId="15204" xr:uid="{7CF5AEC5-2F4C-462F-8332-396FF559C31B}"/>
    <cellStyle name="SAPBEXHLevel0 5 2 2 2" xfId="15205" xr:uid="{E9FEEA0E-096F-49B8-AF82-97141EA8AADB}"/>
    <cellStyle name="SAPBEXHLevel0 5 2 3" xfId="15206" xr:uid="{15F8AB68-3A38-4E3C-A830-8B2A08A0DC41}"/>
    <cellStyle name="SAPBEXHLevel0 5 2 3 2" xfId="15207" xr:uid="{B687A4E8-0666-4B3D-98BB-3BF7085330F5}"/>
    <cellStyle name="SAPBEXHLevel0 5 2 4" xfId="15208" xr:uid="{20DD6736-54BB-4E54-A627-EB75CDFB8B8D}"/>
    <cellStyle name="SAPBEXHLevel0 5 2 4 2" xfId="15209" xr:uid="{0A76C577-FCB0-4311-BA75-CAF7E8003EA8}"/>
    <cellStyle name="SAPBEXHLevel0 5 2 5" xfId="15210" xr:uid="{A54470B8-3CC2-4CEF-86FF-8A48BAE749F0}"/>
    <cellStyle name="SAPBEXHLevel0 5 2 5 2" xfId="15211" xr:uid="{FBD32F92-7B9F-451F-BDE6-1FDC09702672}"/>
    <cellStyle name="SAPBEXHLevel0 5 2 6" xfId="15212" xr:uid="{4268790D-0F82-4521-BF5F-3666B404B60D}"/>
    <cellStyle name="SAPBEXHLevel0 5 2 6 2" xfId="15213" xr:uid="{4C40DD11-96B0-4048-88E4-814408A5968A}"/>
    <cellStyle name="SAPBEXHLevel0 5 2 7" xfId="15214" xr:uid="{CB7F97E9-E0AB-4F50-AE26-BFEC7637B0FE}"/>
    <cellStyle name="SAPBEXHLevel0 5 2 7 2" xfId="15215" xr:uid="{76291271-FDC9-4798-BEDB-45CB3D506EE9}"/>
    <cellStyle name="SAPBEXHLevel0 5 2 8" xfId="15216" xr:uid="{5BE921D0-0CA6-458E-BA27-75469E6FB6B3}"/>
    <cellStyle name="SAPBEXHLevel0 5 2 8 2" xfId="15217" xr:uid="{9C29B947-482A-40EF-90D4-D01E3837F1AB}"/>
    <cellStyle name="SAPBEXHLevel0 5 2 9" xfId="15218" xr:uid="{4009BACB-39C8-432A-ABDA-760C731F33E9}"/>
    <cellStyle name="SAPBEXHLevel0 5 2 9 2" xfId="15219" xr:uid="{9A29ADBE-FFED-4476-AA96-83D0F36F1BD0}"/>
    <cellStyle name="SAPBEXHLevel0 5 3" xfId="15220" xr:uid="{1B2ED0BB-A264-4C1E-879C-18AC624476E1}"/>
    <cellStyle name="SAPBEXHLevel0 5 3 10" xfId="15221" xr:uid="{74170672-B9A1-49D2-A8C4-CA095C421423}"/>
    <cellStyle name="SAPBEXHLevel0 5 3 10 2" xfId="15222" xr:uid="{F890287B-1D05-4375-ACAD-7428412E4933}"/>
    <cellStyle name="SAPBEXHLevel0 5 3 11" xfId="15223" xr:uid="{FDFC89C1-4077-4C24-A48E-50CE77970191}"/>
    <cellStyle name="SAPBEXHLevel0 5 3 11 2" xfId="15224" xr:uid="{96F7BAC8-F59B-4F6A-8829-8DA9E834C496}"/>
    <cellStyle name="SAPBEXHLevel0 5 3 12" xfId="15225" xr:uid="{3D09BB70-9A3D-4421-8C40-95B5F61A6C85}"/>
    <cellStyle name="SAPBEXHLevel0 5 3 12 2" xfId="15226" xr:uid="{3AB4EE7F-89A8-4F55-A708-0C428C0353D9}"/>
    <cellStyle name="SAPBEXHLevel0 5 3 13" xfId="15227" xr:uid="{96C04ECE-60B4-460D-89D9-F1E68CFE6898}"/>
    <cellStyle name="SAPBEXHLevel0 5 3 13 2" xfId="15228" xr:uid="{57DAA1B0-928B-4DEB-8EA8-0936F0727DEB}"/>
    <cellStyle name="SAPBEXHLevel0 5 3 14" xfId="15229" xr:uid="{CC481916-CDAF-4AFB-96D2-9CB9433FFDC2}"/>
    <cellStyle name="SAPBEXHLevel0 5 3 14 2" xfId="15230" xr:uid="{0F35C25A-4205-4FD6-B417-1E779859654D}"/>
    <cellStyle name="SAPBEXHLevel0 5 3 15" xfId="15231" xr:uid="{67445911-2E95-4C62-B148-F04E552EB2D5}"/>
    <cellStyle name="SAPBEXHLevel0 5 3 15 2" xfId="15232" xr:uid="{431F96A1-9568-40EC-BECD-F7D7DDA913C4}"/>
    <cellStyle name="SAPBEXHLevel0 5 3 16" xfId="15233" xr:uid="{DA6811D8-80C2-42B0-A118-5A68D978FDD6}"/>
    <cellStyle name="SAPBEXHLevel0 5 3 2" xfId="15234" xr:uid="{C1A7A85A-A699-4B75-923B-8527AABC39D6}"/>
    <cellStyle name="SAPBEXHLevel0 5 3 2 2" xfId="15235" xr:uid="{02A171C3-30A8-4D62-8422-BDAF44AD87BD}"/>
    <cellStyle name="SAPBEXHLevel0 5 3 3" xfId="15236" xr:uid="{9A6357B1-917F-4C28-9B2E-C8A7469738F9}"/>
    <cellStyle name="SAPBEXHLevel0 5 3 3 2" xfId="15237" xr:uid="{B479D874-4624-46F8-8ECB-BE7B409F9ADA}"/>
    <cellStyle name="SAPBEXHLevel0 5 3 4" xfId="15238" xr:uid="{CE3820F4-BD26-44E0-9584-16373E6769CA}"/>
    <cellStyle name="SAPBEXHLevel0 5 3 4 2" xfId="15239" xr:uid="{30C0CC59-1A4A-4B6C-8AF1-03394686039E}"/>
    <cellStyle name="SAPBEXHLevel0 5 3 5" xfId="15240" xr:uid="{CED39A27-6532-4F5E-B73B-579EAE5B5B0C}"/>
    <cellStyle name="SAPBEXHLevel0 5 3 5 2" xfId="15241" xr:uid="{A6228DD9-21EA-4606-8C86-1331E35C0232}"/>
    <cellStyle name="SAPBEXHLevel0 5 3 6" xfId="15242" xr:uid="{A92A9194-E132-4120-B3EF-96EE160B0D7C}"/>
    <cellStyle name="SAPBEXHLevel0 5 3 6 2" xfId="15243" xr:uid="{8E82D9CF-2BCE-465A-AE9C-46F37440B663}"/>
    <cellStyle name="SAPBEXHLevel0 5 3 7" xfId="15244" xr:uid="{0F294DC7-7793-4379-BCDB-BA7F1326B295}"/>
    <cellStyle name="SAPBEXHLevel0 5 3 7 2" xfId="15245" xr:uid="{E30DC5DE-E91F-4871-BBC8-E468CA85BAFA}"/>
    <cellStyle name="SAPBEXHLevel0 5 3 8" xfId="15246" xr:uid="{B7E926B7-1430-4CCD-AA53-5E4D8D2B342B}"/>
    <cellStyle name="SAPBEXHLevel0 5 3 8 2" xfId="15247" xr:uid="{D8D7CE32-2FF3-4CFA-B8EA-654865F4205E}"/>
    <cellStyle name="SAPBEXHLevel0 5 3 9" xfId="15248" xr:uid="{A2C8A38D-5451-4E30-A8F9-10CC6A8BFDC6}"/>
    <cellStyle name="SAPBEXHLevel0 5 3 9 2" xfId="15249" xr:uid="{9A9BB0F5-D2A5-4057-AC83-5C4FAD056FA0}"/>
    <cellStyle name="SAPBEXHLevel0 5 4" xfId="15250" xr:uid="{BBAE979B-DF01-4E2D-8204-47CAEF1A0040}"/>
    <cellStyle name="SAPBEXHLevel0 5 4 2" xfId="15251" xr:uid="{54E61076-27DA-4166-90F4-975BE6798F3D}"/>
    <cellStyle name="SAPBEXHLevel0 5 5" xfId="15252" xr:uid="{9A00D809-14DE-4E90-B5E3-CC24A7776D2B}"/>
    <cellStyle name="SAPBEXHLevel0 5 5 2" xfId="15253" xr:uid="{61EA2A1F-6021-45B1-A8EB-6F94383E39D9}"/>
    <cellStyle name="SAPBEXHLevel0 5 6" xfId="15254" xr:uid="{199C77BF-AFA6-4EBD-A4B3-397CE4577CAA}"/>
    <cellStyle name="SAPBEXHLevel0 5 6 2" xfId="15255" xr:uid="{BD48B0C6-580B-47E5-BA07-15ED001AEFC7}"/>
    <cellStyle name="SAPBEXHLevel0 5 7" xfId="15256" xr:uid="{B8AD98C5-2CD2-4FF2-82BC-DDD4EAAE0062}"/>
    <cellStyle name="SAPBEXHLevel0 5 7 2" xfId="15257" xr:uid="{33849198-952E-48C8-86B3-16DD04D85F9C}"/>
    <cellStyle name="SAPBEXHLevel0 5 8" xfId="15258" xr:uid="{5CFF3D01-F169-4EF3-B3B4-77CE90A8F706}"/>
    <cellStyle name="SAPBEXHLevel0 5 8 2" xfId="15259" xr:uid="{A32F36C4-62E7-494B-BB28-85466F41CEF0}"/>
    <cellStyle name="SAPBEXHLevel0 5 9" xfId="15260" xr:uid="{26BC3D03-960E-4C67-9B0F-E04C428B2EE0}"/>
    <cellStyle name="SAPBEXHLevel0 5 9 2" xfId="15261" xr:uid="{BC1BDB09-4B3A-42DE-80A6-917CC158C704}"/>
    <cellStyle name="SAPBEXHLevel0 6" xfId="15262" xr:uid="{4F587221-DE9E-4AEA-B2D1-F0FC629B6025}"/>
    <cellStyle name="SAPBEXHLevel0 6 10" xfId="15263" xr:uid="{05A42AEC-D116-4B92-93A5-48AA11331023}"/>
    <cellStyle name="SAPBEXHLevel0 6 10 2" xfId="15264" xr:uid="{9BDC6963-6605-429D-95AB-496A918B728B}"/>
    <cellStyle name="SAPBEXHLevel0 6 11" xfId="15265" xr:uid="{81C0BCF3-0526-4ABB-A5EA-2ECC7E4F8E05}"/>
    <cellStyle name="SAPBEXHLevel0 6 11 2" xfId="15266" xr:uid="{F4DC3023-87A0-48E4-B012-0A6EDCF1F4F8}"/>
    <cellStyle name="SAPBEXHLevel0 6 12" xfId="15267" xr:uid="{C0738343-4246-4170-A2F2-96021B1FC7A2}"/>
    <cellStyle name="SAPBEXHLevel0 6 12 2" xfId="15268" xr:uid="{B31C23A5-033F-468A-B9F8-BEADFEE99C0E}"/>
    <cellStyle name="SAPBEXHLevel0 6 13" xfId="15269" xr:uid="{56B9F22F-139C-4F46-999D-E12862042169}"/>
    <cellStyle name="SAPBEXHLevel0 6 13 2" xfId="15270" xr:uid="{426F9D7B-92F4-430E-91A0-E7742001535E}"/>
    <cellStyle name="SAPBEXHLevel0 6 14" xfId="15271" xr:uid="{AD444D0E-26F6-4DE7-B424-1D27506CDAD2}"/>
    <cellStyle name="SAPBEXHLevel0 6 14 2" xfId="15272" xr:uid="{4EB6EE3E-5376-46C5-B0E4-A7B69FC5A8D2}"/>
    <cellStyle name="SAPBEXHLevel0 6 15" xfId="15273" xr:uid="{6E5104F9-EB6E-46ED-93EC-4A9FDBE269FE}"/>
    <cellStyle name="SAPBEXHLevel0 6 15 2" xfId="15274" xr:uid="{A45405B7-4EC1-4B90-88C9-38537EC7DF90}"/>
    <cellStyle name="SAPBEXHLevel0 6 16" xfId="15275" xr:uid="{FE2C3069-D73D-4155-B7BD-68F547C4E9BB}"/>
    <cellStyle name="SAPBEXHLevel0 6 2" xfId="15276" xr:uid="{4D246631-E16E-4F63-9887-DB55585639B5}"/>
    <cellStyle name="SAPBEXHLevel0 6 2 2" xfId="15277" xr:uid="{A0E4C532-9DF6-4850-95E6-A2E643B6FE11}"/>
    <cellStyle name="SAPBEXHLevel0 6 3" xfId="15278" xr:uid="{671E2D7D-42A5-4DFA-8156-FE7305B97948}"/>
    <cellStyle name="SAPBEXHLevel0 6 3 2" xfId="15279" xr:uid="{089C744E-0E00-4050-80E6-9D5E45F0B8E4}"/>
    <cellStyle name="SAPBEXHLevel0 6 4" xfId="15280" xr:uid="{F52FED80-FF03-4852-8EEF-286838691E6A}"/>
    <cellStyle name="SAPBEXHLevel0 6 4 2" xfId="15281" xr:uid="{67878844-317A-4890-8574-2FD07B1A4F07}"/>
    <cellStyle name="SAPBEXHLevel0 6 5" xfId="15282" xr:uid="{7A58D3D0-44A9-4C3A-9694-8CF4E8702B62}"/>
    <cellStyle name="SAPBEXHLevel0 6 5 2" xfId="15283" xr:uid="{4742AF6B-5152-4245-85D3-4E5235F9C45F}"/>
    <cellStyle name="SAPBEXHLevel0 6 6" xfId="15284" xr:uid="{0AA3A50B-D943-4188-ADCE-897C68BE4D30}"/>
    <cellStyle name="SAPBEXHLevel0 6 6 2" xfId="15285" xr:uid="{5AEB562E-1423-4666-A80F-D5104C2FB794}"/>
    <cellStyle name="SAPBEXHLevel0 6 7" xfId="15286" xr:uid="{67A2D099-8F07-44F5-B2C0-80036509879A}"/>
    <cellStyle name="SAPBEXHLevel0 6 7 2" xfId="15287" xr:uid="{1DB74E1D-D5CC-4063-AD76-88FAF6DDD95A}"/>
    <cellStyle name="SAPBEXHLevel0 6 8" xfId="15288" xr:uid="{39155C05-B1B0-4C01-B843-F6AF9EF04CAD}"/>
    <cellStyle name="SAPBEXHLevel0 6 8 2" xfId="15289" xr:uid="{8DBDE473-AC3B-457F-9294-AF335438B236}"/>
    <cellStyle name="SAPBEXHLevel0 6 9" xfId="15290" xr:uid="{F8E0DB08-E3D7-48F1-A589-E528873BBB12}"/>
    <cellStyle name="SAPBEXHLevel0 6 9 2" xfId="15291" xr:uid="{80346E69-0A74-4ABE-9DD6-60EA79389D9C}"/>
    <cellStyle name="SAPBEXHLevel0 7" xfId="15292" xr:uid="{E3DC894E-BD38-42E3-B7C1-109AF6430C28}"/>
    <cellStyle name="SAPBEXHLevel0 7 2" xfId="15293" xr:uid="{9203CC40-E70A-4A14-A2B8-7B9C90F0AF0D}"/>
    <cellStyle name="SAPBEXHLevel0 8" xfId="15294" xr:uid="{2F7791DD-6549-4819-B829-F9087CA261B8}"/>
    <cellStyle name="SAPBEXHLevel0 8 2" xfId="15295" xr:uid="{78BA9634-AB2C-4499-87BE-703CBBBAD1EA}"/>
    <cellStyle name="SAPBEXHLevel0 9" xfId="15296" xr:uid="{89A535A1-341E-457B-8094-908A9B29C5B7}"/>
    <cellStyle name="SAPBEXHLevel0 9 2" xfId="15297" xr:uid="{4720BBC6-F1F8-44C4-B1A3-87A5BB37088C}"/>
    <cellStyle name="SAPBEXHLevel0_T1 ANSP" xfId="14678" xr:uid="{335575DA-96E7-46BC-A06C-AEF29037D768}"/>
    <cellStyle name="SAPBEXHLevel0X" xfId="747" xr:uid="{00000000-0005-0000-0000-00008E050000}"/>
    <cellStyle name="SAPBEXHLevel0X 10" xfId="15299" xr:uid="{8B1D0F13-652D-4600-8C66-7BE1A276A375}"/>
    <cellStyle name="SAPBEXHLevel0X 10 2" xfId="15300" xr:uid="{63B34810-465D-45AC-BA7F-A8BC158361F3}"/>
    <cellStyle name="SAPBEXHLevel0X 11" xfId="15301" xr:uid="{C55E9747-DF35-4C63-B8F3-15AD0B15E3D8}"/>
    <cellStyle name="SAPBEXHLevel0X 11 2" xfId="15302" xr:uid="{4DD67F35-085E-4DE0-BD48-7CF832090337}"/>
    <cellStyle name="SAPBEXHLevel0X 12" xfId="15303" xr:uid="{E64A81EF-216B-47A3-9E49-D0CF53CA027B}"/>
    <cellStyle name="SAPBEXHLevel0X 12 2" xfId="15304" xr:uid="{9C6B602A-FF7B-4E30-A857-1F918C0E91CB}"/>
    <cellStyle name="SAPBEXHLevel0X 13" xfId="15305" xr:uid="{4F11F821-A9A3-4D30-A12C-D225740452FD}"/>
    <cellStyle name="SAPBEXHLevel0X 13 2" xfId="15306" xr:uid="{6635CAA6-0C12-4AA2-BDFF-B1EA520E3FA9}"/>
    <cellStyle name="SAPBEXHLevel0X 14" xfId="15307" xr:uid="{7119CF2B-18FA-4A6D-BA0F-EB4195612A2E}"/>
    <cellStyle name="SAPBEXHLevel0X 14 2" xfId="15308" xr:uid="{B92E3403-B7D1-4547-AB5F-D1534C137005}"/>
    <cellStyle name="SAPBEXHLevel0X 15" xfId="15309" xr:uid="{4C997569-4AA8-494E-912D-1D5E9EA87D71}"/>
    <cellStyle name="SAPBEXHLevel0X 15 2" xfId="15310" xr:uid="{5A8EB7A4-FBDE-40A5-84A2-5A221B268099}"/>
    <cellStyle name="SAPBEXHLevel0X 16" xfId="15311" xr:uid="{79009215-9189-456F-8123-61A844992AB7}"/>
    <cellStyle name="SAPBEXHLevel0X 16 2" xfId="15312" xr:uid="{CF7B8B9A-C290-4815-9613-264D94E078FC}"/>
    <cellStyle name="SAPBEXHLevel0X 17" xfId="15313" xr:uid="{0A57E399-9FBF-4208-8E25-943733928994}"/>
    <cellStyle name="SAPBEXHLevel0X 17 2" xfId="15314" xr:uid="{525CE63B-F6B5-416C-B453-D5D94B24B295}"/>
    <cellStyle name="SAPBEXHLevel0X 18" xfId="15315" xr:uid="{BB689728-7629-472E-9218-290BA20C47AA}"/>
    <cellStyle name="SAPBEXHLevel0X 18 2" xfId="15316" xr:uid="{E63D73AB-675C-45E9-969A-B7BAE888AB19}"/>
    <cellStyle name="SAPBEXHLevel0X 19" xfId="15317" xr:uid="{39343D94-8500-4A5D-9906-585950390C14}"/>
    <cellStyle name="SAPBEXHLevel0X 19 2" xfId="15318" xr:uid="{CCCD489F-F1BD-4E05-89E2-CDCA893F6B1A}"/>
    <cellStyle name="SAPBEXHLevel0X 2" xfId="1561" xr:uid="{00000000-0005-0000-0000-00008F050000}"/>
    <cellStyle name="SAPBEXHLevel0X 2 10" xfId="15320" xr:uid="{188DBB48-1B53-49AE-AE8C-54F519BF9C59}"/>
    <cellStyle name="SAPBEXHLevel0X 2 10 2" xfId="15321" xr:uid="{04E5A0B6-DCBD-43A7-A183-13FAC56A9BDB}"/>
    <cellStyle name="SAPBEXHLevel0X 2 11" xfId="15322" xr:uid="{34A2DC3B-320C-4EDD-BD3B-DD0E1D5CAEF8}"/>
    <cellStyle name="SAPBEXHLevel0X 2 11 2" xfId="15323" xr:uid="{C2850BDB-FCA6-46A4-BADB-A57C26A56023}"/>
    <cellStyle name="SAPBEXHLevel0X 2 12" xfId="15324" xr:uid="{2321C42D-4DD5-451F-8078-33DF0705BF3E}"/>
    <cellStyle name="SAPBEXHLevel0X 2 12 2" xfId="15325" xr:uid="{9945B072-5FF1-4EEB-A8CF-4C356A3AA050}"/>
    <cellStyle name="SAPBEXHLevel0X 2 13" xfId="15326" xr:uid="{80587403-60D0-40FE-8BDD-0C8B8145F501}"/>
    <cellStyle name="SAPBEXHLevel0X 2 13 2" xfId="15327" xr:uid="{6A089331-B281-4075-8F77-D04270216691}"/>
    <cellStyle name="SAPBEXHLevel0X 2 14" xfId="15328" xr:uid="{1455C1A8-8821-4A4D-A944-FE99518F06D5}"/>
    <cellStyle name="SAPBEXHLevel0X 2 14 2" xfId="15329" xr:uid="{57E5B784-6143-42A1-978C-23A138C40797}"/>
    <cellStyle name="SAPBEXHLevel0X 2 15" xfId="15330" xr:uid="{7BB533BA-971E-49E7-A6F4-24A2EE3298A3}"/>
    <cellStyle name="SAPBEXHLevel0X 2 15 2" xfId="15331" xr:uid="{9B83568B-5F59-4FB6-A53E-550B9FC14D00}"/>
    <cellStyle name="SAPBEXHLevel0X 2 16" xfId="15332" xr:uid="{2D8BB739-BF0E-47E1-A500-198914156019}"/>
    <cellStyle name="SAPBEXHLevel0X 2 16 2" xfId="15333" xr:uid="{2A4B6437-585F-4180-AEF3-86F743EDD894}"/>
    <cellStyle name="SAPBEXHLevel0X 2 17" xfId="15334" xr:uid="{3A0D46CD-13B3-49BA-8B0D-F7B27D526E32}"/>
    <cellStyle name="SAPBEXHLevel0X 2 17 2" xfId="15335" xr:uid="{5A7524A0-58A5-4D63-800E-FB8403B9C77A}"/>
    <cellStyle name="SAPBEXHLevel0X 2 18" xfId="15336" xr:uid="{37AF5A49-F228-4C8A-9ECB-D7A7FB176094}"/>
    <cellStyle name="SAPBEXHLevel0X 2 2" xfId="15337" xr:uid="{48C4B452-4C40-4328-85C7-875DEA52DA61}"/>
    <cellStyle name="SAPBEXHLevel0X 2 2 10" xfId="15338" xr:uid="{1A18B4FC-3DB9-45C0-81EC-34EC0E862F44}"/>
    <cellStyle name="SAPBEXHLevel0X 2 2 10 2" xfId="15339" xr:uid="{0294DB5A-4C56-44E0-99EC-95C71AE5994A}"/>
    <cellStyle name="SAPBEXHLevel0X 2 2 11" xfId="15340" xr:uid="{DABBD89F-9673-407A-B184-37C3520792FF}"/>
    <cellStyle name="SAPBEXHLevel0X 2 2 11 2" xfId="15341" xr:uid="{4D2946ED-C87A-49E7-9B08-1D84131B0ADB}"/>
    <cellStyle name="SAPBEXHLevel0X 2 2 12" xfId="15342" xr:uid="{4B9547E0-050C-4CE3-B071-27EB7A656AB5}"/>
    <cellStyle name="SAPBEXHLevel0X 2 2 12 2" xfId="15343" xr:uid="{F2339463-4222-476D-AD17-8FBA6C487431}"/>
    <cellStyle name="SAPBEXHLevel0X 2 2 13" xfId="15344" xr:uid="{2258AD8C-8EB3-4E5C-B51B-96DEEF73DA38}"/>
    <cellStyle name="SAPBEXHLevel0X 2 2 13 2" xfId="15345" xr:uid="{D78A51CA-E3E5-41AF-8796-A4C93F65EF31}"/>
    <cellStyle name="SAPBEXHLevel0X 2 2 14" xfId="15346" xr:uid="{9620D31E-4E2A-4B33-8F03-F880D425F7E8}"/>
    <cellStyle name="SAPBEXHLevel0X 2 2 14 2" xfId="15347" xr:uid="{E729052E-CE74-45F2-A39F-96ED0CC6DB56}"/>
    <cellStyle name="SAPBEXHLevel0X 2 2 15" xfId="15348" xr:uid="{94084218-E185-46A2-B713-309A91FC02E7}"/>
    <cellStyle name="SAPBEXHLevel0X 2 2 15 2" xfId="15349" xr:uid="{E30690E2-3CEC-4B78-BE81-DD99C1D68AD3}"/>
    <cellStyle name="SAPBEXHLevel0X 2 2 16" xfId="15350" xr:uid="{B0B512CF-1084-4F65-825D-BF663795E58D}"/>
    <cellStyle name="SAPBEXHLevel0X 2 2 16 2" xfId="15351" xr:uid="{32BD8914-53EF-4D86-BC82-B2D224F49C13}"/>
    <cellStyle name="SAPBEXHLevel0X 2 2 17" xfId="15352" xr:uid="{F0724BFF-8884-4DC6-8F50-44B67CB96750}"/>
    <cellStyle name="SAPBEXHLevel0X 2 2 17 2" xfId="15353" xr:uid="{CC99A7AA-4A91-4BEE-9C0D-484490CCAD95}"/>
    <cellStyle name="SAPBEXHLevel0X 2 2 18" xfId="15354" xr:uid="{63A83A80-8CD3-4AD3-992F-DDDE8F4C2D80}"/>
    <cellStyle name="SAPBEXHLevel0X 2 2 2" xfId="15355" xr:uid="{BDC2FC28-9DEB-4EAA-AC96-34904CFDE6C1}"/>
    <cellStyle name="SAPBEXHLevel0X 2 2 2 10" xfId="15356" xr:uid="{322BF975-0746-44ED-8010-6DB8D648D7B0}"/>
    <cellStyle name="SAPBEXHLevel0X 2 2 2 10 2" xfId="15357" xr:uid="{500D6C2A-1839-401D-A98A-E0D4BD99A161}"/>
    <cellStyle name="SAPBEXHLevel0X 2 2 2 11" xfId="15358" xr:uid="{EE6E8C84-94BE-4FAC-9A01-A34409AA8A6B}"/>
    <cellStyle name="SAPBEXHLevel0X 2 2 2 11 2" xfId="15359" xr:uid="{BCE19245-70CC-49C6-9D09-D882D03C8E80}"/>
    <cellStyle name="SAPBEXHLevel0X 2 2 2 12" xfId="15360" xr:uid="{EA7D6259-FB66-4AB3-868E-161E5CEF2B8E}"/>
    <cellStyle name="SAPBEXHLevel0X 2 2 2 12 2" xfId="15361" xr:uid="{2F4A4CFC-C54F-476C-AEED-533C877FC959}"/>
    <cellStyle name="SAPBEXHLevel0X 2 2 2 13" xfId="15362" xr:uid="{AE372A06-9442-463F-A29E-34E70CA44880}"/>
    <cellStyle name="SAPBEXHLevel0X 2 2 2 13 2" xfId="15363" xr:uid="{CB0856EF-1314-4777-BA4C-6470A2AB7CF5}"/>
    <cellStyle name="SAPBEXHLevel0X 2 2 2 14" xfId="15364" xr:uid="{EBCE3635-037B-48C7-AA40-99F65B5F8026}"/>
    <cellStyle name="SAPBEXHLevel0X 2 2 2 14 2" xfId="15365" xr:uid="{39A4A120-454C-4803-BA42-29B6ACFC869A}"/>
    <cellStyle name="SAPBEXHLevel0X 2 2 2 15" xfId="15366" xr:uid="{274F1EE4-D1F7-493B-A3CC-3E84E0D514BF}"/>
    <cellStyle name="SAPBEXHLevel0X 2 2 2 15 2" xfId="15367" xr:uid="{822FD92E-34AA-42CF-91A0-B8D5653B4D59}"/>
    <cellStyle name="SAPBEXHLevel0X 2 2 2 16" xfId="15368" xr:uid="{6230BDA2-AC88-4EA4-9E5F-80864C49FF69}"/>
    <cellStyle name="SAPBEXHLevel0X 2 2 2 2" xfId="15369" xr:uid="{AA1EAEAB-6229-461E-881C-35B2EC457A6B}"/>
    <cellStyle name="SAPBEXHLevel0X 2 2 2 2 2" xfId="15370" xr:uid="{5FACB548-76C1-4093-9FC5-98A08951BE49}"/>
    <cellStyle name="SAPBEXHLevel0X 2 2 2 3" xfId="15371" xr:uid="{D4BF87EF-1DC4-4E97-96B3-4DA620FE8FD5}"/>
    <cellStyle name="SAPBEXHLevel0X 2 2 2 3 2" xfId="15372" xr:uid="{3901C120-79B5-443C-8D53-855CA4F998C1}"/>
    <cellStyle name="SAPBEXHLevel0X 2 2 2 4" xfId="15373" xr:uid="{830C7B8B-FFA2-47E0-86CF-681C64C412FF}"/>
    <cellStyle name="SAPBEXHLevel0X 2 2 2 4 2" xfId="15374" xr:uid="{43EEAA14-00A4-4444-BBD6-45FF742C5B4A}"/>
    <cellStyle name="SAPBEXHLevel0X 2 2 2 5" xfId="15375" xr:uid="{237BAD55-06B0-43FB-BD19-3FFB759D6207}"/>
    <cellStyle name="SAPBEXHLevel0X 2 2 2 5 2" xfId="15376" xr:uid="{A149BF0A-801E-444C-9633-C10FD175AAEF}"/>
    <cellStyle name="SAPBEXHLevel0X 2 2 2 6" xfId="15377" xr:uid="{43AB2241-48B0-442A-8342-3B37B9B463CB}"/>
    <cellStyle name="SAPBEXHLevel0X 2 2 2 6 2" xfId="15378" xr:uid="{B54BB0CB-015E-4E8D-A280-BDC05578B4FF}"/>
    <cellStyle name="SAPBEXHLevel0X 2 2 2 7" xfId="15379" xr:uid="{D70909E7-AFB8-4546-991F-2A8BAACCD171}"/>
    <cellStyle name="SAPBEXHLevel0X 2 2 2 7 2" xfId="15380" xr:uid="{DEA12A28-A873-4A25-8E76-0413C7B41421}"/>
    <cellStyle name="SAPBEXHLevel0X 2 2 2 8" xfId="15381" xr:uid="{66F40CF6-B63D-45FD-8572-A882BACE84D2}"/>
    <cellStyle name="SAPBEXHLevel0X 2 2 2 8 2" xfId="15382" xr:uid="{F98B3855-FD47-4D06-86CE-F2EB3C364CA2}"/>
    <cellStyle name="SAPBEXHLevel0X 2 2 2 9" xfId="15383" xr:uid="{57A4C8DA-6E60-49A4-A4B5-DB01DDA5A765}"/>
    <cellStyle name="SAPBEXHLevel0X 2 2 2 9 2" xfId="15384" xr:uid="{1946DB57-6194-49B8-A2CC-F911742753C7}"/>
    <cellStyle name="SAPBEXHLevel0X 2 2 3" xfId="15385" xr:uid="{89564FEE-D7D0-4363-BA38-7292A5D9FC4F}"/>
    <cellStyle name="SAPBEXHLevel0X 2 2 3 10" xfId="15386" xr:uid="{BE8475CE-3DBC-41F9-9DF0-95D4C0829CA5}"/>
    <cellStyle name="SAPBEXHLevel0X 2 2 3 10 2" xfId="15387" xr:uid="{9FF365F8-8055-4887-9558-6692AB804851}"/>
    <cellStyle name="SAPBEXHLevel0X 2 2 3 11" xfId="15388" xr:uid="{9939F459-1E1B-4D4E-B280-8D05182383E9}"/>
    <cellStyle name="SAPBEXHLevel0X 2 2 3 11 2" xfId="15389" xr:uid="{0BF84009-5D46-4822-9E5E-6868719B28A0}"/>
    <cellStyle name="SAPBEXHLevel0X 2 2 3 12" xfId="15390" xr:uid="{D8767FDC-BA99-43D7-BFFF-D6576860CA36}"/>
    <cellStyle name="SAPBEXHLevel0X 2 2 3 12 2" xfId="15391" xr:uid="{021DC994-61CB-42DF-B9CF-6317A6831A3B}"/>
    <cellStyle name="SAPBEXHLevel0X 2 2 3 13" xfId="15392" xr:uid="{536B1481-986C-4A6E-823A-60C2B4AADE2D}"/>
    <cellStyle name="SAPBEXHLevel0X 2 2 3 13 2" xfId="15393" xr:uid="{AA4CC5B4-23F7-4544-BCD3-E8A60DD56145}"/>
    <cellStyle name="SAPBEXHLevel0X 2 2 3 14" xfId="15394" xr:uid="{9A7D4E12-7F66-4B8F-8C14-2575E9AD8EF4}"/>
    <cellStyle name="SAPBEXHLevel0X 2 2 3 14 2" xfId="15395" xr:uid="{C918C509-2744-4A62-9AB9-6DD4E854EFE5}"/>
    <cellStyle name="SAPBEXHLevel0X 2 2 3 15" xfId="15396" xr:uid="{5240005A-18E0-45D5-BE2A-844C1ED1109E}"/>
    <cellStyle name="SAPBEXHLevel0X 2 2 3 15 2" xfId="15397" xr:uid="{DBD4FF88-974B-4EB0-A919-5136A0FAEC56}"/>
    <cellStyle name="SAPBEXHLevel0X 2 2 3 16" xfId="15398" xr:uid="{75BFFAD5-9A39-4BA3-8DCD-45925A8A2048}"/>
    <cellStyle name="SAPBEXHLevel0X 2 2 3 2" xfId="15399" xr:uid="{EFDEDA0C-32E5-4619-9B4A-912761753D06}"/>
    <cellStyle name="SAPBEXHLevel0X 2 2 3 2 2" xfId="15400" xr:uid="{2BD07098-1BC9-4178-B2BC-4147FBDA64C4}"/>
    <cellStyle name="SAPBEXHLevel0X 2 2 3 3" xfId="15401" xr:uid="{A4EB5967-E204-4611-A807-5D194BC8A8CB}"/>
    <cellStyle name="SAPBEXHLevel0X 2 2 3 3 2" xfId="15402" xr:uid="{7322EC65-E478-4512-9AB7-8C5AE24557CB}"/>
    <cellStyle name="SAPBEXHLevel0X 2 2 3 4" xfId="15403" xr:uid="{79DB3448-6468-4B2C-9755-1145462A459F}"/>
    <cellStyle name="SAPBEXHLevel0X 2 2 3 4 2" xfId="15404" xr:uid="{6E7EC0A2-7F22-44AA-83CC-F520039C85E1}"/>
    <cellStyle name="SAPBEXHLevel0X 2 2 3 5" xfId="15405" xr:uid="{DB1B0209-993E-4666-A51C-8136F37ED972}"/>
    <cellStyle name="SAPBEXHLevel0X 2 2 3 5 2" xfId="15406" xr:uid="{E3527E75-0A77-4A73-9D0E-4876EEF74084}"/>
    <cellStyle name="SAPBEXHLevel0X 2 2 3 6" xfId="15407" xr:uid="{001CA884-8E42-453C-86D2-8AB2011831B0}"/>
    <cellStyle name="SAPBEXHLevel0X 2 2 3 6 2" xfId="15408" xr:uid="{4CC467BB-B0B9-4D62-9D30-170953988439}"/>
    <cellStyle name="SAPBEXHLevel0X 2 2 3 7" xfId="15409" xr:uid="{BB29CD8F-9FCD-4A71-821E-65AEE0BDB9D3}"/>
    <cellStyle name="SAPBEXHLevel0X 2 2 3 7 2" xfId="15410" xr:uid="{C2D7CB8D-85C9-4AFA-AC12-D2E990EC75AB}"/>
    <cellStyle name="SAPBEXHLevel0X 2 2 3 8" xfId="15411" xr:uid="{281DA6F5-1A77-4C71-B173-47885D5EADE4}"/>
    <cellStyle name="SAPBEXHLevel0X 2 2 3 8 2" xfId="15412" xr:uid="{BEC65644-FC0A-4CD1-81FE-ADA42ED68187}"/>
    <cellStyle name="SAPBEXHLevel0X 2 2 3 9" xfId="15413" xr:uid="{6718AD87-CF3D-43E0-9F94-C02134772CD6}"/>
    <cellStyle name="SAPBEXHLevel0X 2 2 3 9 2" xfId="15414" xr:uid="{6FECA86E-0E0C-4518-BDD5-C7C9B5295B64}"/>
    <cellStyle name="SAPBEXHLevel0X 2 2 4" xfId="15415" xr:uid="{261A31B1-AC4D-43D0-A61A-B4A689A7C897}"/>
    <cellStyle name="SAPBEXHLevel0X 2 2 4 2" xfId="15416" xr:uid="{E196EF6B-8A8E-40A1-88AD-730B85A09663}"/>
    <cellStyle name="SAPBEXHLevel0X 2 2 5" xfId="15417" xr:uid="{BBFFB9DB-CEF7-4BD9-B587-AA2A2B6BF333}"/>
    <cellStyle name="SAPBEXHLevel0X 2 2 5 2" xfId="15418" xr:uid="{DE15974F-00C7-407A-8936-FF77BA8B13A7}"/>
    <cellStyle name="SAPBEXHLevel0X 2 2 6" xfId="15419" xr:uid="{28BD8E79-6915-4857-83FA-4770E52D464B}"/>
    <cellStyle name="SAPBEXHLevel0X 2 2 6 2" xfId="15420" xr:uid="{E774DFFA-5B05-44E0-A3E0-95D26F79AA6C}"/>
    <cellStyle name="SAPBEXHLevel0X 2 2 7" xfId="15421" xr:uid="{9E0C6BA4-6F5F-45BF-91AB-EDB4271EDDB2}"/>
    <cellStyle name="SAPBEXHLevel0X 2 2 7 2" xfId="15422" xr:uid="{585EE011-4A7B-4527-B97E-C3745DC64A5F}"/>
    <cellStyle name="SAPBEXHLevel0X 2 2 8" xfId="15423" xr:uid="{D5AB2FE7-F5C0-4501-8E0E-F83753C1B5AD}"/>
    <cellStyle name="SAPBEXHLevel0X 2 2 8 2" xfId="15424" xr:uid="{BB1F452B-2101-47A5-8E7B-8DE61CEB9FAD}"/>
    <cellStyle name="SAPBEXHLevel0X 2 2 9" xfId="15425" xr:uid="{049B25B9-6EC6-4CD2-B1C6-C4E61750BBFC}"/>
    <cellStyle name="SAPBEXHLevel0X 2 2 9 2" xfId="15426" xr:uid="{9A68E671-9DDF-46FD-814F-C4328C2B849C}"/>
    <cellStyle name="SAPBEXHLevel0X 2 3" xfId="15427" xr:uid="{FD3F45E1-C23C-4A56-9DE5-594F63D4679C}"/>
    <cellStyle name="SAPBEXHLevel0X 2 3 10" xfId="15428" xr:uid="{EC2742F5-0DC4-4117-99F6-C6AD85107945}"/>
    <cellStyle name="SAPBEXHLevel0X 2 3 10 2" xfId="15429" xr:uid="{AE05FE1E-BD1D-40E1-BB5D-628B9C4DF203}"/>
    <cellStyle name="SAPBEXHLevel0X 2 3 11" xfId="15430" xr:uid="{0BA74F07-D3F6-4D06-9710-449C732A7E32}"/>
    <cellStyle name="SAPBEXHLevel0X 2 3 11 2" xfId="15431" xr:uid="{49EDEB81-2BB1-4D74-B517-59EA4F4D0836}"/>
    <cellStyle name="SAPBEXHLevel0X 2 3 12" xfId="15432" xr:uid="{945D641B-9E01-40DF-8539-BD48162BF6D2}"/>
    <cellStyle name="SAPBEXHLevel0X 2 3 12 2" xfId="15433" xr:uid="{34C0538C-36FA-4067-876F-3F7563F53260}"/>
    <cellStyle name="SAPBEXHLevel0X 2 3 13" xfId="15434" xr:uid="{036EA9CE-FFCD-4D28-81E2-31AF8AFD5F0F}"/>
    <cellStyle name="SAPBEXHLevel0X 2 3 13 2" xfId="15435" xr:uid="{FA369A00-1FE2-4B47-A7A8-2E6A5745550A}"/>
    <cellStyle name="SAPBEXHLevel0X 2 3 14" xfId="15436" xr:uid="{EAA43F3B-583F-42D4-9E83-EDB755CA953E}"/>
    <cellStyle name="SAPBEXHLevel0X 2 3 14 2" xfId="15437" xr:uid="{461374A2-F865-4FAF-A614-C0E7E1FD05EC}"/>
    <cellStyle name="SAPBEXHLevel0X 2 3 15" xfId="15438" xr:uid="{BA03A176-A13F-44A0-8E36-A1BF04FBF626}"/>
    <cellStyle name="SAPBEXHLevel0X 2 3 15 2" xfId="15439" xr:uid="{B0C55DB8-74F6-40C2-949A-32DB859F5788}"/>
    <cellStyle name="SAPBEXHLevel0X 2 3 16" xfId="15440" xr:uid="{56900B47-19E0-439D-A033-026B82B104A3}"/>
    <cellStyle name="SAPBEXHLevel0X 2 3 16 2" xfId="15441" xr:uid="{D552C63C-5B85-4C5B-9222-8813E1927085}"/>
    <cellStyle name="SAPBEXHLevel0X 2 3 17" xfId="15442" xr:uid="{A126ED06-D72C-4415-89DD-ADAA49B79792}"/>
    <cellStyle name="SAPBEXHLevel0X 2 3 17 2" xfId="15443" xr:uid="{76A64C6E-72EB-40F6-8DE9-2BF4C971DFE9}"/>
    <cellStyle name="SAPBEXHLevel0X 2 3 18" xfId="15444" xr:uid="{3427AE2B-3690-4262-8619-72EF3D305352}"/>
    <cellStyle name="SAPBEXHLevel0X 2 3 2" xfId="15445" xr:uid="{CCCABB56-1CCC-4EE5-BF7B-E1E49D21F5AF}"/>
    <cellStyle name="SAPBEXHLevel0X 2 3 2 10" xfId="15446" xr:uid="{C2EF8D5D-6ABA-490B-BEA5-C7808EB859CF}"/>
    <cellStyle name="SAPBEXHLevel0X 2 3 2 10 2" xfId="15447" xr:uid="{9C9505EA-4931-4AE0-8E91-B70AF94F8A5E}"/>
    <cellStyle name="SAPBEXHLevel0X 2 3 2 11" xfId="15448" xr:uid="{D373F9CE-020E-48B6-BE4B-6FB5EC10D564}"/>
    <cellStyle name="SAPBEXHLevel0X 2 3 2 11 2" xfId="15449" xr:uid="{5210CFB1-E51F-4DE0-959F-25EB238CE3D6}"/>
    <cellStyle name="SAPBEXHLevel0X 2 3 2 12" xfId="15450" xr:uid="{4399BD97-4355-4B31-90BB-9629A33F8C93}"/>
    <cellStyle name="SAPBEXHLevel0X 2 3 2 12 2" xfId="15451" xr:uid="{4F35BF55-0944-40D4-A5E2-860C6B406E5C}"/>
    <cellStyle name="SAPBEXHLevel0X 2 3 2 13" xfId="15452" xr:uid="{E2203C5C-0D86-419C-A6FD-426B3816E8E0}"/>
    <cellStyle name="SAPBEXHLevel0X 2 3 2 13 2" xfId="15453" xr:uid="{A75785C9-FF90-4043-8A7C-99ECE4564129}"/>
    <cellStyle name="SAPBEXHLevel0X 2 3 2 14" xfId="15454" xr:uid="{DD5B2B2A-6C41-4A82-B64D-49E3705226C0}"/>
    <cellStyle name="SAPBEXHLevel0X 2 3 2 14 2" xfId="15455" xr:uid="{4B134939-A235-4349-BA25-5B7EB3D65C6A}"/>
    <cellStyle name="SAPBEXHLevel0X 2 3 2 15" xfId="15456" xr:uid="{26CCF64C-C3FF-433E-96B7-C439084D11AC}"/>
    <cellStyle name="SAPBEXHLevel0X 2 3 2 15 2" xfId="15457" xr:uid="{747E352E-B388-4636-902F-5CD12F45FABF}"/>
    <cellStyle name="SAPBEXHLevel0X 2 3 2 16" xfId="15458" xr:uid="{07EBADFA-266B-4183-8FC5-600C6A663F4F}"/>
    <cellStyle name="SAPBEXHLevel0X 2 3 2 2" xfId="15459" xr:uid="{DEC14A10-1657-4F2D-A1B0-9A792DD0CEFC}"/>
    <cellStyle name="SAPBEXHLevel0X 2 3 2 2 2" xfId="15460" xr:uid="{AEBD08CC-4E5E-4F34-A963-AF8BC95D0D02}"/>
    <cellStyle name="SAPBEXHLevel0X 2 3 2 3" xfId="15461" xr:uid="{D229E014-D47B-4A76-B287-51AD7CBE00E5}"/>
    <cellStyle name="SAPBEXHLevel0X 2 3 2 3 2" xfId="15462" xr:uid="{D813A332-A2FE-455F-A7D3-4299AD8CD7AF}"/>
    <cellStyle name="SAPBEXHLevel0X 2 3 2 4" xfId="15463" xr:uid="{943F2AEE-349F-469A-82CD-4EF9264C3803}"/>
    <cellStyle name="SAPBEXHLevel0X 2 3 2 4 2" xfId="15464" xr:uid="{4DF225E6-A5A9-48A7-94B7-2D3F317D1AA9}"/>
    <cellStyle name="SAPBEXHLevel0X 2 3 2 5" xfId="15465" xr:uid="{24E61F21-B374-4BE3-BEB7-EBFFC45CCF9A}"/>
    <cellStyle name="SAPBEXHLevel0X 2 3 2 5 2" xfId="15466" xr:uid="{08163079-0C48-402E-A19A-ECBFD0B9BDCD}"/>
    <cellStyle name="SAPBEXHLevel0X 2 3 2 6" xfId="15467" xr:uid="{31A4E79D-C263-43F3-AAE3-CCA338B4406F}"/>
    <cellStyle name="SAPBEXHLevel0X 2 3 2 6 2" xfId="15468" xr:uid="{40C32816-F38D-42FF-80D9-D1A3C2E69718}"/>
    <cellStyle name="SAPBEXHLevel0X 2 3 2 7" xfId="15469" xr:uid="{2F0BCF85-9C49-4DE8-9FEA-C51972C42259}"/>
    <cellStyle name="SAPBEXHLevel0X 2 3 2 7 2" xfId="15470" xr:uid="{25D64BB6-ECB7-406A-9BD9-8B5EC333E700}"/>
    <cellStyle name="SAPBEXHLevel0X 2 3 2 8" xfId="15471" xr:uid="{5E40F315-CD35-4B9D-B6F6-1C2FED7C1AFC}"/>
    <cellStyle name="SAPBEXHLevel0X 2 3 2 8 2" xfId="15472" xr:uid="{F646FB5F-E586-4587-8C4E-47117A154C1A}"/>
    <cellStyle name="SAPBEXHLevel0X 2 3 2 9" xfId="15473" xr:uid="{DF981418-E996-4812-A247-E6CC594AA3E6}"/>
    <cellStyle name="SAPBEXHLevel0X 2 3 2 9 2" xfId="15474" xr:uid="{89C33433-5119-4312-9F55-06CCAEDFEF58}"/>
    <cellStyle name="SAPBEXHLevel0X 2 3 3" xfId="15475" xr:uid="{BEBA6101-7469-42AF-B7EA-04C4D6E43A45}"/>
    <cellStyle name="SAPBEXHLevel0X 2 3 3 10" xfId="15476" xr:uid="{BA4D7BAF-E05D-4F15-A461-E0B65BBE1AB4}"/>
    <cellStyle name="SAPBEXHLevel0X 2 3 3 10 2" xfId="15477" xr:uid="{08F78F30-4F15-42E5-91C7-9827A593AB97}"/>
    <cellStyle name="SAPBEXHLevel0X 2 3 3 11" xfId="15478" xr:uid="{2FDDB3EF-3C36-4702-BF90-DCC8A37A8A19}"/>
    <cellStyle name="SAPBEXHLevel0X 2 3 3 11 2" xfId="15479" xr:uid="{8C1B5999-BAD4-41F0-A21C-94C51339348E}"/>
    <cellStyle name="SAPBEXHLevel0X 2 3 3 12" xfId="15480" xr:uid="{001E2D67-3C46-44F4-950D-5CCC78CA49EE}"/>
    <cellStyle name="SAPBEXHLevel0X 2 3 3 12 2" xfId="15481" xr:uid="{B45EE9F8-8E8C-4491-8302-6ED7263EB81E}"/>
    <cellStyle name="SAPBEXHLevel0X 2 3 3 13" xfId="15482" xr:uid="{738212CF-278F-487C-90C3-83C7A754DE43}"/>
    <cellStyle name="SAPBEXHLevel0X 2 3 3 13 2" xfId="15483" xr:uid="{A113A098-4ACD-4E08-B612-76E119B3C12E}"/>
    <cellStyle name="SAPBEXHLevel0X 2 3 3 14" xfId="15484" xr:uid="{CBBCF0D9-5B98-45BF-A4AA-8C739694E1D5}"/>
    <cellStyle name="SAPBEXHLevel0X 2 3 3 14 2" xfId="15485" xr:uid="{96DA5CBB-8D05-4C69-8489-280C9C88CE3B}"/>
    <cellStyle name="SAPBEXHLevel0X 2 3 3 15" xfId="15486" xr:uid="{EE8E814A-81DB-4683-903C-60B10077A694}"/>
    <cellStyle name="SAPBEXHLevel0X 2 3 3 15 2" xfId="15487" xr:uid="{E02E774A-19AA-4AC8-A28B-00FC5F23310C}"/>
    <cellStyle name="SAPBEXHLevel0X 2 3 3 16" xfId="15488" xr:uid="{908B976A-06C0-45DE-9F8A-DD309371CEB9}"/>
    <cellStyle name="SAPBEXHLevel0X 2 3 3 2" xfId="15489" xr:uid="{40B1577A-6824-426F-BD8B-F745F96F78EC}"/>
    <cellStyle name="SAPBEXHLevel0X 2 3 3 2 2" xfId="15490" xr:uid="{358353DF-3DAD-471E-BDFF-A550375B9482}"/>
    <cellStyle name="SAPBEXHLevel0X 2 3 3 3" xfId="15491" xr:uid="{786166C3-442B-4C5E-90DA-3663061EC790}"/>
    <cellStyle name="SAPBEXHLevel0X 2 3 3 3 2" xfId="15492" xr:uid="{0B4560C2-6863-48FB-A450-A39E83BDC01C}"/>
    <cellStyle name="SAPBEXHLevel0X 2 3 3 4" xfId="15493" xr:uid="{D4E8A2C9-BC84-419D-8C75-1DF14AC08904}"/>
    <cellStyle name="SAPBEXHLevel0X 2 3 3 4 2" xfId="15494" xr:uid="{5E289E93-83D4-4556-87DA-AEEBA74A3923}"/>
    <cellStyle name="SAPBEXHLevel0X 2 3 3 5" xfId="15495" xr:uid="{6734F578-0827-4CFC-A51C-37EF5B3E0282}"/>
    <cellStyle name="SAPBEXHLevel0X 2 3 3 5 2" xfId="15496" xr:uid="{574E23AA-1BBE-4058-BCF5-041553A50AF2}"/>
    <cellStyle name="SAPBEXHLevel0X 2 3 3 6" xfId="15497" xr:uid="{3012F576-D5B6-476C-B44C-F9B17965DB3D}"/>
    <cellStyle name="SAPBEXHLevel0X 2 3 3 6 2" xfId="15498" xr:uid="{2EFDCFD6-EEC8-46A5-927B-062D89CA2AD4}"/>
    <cellStyle name="SAPBEXHLevel0X 2 3 3 7" xfId="15499" xr:uid="{AC2AB72F-DC70-4CBC-9D6F-F0E9D3810B3C}"/>
    <cellStyle name="SAPBEXHLevel0X 2 3 3 7 2" xfId="15500" xr:uid="{27AFDC30-9849-4904-BCC2-64942EFA8969}"/>
    <cellStyle name="SAPBEXHLevel0X 2 3 3 8" xfId="15501" xr:uid="{1124E5FD-86B9-4DB4-97BB-E4CF8A765D07}"/>
    <cellStyle name="SAPBEXHLevel0X 2 3 3 8 2" xfId="15502" xr:uid="{06C82BB2-5B69-44F5-AF6D-8C3FF1E51877}"/>
    <cellStyle name="SAPBEXHLevel0X 2 3 3 9" xfId="15503" xr:uid="{11D82CDA-0A1F-4D1E-BC54-14AFD1938BD1}"/>
    <cellStyle name="SAPBEXHLevel0X 2 3 3 9 2" xfId="15504" xr:uid="{7C2F5998-EB90-4190-8B75-10603985EE73}"/>
    <cellStyle name="SAPBEXHLevel0X 2 3 4" xfId="15505" xr:uid="{75880EB2-1045-4D01-A1A9-C27CBFA48AFA}"/>
    <cellStyle name="SAPBEXHLevel0X 2 3 4 2" xfId="15506" xr:uid="{C7EA0A47-7683-4B2D-9D34-E1DA3739630D}"/>
    <cellStyle name="SAPBEXHLevel0X 2 3 5" xfId="15507" xr:uid="{2053B92C-ACA0-4227-87E6-C3D3B1297B69}"/>
    <cellStyle name="SAPBEXHLevel0X 2 3 5 2" xfId="15508" xr:uid="{DC2E7BE3-AC6D-4D02-8475-D83C8C6A18B1}"/>
    <cellStyle name="SAPBEXHLevel0X 2 3 6" xfId="15509" xr:uid="{B37A1054-287D-492F-B628-169E57F12547}"/>
    <cellStyle name="SAPBEXHLevel0X 2 3 6 2" xfId="15510" xr:uid="{00F9433A-93CE-4D3A-8900-1602154D2C3E}"/>
    <cellStyle name="SAPBEXHLevel0X 2 3 7" xfId="15511" xr:uid="{C842B678-307A-42D5-9BD6-E02AD4A7ED2B}"/>
    <cellStyle name="SAPBEXHLevel0X 2 3 7 2" xfId="15512" xr:uid="{1AC8E091-34CB-4C99-9CE9-74C4D87A098B}"/>
    <cellStyle name="SAPBEXHLevel0X 2 3 8" xfId="15513" xr:uid="{6BC671C8-06E0-4FD9-910E-CC4D2E396564}"/>
    <cellStyle name="SAPBEXHLevel0X 2 3 8 2" xfId="15514" xr:uid="{F19D14F2-4EFD-4BC2-A76D-D417D302D70F}"/>
    <cellStyle name="SAPBEXHLevel0X 2 3 9" xfId="15515" xr:uid="{06E59A58-30E2-4FA5-BA28-5DF9C92959E7}"/>
    <cellStyle name="SAPBEXHLevel0X 2 3 9 2" xfId="15516" xr:uid="{3C746A2A-8780-4E0C-A073-AE1449BBC656}"/>
    <cellStyle name="SAPBEXHLevel0X 2 4" xfId="15517" xr:uid="{57DAD72D-7CBA-4B47-A283-DF30C31D910B}"/>
    <cellStyle name="SAPBEXHLevel0X 2 4 2" xfId="15518" xr:uid="{2F9FFB3B-F817-426F-B94C-47B8CD9FBC66}"/>
    <cellStyle name="SAPBEXHLevel0X 2 5" xfId="15519" xr:uid="{D3A80E58-0A2B-4D51-9CF5-0029B3BB5D46}"/>
    <cellStyle name="SAPBEXHLevel0X 2 5 2" xfId="15520" xr:uid="{0ECBB076-89D4-4110-B18C-243D53706295}"/>
    <cellStyle name="SAPBEXHLevel0X 2 6" xfId="15521" xr:uid="{A2433718-7CDF-4B95-8ED4-D7A7C7E64BF9}"/>
    <cellStyle name="SAPBEXHLevel0X 2 6 2" xfId="15522" xr:uid="{51FE3D9D-89D0-4A98-83F3-85378DE0447B}"/>
    <cellStyle name="SAPBEXHLevel0X 2 7" xfId="15523" xr:uid="{9147B70F-3F51-48DC-8B65-E9D87A49439A}"/>
    <cellStyle name="SAPBEXHLevel0X 2 7 2" xfId="15524" xr:uid="{F402301F-ED68-4A0C-A59A-8132A057D479}"/>
    <cellStyle name="SAPBEXHLevel0X 2 8" xfId="15525" xr:uid="{9485DD10-F634-4AD6-AD47-A5A3C147870C}"/>
    <cellStyle name="SAPBEXHLevel0X 2 8 2" xfId="15526" xr:uid="{0B44A661-F50B-4CC0-9230-0D4FF4B646AA}"/>
    <cellStyle name="SAPBEXHLevel0X 2 9" xfId="15527" xr:uid="{4F973CAD-F9EE-4565-A636-883EAE3469AE}"/>
    <cellStyle name="SAPBEXHLevel0X 2 9 2" xfId="15528" xr:uid="{F18F0F76-2B3C-4FF5-AF74-ADA6876762B1}"/>
    <cellStyle name="SAPBEXHLevel0X 2_T1 ANSP" xfId="15319" xr:uid="{374420D7-57FA-4583-9D67-30A790FBCCA5}"/>
    <cellStyle name="SAPBEXHLevel0X 20" xfId="15529" xr:uid="{50D09F16-9F35-40EA-B76A-76029A40BD3B}"/>
    <cellStyle name="SAPBEXHLevel0X 20 2" xfId="15530" xr:uid="{BA5CAA2A-99EB-4527-A628-2DAFFB2D1E53}"/>
    <cellStyle name="SAPBEXHLevel0X 21" xfId="15531" xr:uid="{01BB1330-E2C2-424B-8924-FB2A83238737}"/>
    <cellStyle name="SAPBEXHLevel0X 3" xfId="1599" xr:uid="{00000000-0005-0000-0000-000090050000}"/>
    <cellStyle name="SAPBEXHLevel0X 3 10" xfId="15533" xr:uid="{8D2FA6D7-9C59-40EC-8652-B0346C54FB52}"/>
    <cellStyle name="SAPBEXHLevel0X 3 10 2" xfId="15534" xr:uid="{3335E21B-B941-42E6-B991-68A45F65B53F}"/>
    <cellStyle name="SAPBEXHLevel0X 3 11" xfId="15535" xr:uid="{BC3A4B7B-9A7E-4AC3-8DBB-F03E078C9C0C}"/>
    <cellStyle name="SAPBEXHLevel0X 3 11 2" xfId="15536" xr:uid="{52FD6388-7818-455B-88F0-FB6E2DD474E6}"/>
    <cellStyle name="SAPBEXHLevel0X 3 12" xfId="15537" xr:uid="{D45A14E4-604C-42F2-8444-14A34269166A}"/>
    <cellStyle name="SAPBEXHLevel0X 3 12 2" xfId="15538" xr:uid="{0FAF4187-4B07-4304-A219-5115AE9CDC8A}"/>
    <cellStyle name="SAPBEXHLevel0X 3 13" xfId="15539" xr:uid="{DBF64B26-663B-440F-B8B5-4977C71D5181}"/>
    <cellStyle name="SAPBEXHLevel0X 3 13 2" xfId="15540" xr:uid="{BB7F52BC-13A0-4C15-90A9-877E52D8E26E}"/>
    <cellStyle name="SAPBEXHLevel0X 3 14" xfId="15541" xr:uid="{CCEAE3F3-86CD-4626-A080-344C16D61F1D}"/>
    <cellStyle name="SAPBEXHLevel0X 3 14 2" xfId="15542" xr:uid="{884ADFD2-AE20-4B1A-9B79-57331046A83C}"/>
    <cellStyle name="SAPBEXHLevel0X 3 15" xfId="15543" xr:uid="{966BFA66-3910-4A6F-A8F2-D52B9A329256}"/>
    <cellStyle name="SAPBEXHLevel0X 3 15 2" xfId="15544" xr:uid="{383A7FBD-81D9-4026-B1F9-D00FC35AEF71}"/>
    <cellStyle name="SAPBEXHLevel0X 3 16" xfId="15545" xr:uid="{4A6F0706-AA41-4F2E-AADA-B90C3E1E1A2A}"/>
    <cellStyle name="SAPBEXHLevel0X 3 16 2" xfId="15546" xr:uid="{E378378B-1561-4692-AD59-D31B46B1FE99}"/>
    <cellStyle name="SAPBEXHLevel0X 3 17" xfId="15547" xr:uid="{48CF198C-9DE8-4EB4-BE26-85126E33A369}"/>
    <cellStyle name="SAPBEXHLevel0X 3 17 2" xfId="15548" xr:uid="{8AF06719-D9AC-47F3-A32D-50F5C1A08E24}"/>
    <cellStyle name="SAPBEXHLevel0X 3 18" xfId="15549" xr:uid="{71F561F8-2749-4859-9F58-209F4600237E}"/>
    <cellStyle name="SAPBEXHLevel0X 3 2" xfId="15550" xr:uid="{C34F16C1-162F-42D5-8DA9-35EF1540782E}"/>
    <cellStyle name="SAPBEXHLevel0X 3 2 10" xfId="15551" xr:uid="{43CFAA72-01A9-4E9A-B2E3-65494A5B7A24}"/>
    <cellStyle name="SAPBEXHLevel0X 3 2 10 2" xfId="15552" xr:uid="{A2EE8C09-77CF-4D8C-AF72-1E5CB6C6A01F}"/>
    <cellStyle name="SAPBEXHLevel0X 3 2 11" xfId="15553" xr:uid="{EEA14501-1026-49A3-A769-84EB8B668A52}"/>
    <cellStyle name="SAPBEXHLevel0X 3 2 11 2" xfId="15554" xr:uid="{D2F4E413-DFEA-4065-A648-D0D8491768F8}"/>
    <cellStyle name="SAPBEXHLevel0X 3 2 12" xfId="15555" xr:uid="{B7417EF0-2DA4-4847-A6BC-3CF425315A41}"/>
    <cellStyle name="SAPBEXHLevel0X 3 2 12 2" xfId="15556" xr:uid="{622EA97E-BBE6-4C08-B92A-D7FBADD6C2CC}"/>
    <cellStyle name="SAPBEXHLevel0X 3 2 13" xfId="15557" xr:uid="{38705B5F-4A50-4A9A-A600-9F912246924F}"/>
    <cellStyle name="SAPBEXHLevel0X 3 2 13 2" xfId="15558" xr:uid="{DE3D503F-B39E-40DF-8E72-A2230C3383C5}"/>
    <cellStyle name="SAPBEXHLevel0X 3 2 14" xfId="15559" xr:uid="{92D306B6-D81A-489A-8DD5-E5F6B896B5F0}"/>
    <cellStyle name="SAPBEXHLevel0X 3 2 14 2" xfId="15560" xr:uid="{0F7A7953-28F9-4FFF-9FE8-1AB4C2DBAA9B}"/>
    <cellStyle name="SAPBEXHLevel0X 3 2 15" xfId="15561" xr:uid="{89F1CE4F-26E4-4430-AD31-9A4073B071D0}"/>
    <cellStyle name="SAPBEXHLevel0X 3 2 15 2" xfId="15562" xr:uid="{92537AC5-035B-4C43-B580-FB6FCC690D2A}"/>
    <cellStyle name="SAPBEXHLevel0X 3 2 16" xfId="15563" xr:uid="{E32DA78A-4AA7-4154-9B2E-E66A1FC4559C}"/>
    <cellStyle name="SAPBEXHLevel0X 3 2 2" xfId="15564" xr:uid="{AFFD8838-F684-4E65-A6AD-5C874A219B20}"/>
    <cellStyle name="SAPBEXHLevel0X 3 2 2 2" xfId="15565" xr:uid="{B17C7CB4-5329-4709-846A-1DA398BF526D}"/>
    <cellStyle name="SAPBEXHLevel0X 3 2 3" xfId="15566" xr:uid="{B34C9769-36E9-4BEF-923F-512B9D21D152}"/>
    <cellStyle name="SAPBEXHLevel0X 3 2 3 2" xfId="15567" xr:uid="{8FAFBE4A-4F1E-46C1-B974-5C03CAE296AB}"/>
    <cellStyle name="SAPBEXHLevel0X 3 2 4" xfId="15568" xr:uid="{01859AB9-85FA-4581-B6F1-ECC9F8448922}"/>
    <cellStyle name="SAPBEXHLevel0X 3 2 4 2" xfId="15569" xr:uid="{2E7F3306-7425-4FEA-BFDB-2697714D78FA}"/>
    <cellStyle name="SAPBEXHLevel0X 3 2 5" xfId="15570" xr:uid="{6E4002A6-CC23-47BC-A864-794692D33C6A}"/>
    <cellStyle name="SAPBEXHLevel0X 3 2 5 2" xfId="15571" xr:uid="{C51D88CC-7B64-49E7-BFA9-218356DAFE66}"/>
    <cellStyle name="SAPBEXHLevel0X 3 2 6" xfId="15572" xr:uid="{00CF3592-FC17-45CB-AEC7-E0E0144E1A87}"/>
    <cellStyle name="SAPBEXHLevel0X 3 2 6 2" xfId="15573" xr:uid="{F84F6100-B650-4CAE-9135-97BD7B65B2F4}"/>
    <cellStyle name="SAPBEXHLevel0X 3 2 7" xfId="15574" xr:uid="{224F055B-D733-470C-A443-18F4A9FEFCE3}"/>
    <cellStyle name="SAPBEXHLevel0X 3 2 7 2" xfId="15575" xr:uid="{DD49159C-DEA1-45B4-A30A-E1C690F97E98}"/>
    <cellStyle name="SAPBEXHLevel0X 3 2 8" xfId="15576" xr:uid="{B5D75F09-5AA1-4DFD-B71E-732F828A3A2D}"/>
    <cellStyle name="SAPBEXHLevel0X 3 2 8 2" xfId="15577" xr:uid="{1B8CA7DD-6380-45A4-AD4A-F70B7D4B4914}"/>
    <cellStyle name="SAPBEXHLevel0X 3 2 9" xfId="15578" xr:uid="{4EC258F8-A091-44DA-A636-ADE1D85F653C}"/>
    <cellStyle name="SAPBEXHLevel0X 3 2 9 2" xfId="15579" xr:uid="{631E3C89-1DEE-4F0F-BED2-AF2573E9841A}"/>
    <cellStyle name="SAPBEXHLevel0X 3 3" xfId="15580" xr:uid="{A4121120-816B-4A3D-996D-ADE94B5EC35D}"/>
    <cellStyle name="SAPBEXHLevel0X 3 3 10" xfId="15581" xr:uid="{9A714E8A-5B87-40D9-B650-713BA5CF2FB0}"/>
    <cellStyle name="SAPBEXHLevel0X 3 3 10 2" xfId="15582" xr:uid="{E2C37EF5-5C51-448E-8616-799E231C1093}"/>
    <cellStyle name="SAPBEXHLevel0X 3 3 11" xfId="15583" xr:uid="{4AFA234E-824D-439B-A8CD-4068C102AEB7}"/>
    <cellStyle name="SAPBEXHLevel0X 3 3 11 2" xfId="15584" xr:uid="{6F613453-5DA9-4A1D-9EBC-4F63F9EF8334}"/>
    <cellStyle name="SAPBEXHLevel0X 3 3 12" xfId="15585" xr:uid="{015D9AF8-DFD9-4EE0-BC73-482FE2DA71B0}"/>
    <cellStyle name="SAPBEXHLevel0X 3 3 12 2" xfId="15586" xr:uid="{93EA3323-05FE-48A8-9A19-3936DFC8C6A5}"/>
    <cellStyle name="SAPBEXHLevel0X 3 3 13" xfId="15587" xr:uid="{2F0C0C69-86A0-4B2B-964F-5089BD5799FF}"/>
    <cellStyle name="SAPBEXHLevel0X 3 3 13 2" xfId="15588" xr:uid="{60CC5AFF-DECD-4082-B01A-E6399B3B30C3}"/>
    <cellStyle name="SAPBEXHLevel0X 3 3 14" xfId="15589" xr:uid="{AE7DEFA0-666B-4926-BF6D-CB6366882EB6}"/>
    <cellStyle name="SAPBEXHLevel0X 3 3 14 2" xfId="15590" xr:uid="{48CA187A-A859-49FC-AB7C-AD19CFD36A61}"/>
    <cellStyle name="SAPBEXHLevel0X 3 3 15" xfId="15591" xr:uid="{0969E62D-A9F4-47C3-A16B-8B236FA062EF}"/>
    <cellStyle name="SAPBEXHLevel0X 3 3 15 2" xfId="15592" xr:uid="{9F315CB4-2D1F-49A6-A83B-7C2691EEC223}"/>
    <cellStyle name="SAPBEXHLevel0X 3 3 16" xfId="15593" xr:uid="{84FF7278-2D90-4825-B028-18DA75B64AA4}"/>
    <cellStyle name="SAPBEXHLevel0X 3 3 2" xfId="15594" xr:uid="{4EE2A282-C4B4-4042-959B-267DD5C0EA9D}"/>
    <cellStyle name="SAPBEXHLevel0X 3 3 2 2" xfId="15595" xr:uid="{91ADD7AE-3238-420E-B0A4-5D564C916905}"/>
    <cellStyle name="SAPBEXHLevel0X 3 3 3" xfId="15596" xr:uid="{54129EB2-8102-4AC1-BBD0-50DCB2FBE1D3}"/>
    <cellStyle name="SAPBEXHLevel0X 3 3 3 2" xfId="15597" xr:uid="{1720402E-478F-4A89-8DA8-A91D0E94D514}"/>
    <cellStyle name="SAPBEXHLevel0X 3 3 4" xfId="15598" xr:uid="{ADE6F38E-D94F-4180-8BD5-C8535255C494}"/>
    <cellStyle name="SAPBEXHLevel0X 3 3 4 2" xfId="15599" xr:uid="{3E463C35-F068-45DB-A24E-269C1DF50029}"/>
    <cellStyle name="SAPBEXHLevel0X 3 3 5" xfId="15600" xr:uid="{050A3652-C6F8-4B2E-83AF-3D1D8E2FBDCA}"/>
    <cellStyle name="SAPBEXHLevel0X 3 3 5 2" xfId="15601" xr:uid="{F623363A-D5B5-4F0E-9F5D-C825EF51EB92}"/>
    <cellStyle name="SAPBEXHLevel0X 3 3 6" xfId="15602" xr:uid="{4987C06F-45E8-4C81-8194-56D27945303E}"/>
    <cellStyle name="SAPBEXHLevel0X 3 3 6 2" xfId="15603" xr:uid="{BE3CC09B-7AB1-4517-AFA6-BE1FD5E11735}"/>
    <cellStyle name="SAPBEXHLevel0X 3 3 7" xfId="15604" xr:uid="{FDC81F5B-731B-4D5B-9812-A24A8A833A93}"/>
    <cellStyle name="SAPBEXHLevel0X 3 3 7 2" xfId="15605" xr:uid="{8963CB78-0C77-4F58-B44D-9F99818BBA47}"/>
    <cellStyle name="SAPBEXHLevel0X 3 3 8" xfId="15606" xr:uid="{2B9ECA5F-DE1C-4CD6-A162-0B27807B3F54}"/>
    <cellStyle name="SAPBEXHLevel0X 3 3 8 2" xfId="15607" xr:uid="{DA4AE3E3-C5AF-499C-900C-F39AF6128C69}"/>
    <cellStyle name="SAPBEXHLevel0X 3 3 9" xfId="15608" xr:uid="{3FD6B087-7079-4B4F-A33C-776615C78C3C}"/>
    <cellStyle name="SAPBEXHLevel0X 3 3 9 2" xfId="15609" xr:uid="{0D14FD25-29D6-4836-A76B-AFD5A49C0381}"/>
    <cellStyle name="SAPBEXHLevel0X 3 4" xfId="15610" xr:uid="{746DFF44-50BD-4762-85FA-BA751AD35C94}"/>
    <cellStyle name="SAPBEXHLevel0X 3 4 2" xfId="15611" xr:uid="{03ECDF46-ED20-448C-9539-043E8B50B12D}"/>
    <cellStyle name="SAPBEXHLevel0X 3 5" xfId="15612" xr:uid="{9967BE46-16B6-4E81-9321-9954D4EA6347}"/>
    <cellStyle name="SAPBEXHLevel0X 3 5 2" xfId="15613" xr:uid="{E3F4E5F4-BB96-4DED-BF0A-0B23990014B4}"/>
    <cellStyle name="SAPBEXHLevel0X 3 6" xfId="15614" xr:uid="{7411F1C4-A4BD-4BF1-A481-158CC28C834E}"/>
    <cellStyle name="SAPBEXHLevel0X 3 6 2" xfId="15615" xr:uid="{83A4DA57-8823-4112-99EA-31DB52D18894}"/>
    <cellStyle name="SAPBEXHLevel0X 3 7" xfId="15616" xr:uid="{01479544-40F6-47E8-B5AF-EF8BAB514174}"/>
    <cellStyle name="SAPBEXHLevel0X 3 7 2" xfId="15617" xr:uid="{56F71ADB-FDBB-4414-91BA-B68F3FE7EBF9}"/>
    <cellStyle name="SAPBEXHLevel0X 3 8" xfId="15618" xr:uid="{D308B4B1-B372-497E-BFF1-83DFB9FAFFCB}"/>
    <cellStyle name="SAPBEXHLevel0X 3 8 2" xfId="15619" xr:uid="{B2BCDAD6-771F-4193-A8F2-1A53F97F04B1}"/>
    <cellStyle name="SAPBEXHLevel0X 3 9" xfId="15620" xr:uid="{E547489E-AD7C-499F-9AEB-C32BC6E01161}"/>
    <cellStyle name="SAPBEXHLevel0X 3 9 2" xfId="15621" xr:uid="{92016D48-0388-427E-B0F5-6B6F31AE0A06}"/>
    <cellStyle name="SAPBEXHLevel0X 3_T1 ANSP" xfId="15532" xr:uid="{D7673439-4BD9-4309-BA90-6738E6DB6AA9}"/>
    <cellStyle name="SAPBEXHLevel0X 4" xfId="15622" xr:uid="{65BF3106-7B2E-4E79-96D3-C5B078678BEF}"/>
    <cellStyle name="SAPBEXHLevel0X 4 10" xfId="15623" xr:uid="{2AB7549B-FC9D-465E-9A5F-64FF4D3F24FA}"/>
    <cellStyle name="SAPBEXHLevel0X 4 10 2" xfId="15624" xr:uid="{4656D815-3B32-4A99-B40E-26E103863FC5}"/>
    <cellStyle name="SAPBEXHLevel0X 4 11" xfId="15625" xr:uid="{EE6260D5-FBDC-424E-B1B2-FD42EB9C84AE}"/>
    <cellStyle name="SAPBEXHLevel0X 4 11 2" xfId="15626" xr:uid="{EF259E3E-887D-4EFD-9A4B-8F635183DBCA}"/>
    <cellStyle name="SAPBEXHLevel0X 4 12" xfId="15627" xr:uid="{DE63F7F8-8C1A-480C-8A0C-93A5B59A8E66}"/>
    <cellStyle name="SAPBEXHLevel0X 4 12 2" xfId="15628" xr:uid="{EEFB0285-CD1E-4C51-A651-1AA9D4729921}"/>
    <cellStyle name="SAPBEXHLevel0X 4 13" xfId="15629" xr:uid="{F5A1698E-6DB8-4FAE-85B3-1FED9EAA52C9}"/>
    <cellStyle name="SAPBEXHLevel0X 4 13 2" xfId="15630" xr:uid="{4088483D-F2C4-47B5-A3CA-D543282795F6}"/>
    <cellStyle name="SAPBEXHLevel0X 4 14" xfId="15631" xr:uid="{82C09D89-EE20-46AC-8FB8-F0D2D16314B9}"/>
    <cellStyle name="SAPBEXHLevel0X 4 14 2" xfId="15632" xr:uid="{A311A84F-11E5-41B6-A9F7-1769935D4E77}"/>
    <cellStyle name="SAPBEXHLevel0X 4 15" xfId="15633" xr:uid="{16225578-C1E5-4A87-A468-07E62D9E1B8A}"/>
    <cellStyle name="SAPBEXHLevel0X 4 15 2" xfId="15634" xr:uid="{1DBE7CED-B728-45B3-981B-662CC9ED6AB2}"/>
    <cellStyle name="SAPBEXHLevel0X 4 16" xfId="15635" xr:uid="{0F2FC846-0EC5-4392-AF0C-8B3745D02163}"/>
    <cellStyle name="SAPBEXHLevel0X 4 16 2" xfId="15636" xr:uid="{8896DAD6-5859-48EF-A25C-81ECEF63B570}"/>
    <cellStyle name="SAPBEXHLevel0X 4 17" xfId="15637" xr:uid="{EFCC45D9-5559-4356-AFC2-4C35E13B12E0}"/>
    <cellStyle name="SAPBEXHLevel0X 4 17 2" xfId="15638" xr:uid="{29490D6C-6565-4831-BE66-13DB14D7366B}"/>
    <cellStyle name="SAPBEXHLevel0X 4 18" xfId="15639" xr:uid="{461BB72A-056E-4A87-AE8F-4835DC48B1A0}"/>
    <cellStyle name="SAPBEXHLevel0X 4 2" xfId="15640" xr:uid="{B943F172-6013-4295-97EE-E1B8800C5DBC}"/>
    <cellStyle name="SAPBEXHLevel0X 4 2 10" xfId="15641" xr:uid="{23AB6650-1818-4E31-A640-38C0BD48C9E1}"/>
    <cellStyle name="SAPBEXHLevel0X 4 2 10 2" xfId="15642" xr:uid="{4166AFC1-FE09-447D-9E63-AE76E554AB02}"/>
    <cellStyle name="SAPBEXHLevel0X 4 2 11" xfId="15643" xr:uid="{37F1BAD5-E9D4-4738-9A51-990798259468}"/>
    <cellStyle name="SAPBEXHLevel0X 4 2 11 2" xfId="15644" xr:uid="{42175C3A-AD49-4791-A3DE-63C5D2C5E5DD}"/>
    <cellStyle name="SAPBEXHLevel0X 4 2 12" xfId="15645" xr:uid="{B4355523-07C0-4BD2-9BAE-1F5535A9D651}"/>
    <cellStyle name="SAPBEXHLevel0X 4 2 12 2" xfId="15646" xr:uid="{221F29A0-209A-4FEE-8DDC-4377D48FFFBD}"/>
    <cellStyle name="SAPBEXHLevel0X 4 2 13" xfId="15647" xr:uid="{C830DC93-2AB3-4821-8A6C-90A1E8D63A19}"/>
    <cellStyle name="SAPBEXHLevel0X 4 2 13 2" xfId="15648" xr:uid="{161E355B-A290-4970-9069-026C477427DC}"/>
    <cellStyle name="SAPBEXHLevel0X 4 2 14" xfId="15649" xr:uid="{05953F73-3AC4-4FFE-BF78-64D50EED8E53}"/>
    <cellStyle name="SAPBEXHLevel0X 4 2 14 2" xfId="15650" xr:uid="{48C9818C-7630-48AE-8CFD-127055AFBB87}"/>
    <cellStyle name="SAPBEXHLevel0X 4 2 15" xfId="15651" xr:uid="{7A8871FF-EB0C-421A-B5EB-FADC352B8890}"/>
    <cellStyle name="SAPBEXHLevel0X 4 2 15 2" xfId="15652" xr:uid="{D5838A82-B7B0-490E-A0C7-FC5F324ECE95}"/>
    <cellStyle name="SAPBEXHLevel0X 4 2 16" xfId="15653" xr:uid="{5D053BDD-52B1-4C6B-B8AD-2C40AD678E73}"/>
    <cellStyle name="SAPBEXHLevel0X 4 2 2" xfId="15654" xr:uid="{982AA751-F107-4E22-B641-FCDE56557DC5}"/>
    <cellStyle name="SAPBEXHLevel0X 4 2 2 2" xfId="15655" xr:uid="{23091D57-7FD4-46DA-9ADF-6A81DABA8619}"/>
    <cellStyle name="SAPBEXHLevel0X 4 2 3" xfId="15656" xr:uid="{9B6F17DC-EDD2-4027-A579-C26E7291C536}"/>
    <cellStyle name="SAPBEXHLevel0X 4 2 3 2" xfId="15657" xr:uid="{4502D31C-7CB6-4480-9C46-EBD200DF484B}"/>
    <cellStyle name="SAPBEXHLevel0X 4 2 4" xfId="15658" xr:uid="{458B3C3E-80A7-488A-9B12-2CD7DEEE98CD}"/>
    <cellStyle name="SAPBEXHLevel0X 4 2 4 2" xfId="15659" xr:uid="{1EDB6951-06A0-4F23-B8D9-33EDE7865EBF}"/>
    <cellStyle name="SAPBEXHLevel0X 4 2 5" xfId="15660" xr:uid="{8A1508B5-4CFE-455F-A2F4-92CC32306CC8}"/>
    <cellStyle name="SAPBEXHLevel0X 4 2 5 2" xfId="15661" xr:uid="{0EDD21F7-1151-425B-B137-07642B945FFD}"/>
    <cellStyle name="SAPBEXHLevel0X 4 2 6" xfId="15662" xr:uid="{C5C56FA0-6AA6-4FE5-B20A-1CCB75603D5F}"/>
    <cellStyle name="SAPBEXHLevel0X 4 2 6 2" xfId="15663" xr:uid="{8C4DCF03-F47E-469C-A246-0ADE8D062274}"/>
    <cellStyle name="SAPBEXHLevel0X 4 2 7" xfId="15664" xr:uid="{9D731F9A-2600-476B-8A14-2B267855EE64}"/>
    <cellStyle name="SAPBEXHLevel0X 4 2 7 2" xfId="15665" xr:uid="{69927548-770C-480A-ACBA-76343203E399}"/>
    <cellStyle name="SAPBEXHLevel0X 4 2 8" xfId="15666" xr:uid="{EE74227A-1B81-4F2F-9EB0-C87B559DF89D}"/>
    <cellStyle name="SAPBEXHLevel0X 4 2 8 2" xfId="15667" xr:uid="{934A0EE1-4673-4857-BAD5-89506BD5AEDB}"/>
    <cellStyle name="SAPBEXHLevel0X 4 2 9" xfId="15668" xr:uid="{559B36D4-D237-4F1E-B589-1A18573EFD73}"/>
    <cellStyle name="SAPBEXHLevel0X 4 2 9 2" xfId="15669" xr:uid="{51124A23-F816-4699-829A-39AC9A54FDCA}"/>
    <cellStyle name="SAPBEXHLevel0X 4 3" xfId="15670" xr:uid="{922CA721-E8D9-4D04-AE5B-0EC813DEA225}"/>
    <cellStyle name="SAPBEXHLevel0X 4 3 10" xfId="15671" xr:uid="{2880100D-9C7C-43B4-8ED5-8AEA2335202A}"/>
    <cellStyle name="SAPBEXHLevel0X 4 3 10 2" xfId="15672" xr:uid="{8D922957-E1B8-4154-A3F1-D722CB1DECF2}"/>
    <cellStyle name="SAPBEXHLevel0X 4 3 11" xfId="15673" xr:uid="{FA8A058B-8A56-4490-9AE2-C1C36E6514C6}"/>
    <cellStyle name="SAPBEXHLevel0X 4 3 11 2" xfId="15674" xr:uid="{83EC8795-5C6B-4621-8E86-A3C88F7A2C47}"/>
    <cellStyle name="SAPBEXHLevel0X 4 3 12" xfId="15675" xr:uid="{3C18CA13-5035-41A5-993D-37B334D0C89F}"/>
    <cellStyle name="SAPBEXHLevel0X 4 3 12 2" xfId="15676" xr:uid="{CB9181C2-7528-42EF-A858-E4DA84AF58D1}"/>
    <cellStyle name="SAPBEXHLevel0X 4 3 13" xfId="15677" xr:uid="{F7986AED-1707-4C37-A22C-9E9B3F7F6B9C}"/>
    <cellStyle name="SAPBEXHLevel0X 4 3 13 2" xfId="15678" xr:uid="{E21CEBBE-1E73-44A2-AEA1-130E217514B4}"/>
    <cellStyle name="SAPBEXHLevel0X 4 3 14" xfId="15679" xr:uid="{CCBBEC5C-4D31-4DF7-9548-CFACE924F0FC}"/>
    <cellStyle name="SAPBEXHLevel0X 4 3 14 2" xfId="15680" xr:uid="{839702A2-D59D-44C8-80E1-B97ED0929579}"/>
    <cellStyle name="SAPBEXHLevel0X 4 3 15" xfId="15681" xr:uid="{B1BE154F-9BCE-4CC1-8647-C22092B6EB3E}"/>
    <cellStyle name="SAPBEXHLevel0X 4 3 15 2" xfId="15682" xr:uid="{2F25AE6C-AB07-44FA-BB34-CBB755DAE7C8}"/>
    <cellStyle name="SAPBEXHLevel0X 4 3 16" xfId="15683" xr:uid="{37557AD3-5FE0-4BE1-A5CB-DF007AD20F35}"/>
    <cellStyle name="SAPBEXHLevel0X 4 3 2" xfId="15684" xr:uid="{37ABD91C-BD0B-4898-9B0E-FC0D2A807F27}"/>
    <cellStyle name="SAPBEXHLevel0X 4 3 2 2" xfId="15685" xr:uid="{A02E40BB-9EB6-4610-BD0E-CEB52BA6194D}"/>
    <cellStyle name="SAPBEXHLevel0X 4 3 3" xfId="15686" xr:uid="{A86D6E45-4997-4E2B-85EF-2CA52EA61B22}"/>
    <cellStyle name="SAPBEXHLevel0X 4 3 3 2" xfId="15687" xr:uid="{F33E5A0B-07F6-49A5-97D4-2DE22E0522B0}"/>
    <cellStyle name="SAPBEXHLevel0X 4 3 4" xfId="15688" xr:uid="{DA0BD09B-0800-4BF4-8EB5-02A01C329723}"/>
    <cellStyle name="SAPBEXHLevel0X 4 3 4 2" xfId="15689" xr:uid="{CFFCB1DC-4F7A-4721-AB47-3A92297C115A}"/>
    <cellStyle name="SAPBEXHLevel0X 4 3 5" xfId="15690" xr:uid="{1A10506E-97DA-425F-8F10-B7A8BC162BA1}"/>
    <cellStyle name="SAPBEXHLevel0X 4 3 5 2" xfId="15691" xr:uid="{E4454D7F-14E8-448F-8491-764213558E83}"/>
    <cellStyle name="SAPBEXHLevel0X 4 3 6" xfId="15692" xr:uid="{B37251FC-8241-4A82-976D-11F389ED1210}"/>
    <cellStyle name="SAPBEXHLevel0X 4 3 6 2" xfId="15693" xr:uid="{7857171A-E5AE-41A6-B3BA-F2FA61A88D95}"/>
    <cellStyle name="SAPBEXHLevel0X 4 3 7" xfId="15694" xr:uid="{8784454D-BB4D-445A-B4AB-C44AE135A7D9}"/>
    <cellStyle name="SAPBEXHLevel0X 4 3 7 2" xfId="15695" xr:uid="{AB76F83A-417E-48DC-9F92-667E9F462604}"/>
    <cellStyle name="SAPBEXHLevel0X 4 3 8" xfId="15696" xr:uid="{46B10FE7-BDC9-468D-B5AC-5AF7C368BCC3}"/>
    <cellStyle name="SAPBEXHLevel0X 4 3 8 2" xfId="15697" xr:uid="{3E369459-DA4A-4653-9593-21B1A07A9CC0}"/>
    <cellStyle name="SAPBEXHLevel0X 4 3 9" xfId="15698" xr:uid="{DA40AC71-EF22-4687-A0B0-F6DC59B4743A}"/>
    <cellStyle name="SAPBEXHLevel0X 4 3 9 2" xfId="15699" xr:uid="{B73428D2-AF3C-40B4-AD9C-D5E0BE876A6C}"/>
    <cellStyle name="SAPBEXHLevel0X 4 4" xfId="15700" xr:uid="{DBDBD1BA-BA2C-42B0-B2EA-51E4FD0BF4DC}"/>
    <cellStyle name="SAPBEXHLevel0X 4 4 2" xfId="15701" xr:uid="{5EE17C8A-6447-46AD-B260-63CB5074BE19}"/>
    <cellStyle name="SAPBEXHLevel0X 4 5" xfId="15702" xr:uid="{F9D2849F-5846-4B4D-85DD-1ED985FA44F6}"/>
    <cellStyle name="SAPBEXHLevel0X 4 5 2" xfId="15703" xr:uid="{E70AB6A0-F2A6-407A-9DAF-155938A14839}"/>
    <cellStyle name="SAPBEXHLevel0X 4 6" xfId="15704" xr:uid="{E0869850-2757-4ABE-9188-94D5797FD906}"/>
    <cellStyle name="SAPBEXHLevel0X 4 6 2" xfId="15705" xr:uid="{FD1DB2AB-984B-4AD4-B6B7-C9316FBF4072}"/>
    <cellStyle name="SAPBEXHLevel0X 4 7" xfId="15706" xr:uid="{55CBEBFE-48F9-49CD-8420-D45EABCA01B3}"/>
    <cellStyle name="SAPBEXHLevel0X 4 7 2" xfId="15707" xr:uid="{C58F73C9-6758-45C6-8916-25525613383C}"/>
    <cellStyle name="SAPBEXHLevel0X 4 8" xfId="15708" xr:uid="{E829EE60-4795-4EB1-9414-7BDAE35C6730}"/>
    <cellStyle name="SAPBEXHLevel0X 4 8 2" xfId="15709" xr:uid="{C2236B3E-7602-4AD0-B29A-D2EE88524AFF}"/>
    <cellStyle name="SAPBEXHLevel0X 4 9" xfId="15710" xr:uid="{8894EB92-3AA8-4BF4-A5F9-CC8FA8E244AA}"/>
    <cellStyle name="SAPBEXHLevel0X 4 9 2" xfId="15711" xr:uid="{1FD63A7C-E7AC-43B2-89CF-485917A811B7}"/>
    <cellStyle name="SAPBEXHLevel0X 5" xfId="15712" xr:uid="{B5231BB6-28DC-410F-AAD2-F8000258F934}"/>
    <cellStyle name="SAPBEXHLevel0X 5 10" xfId="15713" xr:uid="{9B22648C-F873-4A5F-B943-9C501AE99CA8}"/>
    <cellStyle name="SAPBEXHLevel0X 5 10 2" xfId="15714" xr:uid="{D5293C06-7422-4330-BA4E-3F6EBCD5F4C6}"/>
    <cellStyle name="SAPBEXHLevel0X 5 11" xfId="15715" xr:uid="{E4B1F9EB-E600-4A97-B713-950AAE85A1CF}"/>
    <cellStyle name="SAPBEXHLevel0X 5 11 2" xfId="15716" xr:uid="{B36A5EEF-5327-49F1-9F59-7FAC9F06E4B0}"/>
    <cellStyle name="SAPBEXHLevel0X 5 12" xfId="15717" xr:uid="{5DC87FD8-6E97-4B42-A1D5-C5D33F991D96}"/>
    <cellStyle name="SAPBEXHLevel0X 5 12 2" xfId="15718" xr:uid="{46D74729-687D-4FE2-892C-916551736F49}"/>
    <cellStyle name="SAPBEXHLevel0X 5 13" xfId="15719" xr:uid="{9DC9207E-26CD-4A87-AF69-03EF939B7BBD}"/>
    <cellStyle name="SAPBEXHLevel0X 5 13 2" xfId="15720" xr:uid="{5A0B2068-C8FB-46D9-BADB-A1010CE352FC}"/>
    <cellStyle name="SAPBEXHLevel0X 5 14" xfId="15721" xr:uid="{D6952D97-C0AE-4395-9B23-184FE168F938}"/>
    <cellStyle name="SAPBEXHLevel0X 5 14 2" xfId="15722" xr:uid="{CDF16655-928B-46E2-A0C0-D18AE73076CA}"/>
    <cellStyle name="SAPBEXHLevel0X 5 15" xfId="15723" xr:uid="{5C339ECD-7376-4CFB-82F2-289D56DDBCFE}"/>
    <cellStyle name="SAPBEXHLevel0X 5 15 2" xfId="15724" xr:uid="{C9E7138A-D0BD-4609-BC27-088753008FD2}"/>
    <cellStyle name="SAPBEXHLevel0X 5 16" xfId="15725" xr:uid="{A70B2BBF-24B8-474D-A700-017296FA6933}"/>
    <cellStyle name="SAPBEXHLevel0X 5 16 2" xfId="15726" xr:uid="{93CBEE37-E222-4AAB-A8FB-E651A243DE89}"/>
    <cellStyle name="SAPBEXHLevel0X 5 17" xfId="15727" xr:uid="{ABE7CAE3-A534-448A-A200-04F572B311F6}"/>
    <cellStyle name="SAPBEXHLevel0X 5 17 2" xfId="15728" xr:uid="{A7AD4138-74E2-453D-8A0F-28D8A9AF57F3}"/>
    <cellStyle name="SAPBEXHLevel0X 5 18" xfId="15729" xr:uid="{55DB265F-4509-4DA7-B802-CB170122B56D}"/>
    <cellStyle name="SAPBEXHLevel0X 5 2" xfId="15730" xr:uid="{86C2101F-2523-45AC-A828-971C666B0166}"/>
    <cellStyle name="SAPBEXHLevel0X 5 2 10" xfId="15731" xr:uid="{56C2260A-7AC2-49FA-921D-92C2018AE19D}"/>
    <cellStyle name="SAPBEXHLevel0X 5 2 10 2" xfId="15732" xr:uid="{B6D41AFA-4F0B-4F42-8AFB-1A0488917EFD}"/>
    <cellStyle name="SAPBEXHLevel0X 5 2 11" xfId="15733" xr:uid="{CFE603CA-ABA5-43B9-85CC-C64D495AF3AA}"/>
    <cellStyle name="SAPBEXHLevel0X 5 2 11 2" xfId="15734" xr:uid="{06A563D1-A742-423C-9C17-B2A10B99FE78}"/>
    <cellStyle name="SAPBEXHLevel0X 5 2 12" xfId="15735" xr:uid="{C030F995-98E5-463E-9D94-2AD421757DDD}"/>
    <cellStyle name="SAPBEXHLevel0X 5 2 12 2" xfId="15736" xr:uid="{9A3684CF-D4E2-47F7-81E6-286108B83C08}"/>
    <cellStyle name="SAPBEXHLevel0X 5 2 13" xfId="15737" xr:uid="{C4C71443-B1DC-4F5E-AF2C-91D3E79680B6}"/>
    <cellStyle name="SAPBEXHLevel0X 5 2 13 2" xfId="15738" xr:uid="{8A66ECED-2D95-4792-BA76-2E90279AD2E0}"/>
    <cellStyle name="SAPBEXHLevel0X 5 2 14" xfId="15739" xr:uid="{06EFD69C-859E-4C18-A5A3-3BB25623CD8C}"/>
    <cellStyle name="SAPBEXHLevel0X 5 2 14 2" xfId="15740" xr:uid="{2A08C28D-D92C-4E6C-A2F3-2DF47C47B8D3}"/>
    <cellStyle name="SAPBEXHLevel0X 5 2 15" xfId="15741" xr:uid="{A19273C1-1814-44BB-B1CF-6155027A8AD0}"/>
    <cellStyle name="SAPBEXHLevel0X 5 2 15 2" xfId="15742" xr:uid="{5AF07B6B-3F14-4B9B-8E42-79C0997DB93B}"/>
    <cellStyle name="SAPBEXHLevel0X 5 2 16" xfId="15743" xr:uid="{20613F7D-6B35-44CA-9C5C-E96B7F31D48F}"/>
    <cellStyle name="SAPBEXHLevel0X 5 2 2" xfId="15744" xr:uid="{00616553-8600-40FD-A2A5-AD5065003719}"/>
    <cellStyle name="SAPBEXHLevel0X 5 2 2 2" xfId="15745" xr:uid="{6816E7FE-02DB-4978-85F4-A5DE21BC5B14}"/>
    <cellStyle name="SAPBEXHLevel0X 5 2 3" xfId="15746" xr:uid="{23987472-7A5C-4FC2-8F03-75096F368A1A}"/>
    <cellStyle name="SAPBEXHLevel0X 5 2 3 2" xfId="15747" xr:uid="{8E90ADF8-7AD6-44E9-B1AF-96786394156E}"/>
    <cellStyle name="SAPBEXHLevel0X 5 2 4" xfId="15748" xr:uid="{231C65B5-0F44-4DED-9211-02AD06978DF9}"/>
    <cellStyle name="SAPBEXHLevel0X 5 2 4 2" xfId="15749" xr:uid="{7B839C69-4C99-43D7-822B-364D7A5C16CA}"/>
    <cellStyle name="SAPBEXHLevel0X 5 2 5" xfId="15750" xr:uid="{2845E3C3-0229-471B-873F-7AAB70992B80}"/>
    <cellStyle name="SAPBEXHLevel0X 5 2 5 2" xfId="15751" xr:uid="{CFE07E8D-FA94-4A83-A4CA-C630255C9328}"/>
    <cellStyle name="SAPBEXHLevel0X 5 2 6" xfId="15752" xr:uid="{CD69D72B-5643-4876-95ED-7B2E3D8AF453}"/>
    <cellStyle name="SAPBEXHLevel0X 5 2 6 2" xfId="15753" xr:uid="{EB0DCE5D-0D9B-404B-B8C0-6CB6BE467C17}"/>
    <cellStyle name="SAPBEXHLevel0X 5 2 7" xfId="15754" xr:uid="{552C3CEB-18AD-4DD4-9BB2-4813FF3CA643}"/>
    <cellStyle name="SAPBEXHLevel0X 5 2 7 2" xfId="15755" xr:uid="{A7DF31D9-0A89-4D82-B0BF-722B6E017E71}"/>
    <cellStyle name="SAPBEXHLevel0X 5 2 8" xfId="15756" xr:uid="{868FBD66-55D7-4B0A-8EB3-1C06A8299A41}"/>
    <cellStyle name="SAPBEXHLevel0X 5 2 8 2" xfId="15757" xr:uid="{0322B0E4-028A-4E1D-8407-E42C68135DE4}"/>
    <cellStyle name="SAPBEXHLevel0X 5 2 9" xfId="15758" xr:uid="{D4E148CC-852F-475D-AFB7-F8643BDBC1B2}"/>
    <cellStyle name="SAPBEXHLevel0X 5 2 9 2" xfId="15759" xr:uid="{9A453B8A-D869-4FEB-A02C-3278E984C265}"/>
    <cellStyle name="SAPBEXHLevel0X 5 3" xfId="15760" xr:uid="{31038808-4A2B-4CA0-89E2-121CBBE01D46}"/>
    <cellStyle name="SAPBEXHLevel0X 5 3 10" xfId="15761" xr:uid="{70124763-99D5-428C-8271-BEEA8CC6F0A1}"/>
    <cellStyle name="SAPBEXHLevel0X 5 3 10 2" xfId="15762" xr:uid="{5A715F58-5F30-4750-A4A2-68CDB31721F4}"/>
    <cellStyle name="SAPBEXHLevel0X 5 3 11" xfId="15763" xr:uid="{25E28BA9-8BE8-46EA-ABBB-D72CAE1172E7}"/>
    <cellStyle name="SAPBEXHLevel0X 5 3 11 2" xfId="15764" xr:uid="{F8F56B4D-31E5-401A-B91E-498FE93FFB3F}"/>
    <cellStyle name="SAPBEXHLevel0X 5 3 12" xfId="15765" xr:uid="{9C0E4AD4-39EA-4BED-97D6-30D6DE5F3381}"/>
    <cellStyle name="SAPBEXHLevel0X 5 3 12 2" xfId="15766" xr:uid="{786F6260-F9AC-4983-AC60-09C289CE67D5}"/>
    <cellStyle name="SAPBEXHLevel0X 5 3 13" xfId="15767" xr:uid="{259EF278-161F-4B02-A6C0-CD8BD8D8F44C}"/>
    <cellStyle name="SAPBEXHLevel0X 5 3 13 2" xfId="15768" xr:uid="{42AF2F22-67EB-4655-BC12-F60E345FB5CE}"/>
    <cellStyle name="SAPBEXHLevel0X 5 3 14" xfId="15769" xr:uid="{8B658370-3FC1-4517-A5DF-ACF0ECC6D471}"/>
    <cellStyle name="SAPBEXHLevel0X 5 3 14 2" xfId="15770" xr:uid="{24BF6E4A-72CD-4B66-82B2-57465422387F}"/>
    <cellStyle name="SAPBEXHLevel0X 5 3 15" xfId="15771" xr:uid="{6A8CBB36-CA19-47D1-AD8E-9B602531508D}"/>
    <cellStyle name="SAPBEXHLevel0X 5 3 15 2" xfId="15772" xr:uid="{60163A84-93F8-4E45-9844-81E42A156A1F}"/>
    <cellStyle name="SAPBEXHLevel0X 5 3 16" xfId="15773" xr:uid="{6CC85B57-8CE4-4835-AF4A-DE301F9C1858}"/>
    <cellStyle name="SAPBEXHLevel0X 5 3 2" xfId="15774" xr:uid="{3936AC16-64A4-48F2-83E8-2D5231FE91EB}"/>
    <cellStyle name="SAPBEXHLevel0X 5 3 2 2" xfId="15775" xr:uid="{6F68F155-D09C-40CF-97AE-3D6C250B8B60}"/>
    <cellStyle name="SAPBEXHLevel0X 5 3 3" xfId="15776" xr:uid="{24A7B25E-ABF6-4A75-ABF6-FC3D4E0B82BD}"/>
    <cellStyle name="SAPBEXHLevel0X 5 3 3 2" xfId="15777" xr:uid="{FEF0AC99-B13D-4C41-8276-261BF2BCE529}"/>
    <cellStyle name="SAPBEXHLevel0X 5 3 4" xfId="15778" xr:uid="{7DE692B3-C32F-4F76-AAAF-20C6D13E402C}"/>
    <cellStyle name="SAPBEXHLevel0X 5 3 4 2" xfId="15779" xr:uid="{4B61F1B1-241B-4CF2-ACF2-E8D288733A5D}"/>
    <cellStyle name="SAPBEXHLevel0X 5 3 5" xfId="15780" xr:uid="{A2C8046D-778B-4383-BAEF-C575D806AD8F}"/>
    <cellStyle name="SAPBEXHLevel0X 5 3 5 2" xfId="15781" xr:uid="{50A65C79-313E-43E1-A5E7-AC933FD11541}"/>
    <cellStyle name="SAPBEXHLevel0X 5 3 6" xfId="15782" xr:uid="{07B82FB8-1CE4-4A3A-ACD8-2EF7A8D169B2}"/>
    <cellStyle name="SAPBEXHLevel0X 5 3 6 2" xfId="15783" xr:uid="{CB04961B-DF5E-4A30-8EA0-2AF0133A2ABD}"/>
    <cellStyle name="SAPBEXHLevel0X 5 3 7" xfId="15784" xr:uid="{416136FE-A7B1-4BF2-A23F-32F403E7E17B}"/>
    <cellStyle name="SAPBEXHLevel0X 5 3 7 2" xfId="15785" xr:uid="{2656552E-E25B-41AF-B107-A52CA9F0B61D}"/>
    <cellStyle name="SAPBEXHLevel0X 5 3 8" xfId="15786" xr:uid="{94F0DBB8-5366-4325-BF4A-5F78CF9B4D83}"/>
    <cellStyle name="SAPBEXHLevel0X 5 3 8 2" xfId="15787" xr:uid="{BF6B49CF-41C0-47DB-AF95-4FE730A79781}"/>
    <cellStyle name="SAPBEXHLevel0X 5 3 9" xfId="15788" xr:uid="{B3D7C961-6EB5-41C0-81EA-50158C244EA4}"/>
    <cellStyle name="SAPBEXHLevel0X 5 3 9 2" xfId="15789" xr:uid="{65FF6DF9-C2F7-4661-9EAD-1DF033859215}"/>
    <cellStyle name="SAPBEXHLevel0X 5 4" xfId="15790" xr:uid="{7AA30C58-B70A-4DBD-8481-21C4F9477880}"/>
    <cellStyle name="SAPBEXHLevel0X 5 4 2" xfId="15791" xr:uid="{05B35A87-28D0-4E89-8996-CB8A4A30F45C}"/>
    <cellStyle name="SAPBEXHLevel0X 5 5" xfId="15792" xr:uid="{3729B544-C318-41CA-A499-F60642148233}"/>
    <cellStyle name="SAPBEXHLevel0X 5 5 2" xfId="15793" xr:uid="{D2F67D19-3B04-44FD-930D-30F69643CAD3}"/>
    <cellStyle name="SAPBEXHLevel0X 5 6" xfId="15794" xr:uid="{1717C5CA-AE72-4B6A-A7A8-0E5375008B7F}"/>
    <cellStyle name="SAPBEXHLevel0X 5 6 2" xfId="15795" xr:uid="{1D223852-6294-4C41-A360-7B68C2065DA9}"/>
    <cellStyle name="SAPBEXHLevel0X 5 7" xfId="15796" xr:uid="{56E595A0-20E1-42F0-9A21-7C6EFE60130C}"/>
    <cellStyle name="SAPBEXHLevel0X 5 7 2" xfId="15797" xr:uid="{1553D7FE-E959-474A-A033-16AFD9B65079}"/>
    <cellStyle name="SAPBEXHLevel0X 5 8" xfId="15798" xr:uid="{3292393E-542A-4215-AAF4-08639B1D023D}"/>
    <cellStyle name="SAPBEXHLevel0X 5 8 2" xfId="15799" xr:uid="{CD6829EF-912B-444E-B2F7-E4F23E238DD5}"/>
    <cellStyle name="SAPBEXHLevel0X 5 9" xfId="15800" xr:uid="{1DD4FC0B-D25B-4C1B-827E-59403F3DCF91}"/>
    <cellStyle name="SAPBEXHLevel0X 5 9 2" xfId="15801" xr:uid="{A26834B1-C24A-46BD-974C-542A64E9B9CC}"/>
    <cellStyle name="SAPBEXHLevel0X 6" xfId="15802" xr:uid="{F656515B-11D6-46E7-86CC-82920280792C}"/>
    <cellStyle name="SAPBEXHLevel0X 6 10" xfId="15803" xr:uid="{5EDFFCAC-082A-490E-B973-D9D8296B348C}"/>
    <cellStyle name="SAPBEXHLevel0X 6 10 2" xfId="15804" xr:uid="{49007F55-1F57-4C02-A190-31FA44D405FC}"/>
    <cellStyle name="SAPBEXHLevel0X 6 11" xfId="15805" xr:uid="{B7A12961-6154-4FFA-8033-60D1B78B1FA3}"/>
    <cellStyle name="SAPBEXHLevel0X 6 11 2" xfId="15806" xr:uid="{4B11F105-3135-408F-8128-D868159A7411}"/>
    <cellStyle name="SAPBEXHLevel0X 6 12" xfId="15807" xr:uid="{23B40F7F-E5F4-42C1-954C-0578DDA0C53F}"/>
    <cellStyle name="SAPBEXHLevel0X 6 12 2" xfId="15808" xr:uid="{A28E0AC0-87FA-45D8-88EC-525FA58713A1}"/>
    <cellStyle name="SAPBEXHLevel0X 6 13" xfId="15809" xr:uid="{A83C9FDE-2ED2-4393-B6A9-12C4B3300C0C}"/>
    <cellStyle name="SAPBEXHLevel0X 6 13 2" xfId="15810" xr:uid="{31E1072D-F2D1-4272-AD31-6BA193D74315}"/>
    <cellStyle name="SAPBEXHLevel0X 6 14" xfId="15811" xr:uid="{2D4DABBC-1A37-45EA-B5B1-0E328F1F287A}"/>
    <cellStyle name="SAPBEXHLevel0X 6 14 2" xfId="15812" xr:uid="{2818B1EB-4E90-409B-8689-E3349DA5A09B}"/>
    <cellStyle name="SAPBEXHLevel0X 6 15" xfId="15813" xr:uid="{9140E2B8-807F-45E0-BD16-381314EA12E9}"/>
    <cellStyle name="SAPBEXHLevel0X 6 15 2" xfId="15814" xr:uid="{47700824-BAC5-405F-BC42-6D374738DBB4}"/>
    <cellStyle name="SAPBEXHLevel0X 6 16" xfId="15815" xr:uid="{7D69C408-12E7-404C-9DA5-E255799ECEAA}"/>
    <cellStyle name="SAPBEXHLevel0X 6 2" xfId="15816" xr:uid="{BAD2EFB7-3E61-4CAF-AA13-FAC1E359F2E6}"/>
    <cellStyle name="SAPBEXHLevel0X 6 2 2" xfId="15817" xr:uid="{AF88D444-2806-43B9-8E78-191795BB44E7}"/>
    <cellStyle name="SAPBEXHLevel0X 6 3" xfId="15818" xr:uid="{33808A01-CA78-4BF8-81CD-8DB8DA461EEA}"/>
    <cellStyle name="SAPBEXHLevel0X 6 3 2" xfId="15819" xr:uid="{BDC3C351-5C40-49B8-9B62-62BBAEA1F616}"/>
    <cellStyle name="SAPBEXHLevel0X 6 4" xfId="15820" xr:uid="{17BA06F3-D57C-44CA-8916-EE5AD663904B}"/>
    <cellStyle name="SAPBEXHLevel0X 6 4 2" xfId="15821" xr:uid="{C74DF2A4-862C-4B60-B07E-347710C34A86}"/>
    <cellStyle name="SAPBEXHLevel0X 6 5" xfId="15822" xr:uid="{7F7164BC-5014-4329-9754-E91B887AE29F}"/>
    <cellStyle name="SAPBEXHLevel0X 6 5 2" xfId="15823" xr:uid="{442C6FCD-B74D-45FE-BAFF-264ED0646EC7}"/>
    <cellStyle name="SAPBEXHLevel0X 6 6" xfId="15824" xr:uid="{AA43D9B6-6CC9-464A-805B-3120F1FB7958}"/>
    <cellStyle name="SAPBEXHLevel0X 6 6 2" xfId="15825" xr:uid="{F43D4999-9D90-4E5F-829B-EC04AB6F7EE8}"/>
    <cellStyle name="SAPBEXHLevel0X 6 7" xfId="15826" xr:uid="{9539655B-C160-498F-9EE6-844312385C9B}"/>
    <cellStyle name="SAPBEXHLevel0X 6 7 2" xfId="15827" xr:uid="{E6F5E5F1-6ADF-4BFF-AE28-1A2A258F4ED1}"/>
    <cellStyle name="SAPBEXHLevel0X 6 8" xfId="15828" xr:uid="{CD1EC072-49F6-4E7A-9346-7292BE358452}"/>
    <cellStyle name="SAPBEXHLevel0X 6 8 2" xfId="15829" xr:uid="{086872A6-65B5-4C1D-8676-0B02806BDC9C}"/>
    <cellStyle name="SAPBEXHLevel0X 6 9" xfId="15830" xr:uid="{D861CB0F-19B9-4FA6-ACE2-2F8E95CB024B}"/>
    <cellStyle name="SAPBEXHLevel0X 6 9 2" xfId="15831" xr:uid="{D54E243A-0428-4738-897E-00821C797E23}"/>
    <cellStyle name="SAPBEXHLevel0X 7" xfId="15832" xr:uid="{66A5103A-606B-486C-AB32-63CCEB60CE09}"/>
    <cellStyle name="SAPBEXHLevel0X 7 2" xfId="15833" xr:uid="{8EE08025-CCCB-4A52-9242-BAD1808EAF00}"/>
    <cellStyle name="SAPBEXHLevel0X 8" xfId="15834" xr:uid="{71D3B9D7-E2B5-4AB7-81FD-5D3D7D111A89}"/>
    <cellStyle name="SAPBEXHLevel0X 8 2" xfId="15835" xr:uid="{023CD263-9460-48AF-B39B-706E01AB1E30}"/>
    <cellStyle name="SAPBEXHLevel0X 9" xfId="15836" xr:uid="{17621CF4-6790-4AA9-98D6-FECD22711B4E}"/>
    <cellStyle name="SAPBEXHLevel0X 9 2" xfId="15837" xr:uid="{9242AFB2-59AF-42B3-9126-6893E577F65A}"/>
    <cellStyle name="SAPBEXHLevel0X_T1 ANSP" xfId="15298" xr:uid="{29F7DC7D-77AB-46B0-87E2-D447C5386060}"/>
    <cellStyle name="SAPBEXHLevel1" xfId="748" xr:uid="{00000000-0005-0000-0000-000091050000}"/>
    <cellStyle name="SAPBEXHLevel1 10" xfId="15839" xr:uid="{68510FC8-E51D-406A-AF83-21F2F5773252}"/>
    <cellStyle name="SAPBEXHLevel1 10 2" xfId="15840" xr:uid="{2407B18A-C853-4021-A4F2-3F0DC1B560D6}"/>
    <cellStyle name="SAPBEXHLevel1 11" xfId="15841" xr:uid="{711879E0-4092-4344-8F10-2F72B56CE9A9}"/>
    <cellStyle name="SAPBEXHLevel1 11 2" xfId="15842" xr:uid="{506E0696-FCC8-4B8F-9403-E681A4551C2E}"/>
    <cellStyle name="SAPBEXHLevel1 12" xfId="15843" xr:uid="{0A3B2524-B1B6-4B3B-908A-6ED1CC560620}"/>
    <cellStyle name="SAPBEXHLevel1 12 2" xfId="15844" xr:uid="{B6906223-BFA2-4277-B568-A439744B461B}"/>
    <cellStyle name="SAPBEXHLevel1 13" xfId="15845" xr:uid="{3FD26A07-819F-4696-AC1C-417C912B946C}"/>
    <cellStyle name="SAPBEXHLevel1 13 2" xfId="15846" xr:uid="{6C95DD93-C03F-4A36-A957-B5C3DDF8B504}"/>
    <cellStyle name="SAPBEXHLevel1 14" xfId="15847" xr:uid="{E92B9BCF-62B9-48F9-AB3F-62DDDAA148DF}"/>
    <cellStyle name="SAPBEXHLevel1 14 2" xfId="15848" xr:uid="{C899F387-EB83-47C3-96B2-680FE99C7CD2}"/>
    <cellStyle name="SAPBEXHLevel1 15" xfId="15849" xr:uid="{07FF1E73-BABB-4905-ACB1-6FA627D8660D}"/>
    <cellStyle name="SAPBEXHLevel1 15 2" xfId="15850" xr:uid="{34010A0E-6F91-4EA9-8E35-8C39924B0C16}"/>
    <cellStyle name="SAPBEXHLevel1 16" xfId="15851" xr:uid="{E1560D85-8C72-4753-B695-172896B62FB3}"/>
    <cellStyle name="SAPBEXHLevel1 16 2" xfId="15852" xr:uid="{7CB3AB98-0BA4-4DD1-B466-C45297055805}"/>
    <cellStyle name="SAPBEXHLevel1 17" xfId="15853" xr:uid="{A2822E96-7FE0-4EAD-B6D3-EBE11ED835AC}"/>
    <cellStyle name="SAPBEXHLevel1 17 2" xfId="15854" xr:uid="{E76FFA4B-0DDD-41B4-B2A8-A21EF1460F6D}"/>
    <cellStyle name="SAPBEXHLevel1 18" xfId="15855" xr:uid="{16CF21F3-81DB-4449-9308-623B07E50A1C}"/>
    <cellStyle name="SAPBEXHLevel1 18 2" xfId="15856" xr:uid="{8A48A213-73D7-4507-A50E-179FDE7C1142}"/>
    <cellStyle name="SAPBEXHLevel1 19" xfId="15857" xr:uid="{E2D29A14-202E-4748-9013-377D1E67D7A2}"/>
    <cellStyle name="SAPBEXHLevel1 19 2" xfId="15858" xr:uid="{58882F36-632E-44FF-869F-33B8D50C222F}"/>
    <cellStyle name="SAPBEXHLevel1 2" xfId="1562" xr:uid="{00000000-0005-0000-0000-000092050000}"/>
    <cellStyle name="SAPBEXHLevel1 2 10" xfId="15860" xr:uid="{A7578E00-34DA-47CA-AA3A-8AAB86CCCA7D}"/>
    <cellStyle name="SAPBEXHLevel1 2 10 2" xfId="15861" xr:uid="{F1205108-C0E1-424F-B875-24D08340706B}"/>
    <cellStyle name="SAPBEXHLevel1 2 11" xfId="15862" xr:uid="{9613FB68-F8C2-446F-85C3-0780A72DA659}"/>
    <cellStyle name="SAPBEXHLevel1 2 11 2" xfId="15863" xr:uid="{E749EF7E-DE6E-4566-A74C-F47338237088}"/>
    <cellStyle name="SAPBEXHLevel1 2 12" xfId="15864" xr:uid="{413714B9-F7F9-48D2-92A0-37F63CF9AF5E}"/>
    <cellStyle name="SAPBEXHLevel1 2 12 2" xfId="15865" xr:uid="{E567E118-F9D2-45AE-8FB7-1BBF51E9C0D3}"/>
    <cellStyle name="SAPBEXHLevel1 2 13" xfId="15866" xr:uid="{99C266C0-1C31-4350-9A9A-484863AF0B1A}"/>
    <cellStyle name="SAPBEXHLevel1 2 13 2" xfId="15867" xr:uid="{62376B89-E1F6-437A-B0AF-CBD517938707}"/>
    <cellStyle name="SAPBEXHLevel1 2 14" xfId="15868" xr:uid="{FE2C7771-9F9B-4D76-91DF-F52333E96386}"/>
    <cellStyle name="SAPBEXHLevel1 2 14 2" xfId="15869" xr:uid="{D7E89DBF-7E1B-4DC9-8BDB-F3988BDCE049}"/>
    <cellStyle name="SAPBEXHLevel1 2 15" xfId="15870" xr:uid="{DF9578CB-589C-4B9A-ACFA-88B8E2619F62}"/>
    <cellStyle name="SAPBEXHLevel1 2 15 2" xfId="15871" xr:uid="{56E5D616-39DC-40D3-BF72-557D57138090}"/>
    <cellStyle name="SAPBEXHLevel1 2 16" xfId="15872" xr:uid="{A85AB2D0-B38B-4EFC-97FA-842F9F1E5C4B}"/>
    <cellStyle name="SAPBEXHLevel1 2 16 2" xfId="15873" xr:uid="{80A0AC09-894F-4389-A908-6155C3720D9C}"/>
    <cellStyle name="SAPBEXHLevel1 2 17" xfId="15874" xr:uid="{D1686400-248A-4BCB-9C31-5359B968C7E5}"/>
    <cellStyle name="SAPBEXHLevel1 2 17 2" xfId="15875" xr:uid="{5A840241-6E41-45FF-8D7F-058381E035A8}"/>
    <cellStyle name="SAPBEXHLevel1 2 18" xfId="15876" xr:uid="{6C28A352-F4A3-4B95-BD2F-7C6427C9087F}"/>
    <cellStyle name="SAPBEXHLevel1 2 18 2" xfId="15877" xr:uid="{9CBA62C0-8D14-4731-965D-126B79075250}"/>
    <cellStyle name="SAPBEXHLevel1 2 2" xfId="15878" xr:uid="{5A0C5B5E-AAD9-47A7-AC16-8C629C1DFE4E}"/>
    <cellStyle name="SAPBEXHLevel1 2 2 10" xfId="15879" xr:uid="{312B0FD4-32C5-4E85-9923-CC42ABD3ACBB}"/>
    <cellStyle name="SAPBEXHLevel1 2 2 10 2" xfId="15880" xr:uid="{114D0923-F9C3-4CBC-B7B3-9833258314EA}"/>
    <cellStyle name="SAPBEXHLevel1 2 2 11" xfId="15881" xr:uid="{5157272B-14C1-47A3-887A-5E5AE851707E}"/>
    <cellStyle name="SAPBEXHLevel1 2 2 11 2" xfId="15882" xr:uid="{0B413EFC-4D7B-42E9-8A8B-22DE38427FB2}"/>
    <cellStyle name="SAPBEXHLevel1 2 2 12" xfId="15883" xr:uid="{C1623C4D-9E58-4AE4-9D29-6240ABF1E368}"/>
    <cellStyle name="SAPBEXHLevel1 2 2 12 2" xfId="15884" xr:uid="{D9ED9006-8A7C-4072-97DB-930AA663D9C0}"/>
    <cellStyle name="SAPBEXHLevel1 2 2 13" xfId="15885" xr:uid="{F406DCC1-0CC9-4EB8-8938-DC4A86F661A2}"/>
    <cellStyle name="SAPBEXHLevel1 2 2 13 2" xfId="15886" xr:uid="{14E1DF10-2C0B-488D-9A80-0AD1B26F15DA}"/>
    <cellStyle name="SAPBEXHLevel1 2 2 14" xfId="15887" xr:uid="{7D7E07B0-7829-45F4-869B-F7E1B5E17E73}"/>
    <cellStyle name="SAPBEXHLevel1 2 2 14 2" xfId="15888" xr:uid="{5CCE4359-6BCF-40B3-8BFA-2899239A8CC9}"/>
    <cellStyle name="SAPBEXHLevel1 2 2 15" xfId="15889" xr:uid="{3BC40F4F-7372-4FD0-8631-7FA5E79C3B59}"/>
    <cellStyle name="SAPBEXHLevel1 2 2 15 2" xfId="15890" xr:uid="{576D3C21-1F89-4618-BD6D-AB1C51D2AEF5}"/>
    <cellStyle name="SAPBEXHLevel1 2 2 16" xfId="15891" xr:uid="{779B0BAD-7477-4EFC-820D-8E1CAD17DAA0}"/>
    <cellStyle name="SAPBEXHLevel1 2 2 16 2" xfId="15892" xr:uid="{EE271433-FEDA-4628-9D3B-4B18542424A2}"/>
    <cellStyle name="SAPBEXHLevel1 2 2 17" xfId="15893" xr:uid="{5737909A-7582-4A24-A35B-38DA7BDE57EB}"/>
    <cellStyle name="SAPBEXHLevel1 2 2 17 2" xfId="15894" xr:uid="{DBD0C0FA-9F7E-4752-8E24-25502F3BF93F}"/>
    <cellStyle name="SAPBEXHLevel1 2 2 2" xfId="15895" xr:uid="{A4EA695A-6943-4BAF-8391-149BAD19FB1B}"/>
    <cellStyle name="SAPBEXHLevel1 2 2 2 10" xfId="15896" xr:uid="{02DCFF65-6E11-4452-8526-7F27B02A7BA5}"/>
    <cellStyle name="SAPBEXHLevel1 2 2 2 10 2" xfId="15897" xr:uid="{A4563431-AD16-4AE8-B494-C701ED20E6A6}"/>
    <cellStyle name="SAPBEXHLevel1 2 2 2 11" xfId="15898" xr:uid="{9BC8C626-61BF-4183-9A1D-603E2A139BF6}"/>
    <cellStyle name="SAPBEXHLevel1 2 2 2 11 2" xfId="15899" xr:uid="{41AB3F2E-DF0E-4E3B-90E8-D3DFB67B05BA}"/>
    <cellStyle name="SAPBEXHLevel1 2 2 2 12" xfId="15900" xr:uid="{ED57B629-D847-4C7E-B6DF-6BF85280F6FB}"/>
    <cellStyle name="SAPBEXHLevel1 2 2 2 12 2" xfId="15901" xr:uid="{8B890752-A606-4C19-A995-B0E7C21A8ACA}"/>
    <cellStyle name="SAPBEXHLevel1 2 2 2 13" xfId="15902" xr:uid="{EEF11A06-2BC4-46C7-BA16-6A7DA8A84C7A}"/>
    <cellStyle name="SAPBEXHLevel1 2 2 2 13 2" xfId="15903" xr:uid="{B385C2A7-FD78-4102-AF88-675A4CB73403}"/>
    <cellStyle name="SAPBEXHLevel1 2 2 2 14" xfId="15904" xr:uid="{4628976B-9B69-481A-B0F0-67CD926F4D0E}"/>
    <cellStyle name="SAPBEXHLevel1 2 2 2 14 2" xfId="15905" xr:uid="{505D3A53-AA09-4502-B1B1-9FE9B4BD1031}"/>
    <cellStyle name="SAPBEXHLevel1 2 2 2 15" xfId="15906" xr:uid="{1EE58D37-E031-4584-BBC0-AC9F22D27005}"/>
    <cellStyle name="SAPBEXHLevel1 2 2 2 15 2" xfId="15907" xr:uid="{D92E435A-5EDD-4208-A6C3-0B513DDE7454}"/>
    <cellStyle name="SAPBEXHLevel1 2 2 2 2" xfId="15908" xr:uid="{F409FCC3-EAE0-40CB-B0D9-5A0BC6088B8A}"/>
    <cellStyle name="SAPBEXHLevel1 2 2 2 2 2" xfId="15909" xr:uid="{D958D900-7ED1-43EA-8A52-8726583A2549}"/>
    <cellStyle name="SAPBEXHLevel1 2 2 2 3" xfId="15910" xr:uid="{B1162491-2197-4B69-BDD1-117E015B262B}"/>
    <cellStyle name="SAPBEXHLevel1 2 2 2 3 2" xfId="15911" xr:uid="{0D643A0F-E251-4684-8574-A46B340F9EBA}"/>
    <cellStyle name="SAPBEXHLevel1 2 2 2 4" xfId="15912" xr:uid="{4D499FCB-B843-42BE-B4F6-2279B3B4E0CE}"/>
    <cellStyle name="SAPBEXHLevel1 2 2 2 4 2" xfId="15913" xr:uid="{B6523AAB-F95F-4633-B761-3B79A6505560}"/>
    <cellStyle name="SAPBEXHLevel1 2 2 2 5" xfId="15914" xr:uid="{E8C90833-2291-488B-AD8E-F942469CE36D}"/>
    <cellStyle name="SAPBEXHLevel1 2 2 2 5 2" xfId="15915" xr:uid="{60CD089E-5ECF-43E9-BBFF-A9BA01795A8C}"/>
    <cellStyle name="SAPBEXHLevel1 2 2 2 6" xfId="15916" xr:uid="{446D2A11-3284-46F8-80B9-169A46A195FB}"/>
    <cellStyle name="SAPBEXHLevel1 2 2 2 6 2" xfId="15917" xr:uid="{4BA685A7-452F-425E-9EF7-548A833B9357}"/>
    <cellStyle name="SAPBEXHLevel1 2 2 2 7" xfId="15918" xr:uid="{C94421C9-231D-443F-B8B7-8300F279E5CB}"/>
    <cellStyle name="SAPBEXHLevel1 2 2 2 7 2" xfId="15919" xr:uid="{10482444-2F9A-41F5-BA9F-6C6B8BBEB321}"/>
    <cellStyle name="SAPBEXHLevel1 2 2 2 8" xfId="15920" xr:uid="{45E91398-352B-42EE-A93B-C92BDD7E8BE8}"/>
    <cellStyle name="SAPBEXHLevel1 2 2 2 8 2" xfId="15921" xr:uid="{22DB9375-8FC9-4861-9691-CE590F3AC537}"/>
    <cellStyle name="SAPBEXHLevel1 2 2 2 9" xfId="15922" xr:uid="{C7131894-C804-4182-9C43-25EA42638867}"/>
    <cellStyle name="SAPBEXHLevel1 2 2 2 9 2" xfId="15923" xr:uid="{EF3BF9F9-6117-4C38-A061-34D38ABAEB3C}"/>
    <cellStyle name="SAPBEXHLevel1 2 2 3" xfId="15924" xr:uid="{AD89BBD7-FB93-4B51-AD22-3144C8887E35}"/>
    <cellStyle name="SAPBEXHLevel1 2 2 3 10" xfId="15925" xr:uid="{279DE9B2-CEC7-4F29-8A07-3F5DDB3A6D13}"/>
    <cellStyle name="SAPBEXHLevel1 2 2 3 10 2" xfId="15926" xr:uid="{F37D04AF-8254-4701-9509-27A87862A3A6}"/>
    <cellStyle name="SAPBEXHLevel1 2 2 3 11" xfId="15927" xr:uid="{AD3A4D0F-E371-4908-98FA-1C3CA2DCA92A}"/>
    <cellStyle name="SAPBEXHLevel1 2 2 3 11 2" xfId="15928" xr:uid="{374C20E7-958F-4889-8A99-6EE839B52200}"/>
    <cellStyle name="SAPBEXHLevel1 2 2 3 12" xfId="15929" xr:uid="{7CECED92-552C-4830-B414-6D06E444E063}"/>
    <cellStyle name="SAPBEXHLevel1 2 2 3 12 2" xfId="15930" xr:uid="{65AA7C1F-743C-42F6-8960-4FE0102B1972}"/>
    <cellStyle name="SAPBEXHLevel1 2 2 3 13" xfId="15931" xr:uid="{2290CC48-F778-42B3-AD5F-D30A9B8ED683}"/>
    <cellStyle name="SAPBEXHLevel1 2 2 3 13 2" xfId="15932" xr:uid="{44B53051-C046-4046-9AA0-93BEFF75D01A}"/>
    <cellStyle name="SAPBEXHLevel1 2 2 3 14" xfId="15933" xr:uid="{2C4D5F6D-3E0A-4315-8B10-410E744AFC58}"/>
    <cellStyle name="SAPBEXHLevel1 2 2 3 14 2" xfId="15934" xr:uid="{18DECFAE-B1E0-4420-B2CC-127B01476780}"/>
    <cellStyle name="SAPBEXHLevel1 2 2 3 15" xfId="15935" xr:uid="{BC79A371-5DEB-4CA1-8E48-35E3967EF20E}"/>
    <cellStyle name="SAPBEXHLevel1 2 2 3 15 2" xfId="15936" xr:uid="{2094E83F-4E46-49C2-BA52-9BB5E345033F}"/>
    <cellStyle name="SAPBEXHLevel1 2 2 3 2" xfId="15937" xr:uid="{84F28BDA-8B46-401B-B886-0C5435EE25CB}"/>
    <cellStyle name="SAPBEXHLevel1 2 2 3 2 2" xfId="15938" xr:uid="{0443160B-A8F0-440D-93BA-10AE6C855879}"/>
    <cellStyle name="SAPBEXHLevel1 2 2 3 3" xfId="15939" xr:uid="{5AEBBB27-B285-4A10-8725-83C82FC067CE}"/>
    <cellStyle name="SAPBEXHLevel1 2 2 3 3 2" xfId="15940" xr:uid="{7F07B138-37F7-45EE-827C-EF7E73852315}"/>
    <cellStyle name="SAPBEXHLevel1 2 2 3 4" xfId="15941" xr:uid="{12D5A9EA-E4F3-4BBB-A51D-89E8753ACEBF}"/>
    <cellStyle name="SAPBEXHLevel1 2 2 3 4 2" xfId="15942" xr:uid="{B53E4458-2D46-4DF8-B178-D158CAC5A30C}"/>
    <cellStyle name="SAPBEXHLevel1 2 2 3 5" xfId="15943" xr:uid="{B4A6DF50-4E6E-4CD8-9134-427E5F5D4642}"/>
    <cellStyle name="SAPBEXHLevel1 2 2 3 5 2" xfId="15944" xr:uid="{D7CCDF83-EDFD-4C9D-A6C5-ED256D38006C}"/>
    <cellStyle name="SAPBEXHLevel1 2 2 3 6" xfId="15945" xr:uid="{DE40E066-17F0-421A-A175-212DF609AA16}"/>
    <cellStyle name="SAPBEXHLevel1 2 2 3 6 2" xfId="15946" xr:uid="{9CAEB6CD-CC3A-4CB8-9E3B-A87273CA11AC}"/>
    <cellStyle name="SAPBEXHLevel1 2 2 3 7" xfId="15947" xr:uid="{6D255808-9540-4967-8C78-38342384DC92}"/>
    <cellStyle name="SAPBEXHLevel1 2 2 3 7 2" xfId="15948" xr:uid="{0C057EC1-7141-46C2-8A04-74D4DD266BF7}"/>
    <cellStyle name="SAPBEXHLevel1 2 2 3 8" xfId="15949" xr:uid="{E26D6D73-574A-4881-8B44-3A683C5F8873}"/>
    <cellStyle name="SAPBEXHLevel1 2 2 3 8 2" xfId="15950" xr:uid="{471F1E28-9F68-4110-A101-458C885A0409}"/>
    <cellStyle name="SAPBEXHLevel1 2 2 3 9" xfId="15951" xr:uid="{446DD6FC-70A0-4554-8EEE-DFDCF2DE7C55}"/>
    <cellStyle name="SAPBEXHLevel1 2 2 3 9 2" xfId="15952" xr:uid="{A2DA98C1-1AE7-4CE8-85AF-C87DA53C77A0}"/>
    <cellStyle name="SAPBEXHLevel1 2 2 4" xfId="15953" xr:uid="{B32971A3-8941-41E7-BE51-B5534CA37BA8}"/>
    <cellStyle name="SAPBEXHLevel1 2 2 4 2" xfId="15954" xr:uid="{9B65674C-480C-4933-8C36-0E4112AEE784}"/>
    <cellStyle name="SAPBEXHLevel1 2 2 5" xfId="15955" xr:uid="{E44F8692-1A3B-4DE4-8C12-61C60A494D84}"/>
    <cellStyle name="SAPBEXHLevel1 2 2 5 2" xfId="15956" xr:uid="{87E6DA41-3464-432E-94CD-4D47E8D5316E}"/>
    <cellStyle name="SAPBEXHLevel1 2 2 6" xfId="15957" xr:uid="{74C8531C-E3ED-4E6D-A71F-6B23D8CB6B3A}"/>
    <cellStyle name="SAPBEXHLevel1 2 2 6 2" xfId="15958" xr:uid="{5C59AA56-3C6C-4605-9F5F-E03451AD2E68}"/>
    <cellStyle name="SAPBEXHLevel1 2 2 7" xfId="15959" xr:uid="{D7E68CEC-4DC7-4EB3-BCFB-3FE3A359DF0E}"/>
    <cellStyle name="SAPBEXHLevel1 2 2 7 2" xfId="15960" xr:uid="{1DFAC925-7A9E-4407-BCC1-9F18D69D1E99}"/>
    <cellStyle name="SAPBEXHLevel1 2 2 8" xfId="15961" xr:uid="{2CD908B0-1F58-4994-850D-E9C902C48485}"/>
    <cellStyle name="SAPBEXHLevel1 2 2 8 2" xfId="15962" xr:uid="{6CB15CA8-1AB3-49E5-8067-0406DE42EDDB}"/>
    <cellStyle name="SAPBEXHLevel1 2 2 9" xfId="15963" xr:uid="{FABC211C-18F3-44F3-8226-8038ED3CA619}"/>
    <cellStyle name="SAPBEXHLevel1 2 2 9 2" xfId="15964" xr:uid="{DED08BFD-4099-4E16-893B-580AA09F160C}"/>
    <cellStyle name="SAPBEXHLevel1 2 3" xfId="15965" xr:uid="{BCC36BA4-4FC6-43FD-BFEB-9FAB3481173B}"/>
    <cellStyle name="SAPBEXHLevel1 2 3 10" xfId="15966" xr:uid="{2758FE3C-4305-4C15-8D3C-28DD0D7F1B51}"/>
    <cellStyle name="SAPBEXHLevel1 2 3 10 2" xfId="15967" xr:uid="{AF6F30E5-3F16-4639-A00A-3FDFEF471DF2}"/>
    <cellStyle name="SAPBEXHLevel1 2 3 11" xfId="15968" xr:uid="{11624C73-BE4D-4CB5-AF5C-E2DAA841D4A8}"/>
    <cellStyle name="SAPBEXHLevel1 2 3 11 2" xfId="15969" xr:uid="{1F24E587-30A0-41CB-834C-38F51DF2685B}"/>
    <cellStyle name="SAPBEXHLevel1 2 3 12" xfId="15970" xr:uid="{FAA01806-C392-479B-A5F2-4FB204ECDC9A}"/>
    <cellStyle name="SAPBEXHLevel1 2 3 12 2" xfId="15971" xr:uid="{55D5DD2D-F9CE-4B54-BDB0-2380ED52A2E8}"/>
    <cellStyle name="SAPBEXHLevel1 2 3 13" xfId="15972" xr:uid="{46EC4FAD-E172-4ABF-A2DE-468A43B4B163}"/>
    <cellStyle name="SAPBEXHLevel1 2 3 13 2" xfId="15973" xr:uid="{7343CC08-5CEC-4482-AC01-8345CD7F885B}"/>
    <cellStyle name="SAPBEXHLevel1 2 3 14" xfId="15974" xr:uid="{61BF0EB1-73F2-4CC4-8EFB-48C6011E8717}"/>
    <cellStyle name="SAPBEXHLevel1 2 3 14 2" xfId="15975" xr:uid="{53B4210E-522A-46E9-919C-4DD3AC094A71}"/>
    <cellStyle name="SAPBEXHLevel1 2 3 15" xfId="15976" xr:uid="{DDB6A1E0-32C1-4B5A-8619-6C6A9F11D354}"/>
    <cellStyle name="SAPBEXHLevel1 2 3 15 2" xfId="15977" xr:uid="{8E7FA7F9-25F8-452E-A0FC-8CBC41F11C63}"/>
    <cellStyle name="SAPBEXHLevel1 2 3 16" xfId="15978" xr:uid="{13CE022B-B1E1-4063-B227-2C3FDA073AF4}"/>
    <cellStyle name="SAPBEXHLevel1 2 3 16 2" xfId="15979" xr:uid="{9CB1B3BD-17A2-4883-B3C4-0A427FCF47E9}"/>
    <cellStyle name="SAPBEXHLevel1 2 3 17" xfId="15980" xr:uid="{A6CCF79D-AC90-4AB4-B0D5-40EBD6806ECE}"/>
    <cellStyle name="SAPBEXHLevel1 2 3 17 2" xfId="15981" xr:uid="{F5DB9D86-FDAD-40E3-B5AE-576A03E230D6}"/>
    <cellStyle name="SAPBEXHLevel1 2 3 2" xfId="15982" xr:uid="{594FF0A3-A157-447E-B24D-B7FE43C8E03F}"/>
    <cellStyle name="SAPBEXHLevel1 2 3 2 10" xfId="15983" xr:uid="{ECC777F1-4341-4DAA-9742-E2D442F025C5}"/>
    <cellStyle name="SAPBEXHLevel1 2 3 2 10 2" xfId="15984" xr:uid="{84D4AF2D-4E5F-45B1-92ED-0D81FF6F3905}"/>
    <cellStyle name="SAPBEXHLevel1 2 3 2 11" xfId="15985" xr:uid="{2DFF9D6A-9E5A-4D68-B705-F7E2547596EC}"/>
    <cellStyle name="SAPBEXHLevel1 2 3 2 11 2" xfId="15986" xr:uid="{C986E991-23C7-42EF-9D5B-FF45BE43F0D7}"/>
    <cellStyle name="SAPBEXHLevel1 2 3 2 12" xfId="15987" xr:uid="{CD4E02F0-7D40-4E9F-ABA9-263666FCE193}"/>
    <cellStyle name="SAPBEXHLevel1 2 3 2 12 2" xfId="15988" xr:uid="{58544FE0-47F8-4E69-8135-0D2C2DB4738C}"/>
    <cellStyle name="SAPBEXHLevel1 2 3 2 13" xfId="15989" xr:uid="{D5F7E6C5-AB5A-41C6-9CFA-67C88B93BFFC}"/>
    <cellStyle name="SAPBEXHLevel1 2 3 2 13 2" xfId="15990" xr:uid="{BB7FEF8C-9ADB-4D90-92CA-7D4AB4A00BC1}"/>
    <cellStyle name="SAPBEXHLevel1 2 3 2 14" xfId="15991" xr:uid="{3E77614E-B4C8-43E8-819B-986FF8376831}"/>
    <cellStyle name="SAPBEXHLevel1 2 3 2 14 2" xfId="15992" xr:uid="{BDA0EEA9-7CE1-4B84-BFA0-52C8F15AF375}"/>
    <cellStyle name="SAPBEXHLevel1 2 3 2 15" xfId="15993" xr:uid="{4393B042-1ADF-47BD-BD6D-98E7D9061D6A}"/>
    <cellStyle name="SAPBEXHLevel1 2 3 2 15 2" xfId="15994" xr:uid="{09D8677D-ED66-475F-BFB6-59367BED7BCD}"/>
    <cellStyle name="SAPBEXHLevel1 2 3 2 2" xfId="15995" xr:uid="{6022DAE3-9907-4EEA-80F3-7025D3153FCA}"/>
    <cellStyle name="SAPBEXHLevel1 2 3 2 2 2" xfId="15996" xr:uid="{9667DA17-5DB3-4838-AE8A-3202D1DFE4FB}"/>
    <cellStyle name="SAPBEXHLevel1 2 3 2 3" xfId="15997" xr:uid="{6E38378B-95F3-46C1-927E-5DBF2225F472}"/>
    <cellStyle name="SAPBEXHLevel1 2 3 2 3 2" xfId="15998" xr:uid="{503BC5DA-1D0F-48B3-A051-00AA3B452060}"/>
    <cellStyle name="SAPBEXHLevel1 2 3 2 4" xfId="15999" xr:uid="{CB1F6B09-B5A7-4449-90F8-599EC37B0501}"/>
    <cellStyle name="SAPBEXHLevel1 2 3 2 4 2" xfId="16000" xr:uid="{10D40C0B-BC2A-4D17-9F7F-CF77C43C0682}"/>
    <cellStyle name="SAPBEXHLevel1 2 3 2 5" xfId="16001" xr:uid="{EDDA66F8-E423-411C-9BB5-6C65FCAA3B2F}"/>
    <cellStyle name="SAPBEXHLevel1 2 3 2 5 2" xfId="16002" xr:uid="{8A37DA1C-350A-4448-9526-CEF8E5E1375A}"/>
    <cellStyle name="SAPBEXHLevel1 2 3 2 6" xfId="16003" xr:uid="{21ED841D-4FBE-4F25-B332-57714747C4A1}"/>
    <cellStyle name="SAPBEXHLevel1 2 3 2 6 2" xfId="16004" xr:uid="{CCFBBA9D-80DD-4875-8740-84AD6773A5B1}"/>
    <cellStyle name="SAPBEXHLevel1 2 3 2 7" xfId="16005" xr:uid="{60E76C6E-BF50-47C9-95F0-63EB80B4BA99}"/>
    <cellStyle name="SAPBEXHLevel1 2 3 2 7 2" xfId="16006" xr:uid="{866E6FF6-D6A9-43F5-91B2-809C433DCF09}"/>
    <cellStyle name="SAPBEXHLevel1 2 3 2 8" xfId="16007" xr:uid="{BDBF9A4B-6290-40E0-9DC3-6685EAB4E52F}"/>
    <cellStyle name="SAPBEXHLevel1 2 3 2 8 2" xfId="16008" xr:uid="{9A8B3FAA-AE5B-438C-95AB-8D9986E2DBE5}"/>
    <cellStyle name="SAPBEXHLevel1 2 3 2 9" xfId="16009" xr:uid="{0F0F63E3-64D0-4B2C-9047-65C5321864F7}"/>
    <cellStyle name="SAPBEXHLevel1 2 3 2 9 2" xfId="16010" xr:uid="{AC896D6B-1692-4C44-A6EB-A152D762231B}"/>
    <cellStyle name="SAPBEXHLevel1 2 3 3" xfId="16011" xr:uid="{C545CE85-FD99-4FB0-892A-08700F2E4DF9}"/>
    <cellStyle name="SAPBEXHLevel1 2 3 3 10" xfId="16012" xr:uid="{427E8C7A-D941-4978-A687-4D1AE3C32FBA}"/>
    <cellStyle name="SAPBEXHLevel1 2 3 3 10 2" xfId="16013" xr:uid="{F308D846-EC16-4ABA-9962-6C1D312B5CF7}"/>
    <cellStyle name="SAPBEXHLevel1 2 3 3 11" xfId="16014" xr:uid="{F89F9457-B6ED-4C56-A0B7-EC508CC67646}"/>
    <cellStyle name="SAPBEXHLevel1 2 3 3 11 2" xfId="16015" xr:uid="{6EB312C5-4AF7-48F1-B5EF-4D923E7A123E}"/>
    <cellStyle name="SAPBEXHLevel1 2 3 3 12" xfId="16016" xr:uid="{A96352D8-36F7-4C9E-BB94-DCF43C068EE7}"/>
    <cellStyle name="SAPBEXHLevel1 2 3 3 12 2" xfId="16017" xr:uid="{74CD6327-FD6A-4A59-80CF-50EE9D860EC6}"/>
    <cellStyle name="SAPBEXHLevel1 2 3 3 13" xfId="16018" xr:uid="{8C49E525-A98C-4365-BA6B-75733FBBDC44}"/>
    <cellStyle name="SAPBEXHLevel1 2 3 3 13 2" xfId="16019" xr:uid="{6AF24913-2B2C-433D-91FD-D965FFA05232}"/>
    <cellStyle name="SAPBEXHLevel1 2 3 3 14" xfId="16020" xr:uid="{313FC611-8902-47B3-99BE-F2E7FB1446C3}"/>
    <cellStyle name="SAPBEXHLevel1 2 3 3 14 2" xfId="16021" xr:uid="{EB74CBAE-3D36-47A9-870C-861BB8D4211B}"/>
    <cellStyle name="SAPBEXHLevel1 2 3 3 15" xfId="16022" xr:uid="{1EA0BB67-CA7B-473A-AC72-82418E8BCC1C}"/>
    <cellStyle name="SAPBEXHLevel1 2 3 3 15 2" xfId="16023" xr:uid="{B2CD8030-8781-4C79-B6CE-D046A90A2FEF}"/>
    <cellStyle name="SAPBEXHLevel1 2 3 3 2" xfId="16024" xr:uid="{098980B8-5AD7-4C4C-AD89-7ADF899244A0}"/>
    <cellStyle name="SAPBEXHLevel1 2 3 3 2 2" xfId="16025" xr:uid="{7C18F90A-FBB9-4765-8D93-FB8A832D9BDA}"/>
    <cellStyle name="SAPBEXHLevel1 2 3 3 3" xfId="16026" xr:uid="{4480E884-CF7D-440D-93D6-D5F7EACA209D}"/>
    <cellStyle name="SAPBEXHLevel1 2 3 3 3 2" xfId="16027" xr:uid="{930FC205-7056-4538-BBF8-A4DB184B1281}"/>
    <cellStyle name="SAPBEXHLevel1 2 3 3 4" xfId="16028" xr:uid="{CDCEDCA5-19AE-41F5-8D72-6984D540D279}"/>
    <cellStyle name="SAPBEXHLevel1 2 3 3 4 2" xfId="16029" xr:uid="{80548931-DD23-461D-924A-BE11E05BDD8D}"/>
    <cellStyle name="SAPBEXHLevel1 2 3 3 5" xfId="16030" xr:uid="{BE28DC5E-D65A-4549-AB1C-6EB047D77794}"/>
    <cellStyle name="SAPBEXHLevel1 2 3 3 5 2" xfId="16031" xr:uid="{18B73B11-556D-4DBC-9BB9-475A15D382F6}"/>
    <cellStyle name="SAPBEXHLevel1 2 3 3 6" xfId="16032" xr:uid="{3D620B6D-F25E-493B-B62A-C4B4FFEEFF76}"/>
    <cellStyle name="SAPBEXHLevel1 2 3 3 6 2" xfId="16033" xr:uid="{6E7F1A24-0781-455D-AF9D-05A4638D2D9F}"/>
    <cellStyle name="SAPBEXHLevel1 2 3 3 7" xfId="16034" xr:uid="{54E6DDD8-C768-431E-9F43-6F6FB222E795}"/>
    <cellStyle name="SAPBEXHLevel1 2 3 3 7 2" xfId="16035" xr:uid="{7CF3CACC-FC75-410C-B01E-C95498AE1704}"/>
    <cellStyle name="SAPBEXHLevel1 2 3 3 8" xfId="16036" xr:uid="{CC3887C2-DF14-4F50-9013-1A4B3CD1E577}"/>
    <cellStyle name="SAPBEXHLevel1 2 3 3 8 2" xfId="16037" xr:uid="{69A96F71-3DBF-4165-B63F-043DB52B1462}"/>
    <cellStyle name="SAPBEXHLevel1 2 3 3 9" xfId="16038" xr:uid="{55715563-AA32-483F-912D-ED11499E0C3A}"/>
    <cellStyle name="SAPBEXHLevel1 2 3 3 9 2" xfId="16039" xr:uid="{74DD4586-3664-4FC1-9845-2ADF2FB66C13}"/>
    <cellStyle name="SAPBEXHLevel1 2 3 4" xfId="16040" xr:uid="{04A9E0A7-4DC7-4EE6-8835-1471D85828F9}"/>
    <cellStyle name="SAPBEXHLevel1 2 3 4 2" xfId="16041" xr:uid="{207D26B8-48F7-46BF-A096-ED830D266A1E}"/>
    <cellStyle name="SAPBEXHLevel1 2 3 5" xfId="16042" xr:uid="{71A0F51C-5C50-4E84-AE85-D8F0B15E889B}"/>
    <cellStyle name="SAPBEXHLevel1 2 3 5 2" xfId="16043" xr:uid="{1B527560-D706-4BA9-B797-A38B4436E918}"/>
    <cellStyle name="SAPBEXHLevel1 2 3 6" xfId="16044" xr:uid="{1ED52951-D8DF-4BF3-9BBE-B3EECD954939}"/>
    <cellStyle name="SAPBEXHLevel1 2 3 6 2" xfId="16045" xr:uid="{5D6E83FE-AAD8-4A03-8C9C-5C1A33B484F7}"/>
    <cellStyle name="SAPBEXHLevel1 2 3 7" xfId="16046" xr:uid="{638F51F4-FC13-4EEB-AAD7-61BB141C2914}"/>
    <cellStyle name="SAPBEXHLevel1 2 3 7 2" xfId="16047" xr:uid="{34EAEB4D-5C89-4BAB-902C-F4DF9BB469B6}"/>
    <cellStyle name="SAPBEXHLevel1 2 3 8" xfId="16048" xr:uid="{020161AD-3FF0-4A87-8515-7B6AE204CB1B}"/>
    <cellStyle name="SAPBEXHLevel1 2 3 8 2" xfId="16049" xr:uid="{3F5F674E-F916-4DD3-8AD2-87BF8D5D084D}"/>
    <cellStyle name="SAPBEXHLevel1 2 3 9" xfId="16050" xr:uid="{2A85ECDA-09B3-4B71-A982-CBBD84117C5D}"/>
    <cellStyle name="SAPBEXHLevel1 2 3 9 2" xfId="16051" xr:uid="{08738C5E-E089-44E4-87EB-B561B4B73580}"/>
    <cellStyle name="SAPBEXHLevel1 2 4" xfId="16052" xr:uid="{FB94B0A3-CF89-44A0-A89E-98CF9524FC44}"/>
    <cellStyle name="SAPBEXHLevel1 2 4 10" xfId="16053" xr:uid="{FD94ED2C-494E-4CB1-9A72-D82B13868688}"/>
    <cellStyle name="SAPBEXHLevel1 2 4 10 2" xfId="16054" xr:uid="{037E6B09-A9D7-48E7-8775-0F89E61D68D9}"/>
    <cellStyle name="SAPBEXHLevel1 2 4 11" xfId="16055" xr:uid="{9DC3E389-0F40-459E-A44E-51B9AAF20AE6}"/>
    <cellStyle name="SAPBEXHLevel1 2 4 11 2" xfId="16056" xr:uid="{E50533B0-BBB6-4E1F-A847-8949C9E87660}"/>
    <cellStyle name="SAPBEXHLevel1 2 4 12" xfId="16057" xr:uid="{526B5D49-0EC0-4483-A5AF-3F4905DFAAC9}"/>
    <cellStyle name="SAPBEXHLevel1 2 4 12 2" xfId="16058" xr:uid="{BE3A299C-18E8-4F67-8B51-79C4EF11D16D}"/>
    <cellStyle name="SAPBEXHLevel1 2 4 13" xfId="16059" xr:uid="{A5BCE7BD-D367-4598-BDEC-0F16344B34E9}"/>
    <cellStyle name="SAPBEXHLevel1 2 4 13 2" xfId="16060" xr:uid="{A9CD10B4-5A27-4C0C-AE24-DB53913C8ECC}"/>
    <cellStyle name="SAPBEXHLevel1 2 4 14" xfId="16061" xr:uid="{A5D2DECE-F0EF-48CA-8596-5782552BCA24}"/>
    <cellStyle name="SAPBEXHLevel1 2 4 14 2" xfId="16062" xr:uid="{1BAFF45B-D23C-45A9-A91C-398F686BD32F}"/>
    <cellStyle name="SAPBEXHLevel1 2 4 15" xfId="16063" xr:uid="{9387651B-18A7-4474-9BEA-9E82B1C2EAA1}"/>
    <cellStyle name="SAPBEXHLevel1 2 4 15 2" xfId="16064" xr:uid="{2016062E-DAB1-487C-9C09-DE5E924E12B0}"/>
    <cellStyle name="SAPBEXHLevel1 2 4 16" xfId="16065" xr:uid="{6B3A9145-969E-499B-A417-36FDA6785F89}"/>
    <cellStyle name="SAPBEXHLevel1 2 4 16 2" xfId="16066" xr:uid="{AB0D964C-03E2-4039-8269-D7F7E39515F8}"/>
    <cellStyle name="SAPBEXHLevel1 2 4 17" xfId="16067" xr:uid="{497B4261-F108-4295-9E5A-0148699D84ED}"/>
    <cellStyle name="SAPBEXHLevel1 2 4 17 2" xfId="16068" xr:uid="{F92E0D47-3DAC-4E7B-AB5E-7B410A8AB83C}"/>
    <cellStyle name="SAPBEXHLevel1 2 4 2" xfId="16069" xr:uid="{3414740D-205A-487F-BD89-AEA1620DB7A8}"/>
    <cellStyle name="SAPBEXHLevel1 2 4 2 10" xfId="16070" xr:uid="{DE7583FA-0D45-440C-A3A9-C3EEFD40AA20}"/>
    <cellStyle name="SAPBEXHLevel1 2 4 2 10 2" xfId="16071" xr:uid="{FCA58DB0-B9AC-4DBC-9D0A-AC5865ECE289}"/>
    <cellStyle name="SAPBEXHLevel1 2 4 2 11" xfId="16072" xr:uid="{2B34D12E-BCAA-4194-8703-D8BC12445752}"/>
    <cellStyle name="SAPBEXHLevel1 2 4 2 11 2" xfId="16073" xr:uid="{E6782CFA-7333-4311-89DF-F7F358D75EAA}"/>
    <cellStyle name="SAPBEXHLevel1 2 4 2 12" xfId="16074" xr:uid="{804467DF-27C1-4885-8373-AACFE556C108}"/>
    <cellStyle name="SAPBEXHLevel1 2 4 2 12 2" xfId="16075" xr:uid="{2400CBE2-971F-41BE-BE70-EA306A2EBAE6}"/>
    <cellStyle name="SAPBEXHLevel1 2 4 2 13" xfId="16076" xr:uid="{5634EF32-6108-4760-8736-BC28210F4758}"/>
    <cellStyle name="SAPBEXHLevel1 2 4 2 13 2" xfId="16077" xr:uid="{2AADF3CA-611D-4D36-848A-B9814DCBDA7C}"/>
    <cellStyle name="SAPBEXHLevel1 2 4 2 14" xfId="16078" xr:uid="{7D44B5A3-ABB0-4956-AB08-EDDF97332BFC}"/>
    <cellStyle name="SAPBEXHLevel1 2 4 2 14 2" xfId="16079" xr:uid="{068A6D5E-2749-4BC8-8B0B-75076A0DB548}"/>
    <cellStyle name="SAPBEXHLevel1 2 4 2 15" xfId="16080" xr:uid="{BEACB422-E332-471E-BFE2-5E6714106A23}"/>
    <cellStyle name="SAPBEXHLevel1 2 4 2 15 2" xfId="16081" xr:uid="{6ABA2560-A819-4712-A9E9-A05D4ACCAA0F}"/>
    <cellStyle name="SAPBEXHLevel1 2 4 2 2" xfId="16082" xr:uid="{86E39F9A-5ABE-4416-B949-DB1264753DAA}"/>
    <cellStyle name="SAPBEXHLevel1 2 4 2 2 2" xfId="16083" xr:uid="{FC7E492D-21F8-4D2E-BD0D-A88D2A953BE7}"/>
    <cellStyle name="SAPBEXHLevel1 2 4 2 3" xfId="16084" xr:uid="{33812621-5E40-4817-89D4-23C1309F15EF}"/>
    <cellStyle name="SAPBEXHLevel1 2 4 2 3 2" xfId="16085" xr:uid="{ECED1A65-755F-4905-AA0E-36BE63A44421}"/>
    <cellStyle name="SAPBEXHLevel1 2 4 2 4" xfId="16086" xr:uid="{0D3BF532-165D-47B2-ACD0-3CE0C9C8762B}"/>
    <cellStyle name="SAPBEXHLevel1 2 4 2 4 2" xfId="16087" xr:uid="{3BB40767-B16D-41A5-B490-9C7603E4BF3C}"/>
    <cellStyle name="SAPBEXHLevel1 2 4 2 5" xfId="16088" xr:uid="{821DEBD2-CF0F-4DA6-81D8-43BC7586BB69}"/>
    <cellStyle name="SAPBEXHLevel1 2 4 2 5 2" xfId="16089" xr:uid="{84787629-C02D-4C53-8EAE-C74328AB3AE6}"/>
    <cellStyle name="SAPBEXHLevel1 2 4 2 6" xfId="16090" xr:uid="{7383FB0B-E3C3-4650-9E30-5381C4276510}"/>
    <cellStyle name="SAPBEXHLevel1 2 4 2 6 2" xfId="16091" xr:uid="{6C52AC66-8A1A-4381-AFFD-90AC0905D04D}"/>
    <cellStyle name="SAPBEXHLevel1 2 4 2 7" xfId="16092" xr:uid="{21782BB5-B1FE-4766-AFB3-4B4D756EBE77}"/>
    <cellStyle name="SAPBEXHLevel1 2 4 2 7 2" xfId="16093" xr:uid="{54313166-88C6-4CF7-B32A-6566EF356F1F}"/>
    <cellStyle name="SAPBEXHLevel1 2 4 2 8" xfId="16094" xr:uid="{4A91DB51-40BE-4AB1-BDCD-D608166C3BF1}"/>
    <cellStyle name="SAPBEXHLevel1 2 4 2 8 2" xfId="16095" xr:uid="{0497D5AB-F188-4796-BF97-5CE315F14096}"/>
    <cellStyle name="SAPBEXHLevel1 2 4 2 9" xfId="16096" xr:uid="{AD106B50-7699-4C81-975A-3BF3CC74F084}"/>
    <cellStyle name="SAPBEXHLevel1 2 4 2 9 2" xfId="16097" xr:uid="{6A3A0B1A-C464-4F2A-BDE4-A080C47B61B5}"/>
    <cellStyle name="SAPBEXHLevel1 2 4 3" xfId="16098" xr:uid="{2FFFB457-4690-4901-9C20-2213A7C507E2}"/>
    <cellStyle name="SAPBEXHLevel1 2 4 3 10" xfId="16099" xr:uid="{46CF1C92-4051-49E1-BA02-75ADDFA03362}"/>
    <cellStyle name="SAPBEXHLevel1 2 4 3 10 2" xfId="16100" xr:uid="{B553BF43-386C-4825-BFC4-1DA06323D437}"/>
    <cellStyle name="SAPBEXHLevel1 2 4 3 11" xfId="16101" xr:uid="{814E32C9-2737-4AC7-B8B4-9D169626F50C}"/>
    <cellStyle name="SAPBEXHLevel1 2 4 3 11 2" xfId="16102" xr:uid="{B448B529-236A-4AA2-97B2-47038FDF2AFA}"/>
    <cellStyle name="SAPBEXHLevel1 2 4 3 12" xfId="16103" xr:uid="{26E31770-04F3-4680-A287-CA38FA37F674}"/>
    <cellStyle name="SAPBEXHLevel1 2 4 3 12 2" xfId="16104" xr:uid="{49DB1B62-0114-417B-AD04-D9E5ABA154E4}"/>
    <cellStyle name="SAPBEXHLevel1 2 4 3 13" xfId="16105" xr:uid="{8EA994C0-F76D-400B-99BF-91DA7693E544}"/>
    <cellStyle name="SAPBEXHLevel1 2 4 3 13 2" xfId="16106" xr:uid="{928796D2-E6C2-4A7B-AAD3-5DA8EA99A126}"/>
    <cellStyle name="SAPBEXHLevel1 2 4 3 14" xfId="16107" xr:uid="{1BD20AE1-5535-470B-A75C-0EF874751882}"/>
    <cellStyle name="SAPBEXHLevel1 2 4 3 14 2" xfId="16108" xr:uid="{925DA70A-35A8-45B3-9D7D-19E0BD2F35A9}"/>
    <cellStyle name="SAPBEXHLevel1 2 4 3 15" xfId="16109" xr:uid="{42D32825-52A5-4902-B021-C78B489732CA}"/>
    <cellStyle name="SAPBEXHLevel1 2 4 3 15 2" xfId="16110" xr:uid="{83A127ED-923E-4E83-ADDE-E724A4C1B629}"/>
    <cellStyle name="SAPBEXHLevel1 2 4 3 2" xfId="16111" xr:uid="{A221EA1A-DE3E-41DC-9E62-9796759E4AF1}"/>
    <cellStyle name="SAPBEXHLevel1 2 4 3 2 2" xfId="16112" xr:uid="{CB0C1DC0-3508-4DCE-AC1A-FF021286C898}"/>
    <cellStyle name="SAPBEXHLevel1 2 4 3 3" xfId="16113" xr:uid="{C2EA957E-7AE8-40C6-8C91-9795010FC22C}"/>
    <cellStyle name="SAPBEXHLevel1 2 4 3 3 2" xfId="16114" xr:uid="{6320F352-5781-4B0D-BCD4-B8FAEBD92BCD}"/>
    <cellStyle name="SAPBEXHLevel1 2 4 3 4" xfId="16115" xr:uid="{00AD6D02-2A45-4971-9B78-B91B5BB445F7}"/>
    <cellStyle name="SAPBEXHLevel1 2 4 3 4 2" xfId="16116" xr:uid="{42795CC2-B171-47EE-8929-16E0A169C3CB}"/>
    <cellStyle name="SAPBEXHLevel1 2 4 3 5" xfId="16117" xr:uid="{E17DA72D-AA6B-4B4D-B623-CD5BFF4E3EEF}"/>
    <cellStyle name="SAPBEXHLevel1 2 4 3 5 2" xfId="16118" xr:uid="{5C8E083A-3C21-4A7B-8A07-EEAB4C2A65A0}"/>
    <cellStyle name="SAPBEXHLevel1 2 4 3 6" xfId="16119" xr:uid="{D12B004C-B5B8-494D-819C-0336EE5AEC55}"/>
    <cellStyle name="SAPBEXHLevel1 2 4 3 6 2" xfId="16120" xr:uid="{A0E64CFC-7C12-4B8D-ABD2-4F371D72D137}"/>
    <cellStyle name="SAPBEXHLevel1 2 4 3 7" xfId="16121" xr:uid="{F1888D23-39AA-48BF-B01D-FD1806D72230}"/>
    <cellStyle name="SAPBEXHLevel1 2 4 3 7 2" xfId="16122" xr:uid="{928E2282-4887-4EC6-B20F-C45FAADEA53F}"/>
    <cellStyle name="SAPBEXHLevel1 2 4 3 8" xfId="16123" xr:uid="{4A1A5AC3-E350-4B85-B790-41DA44845FFD}"/>
    <cellStyle name="SAPBEXHLevel1 2 4 3 8 2" xfId="16124" xr:uid="{273AFCAC-3DC4-4BE6-8B0A-7CCD8911DD9E}"/>
    <cellStyle name="SAPBEXHLevel1 2 4 3 9" xfId="16125" xr:uid="{A53E46B7-2FCB-40C2-82D1-EDD928B3D352}"/>
    <cellStyle name="SAPBEXHLevel1 2 4 3 9 2" xfId="16126" xr:uid="{473954CC-0762-46C2-9453-5AB9B6303FEE}"/>
    <cellStyle name="SAPBEXHLevel1 2 4 4" xfId="16127" xr:uid="{F229475E-48E9-4F3D-8629-44868D62C35B}"/>
    <cellStyle name="SAPBEXHLevel1 2 4 4 2" xfId="16128" xr:uid="{3AFE7DE7-8FE6-4D9F-A778-CF114DD28584}"/>
    <cellStyle name="SAPBEXHLevel1 2 4 5" xfId="16129" xr:uid="{71E32388-A2DB-443E-BBDC-82B88339E371}"/>
    <cellStyle name="SAPBEXHLevel1 2 4 5 2" xfId="16130" xr:uid="{A77B4185-1284-45B6-90A4-A7B110555AB7}"/>
    <cellStyle name="SAPBEXHLevel1 2 4 6" xfId="16131" xr:uid="{9378E37A-F210-4110-B73D-44717617CF2B}"/>
    <cellStyle name="SAPBEXHLevel1 2 4 6 2" xfId="16132" xr:uid="{EA1796B5-39A2-4A14-8FFE-3D2F1D0AFD69}"/>
    <cellStyle name="SAPBEXHLevel1 2 4 7" xfId="16133" xr:uid="{9FFCBA2B-8E6A-4189-8C0B-1B87A1859608}"/>
    <cellStyle name="SAPBEXHLevel1 2 4 7 2" xfId="16134" xr:uid="{D2EB27FC-4393-42A3-A50B-055C483023C2}"/>
    <cellStyle name="SAPBEXHLevel1 2 4 8" xfId="16135" xr:uid="{0F2B5337-9AA8-42D3-BDDB-A1D29ED687B4}"/>
    <cellStyle name="SAPBEXHLevel1 2 4 8 2" xfId="16136" xr:uid="{0F7A275D-8478-42EE-96E1-ECF5080C69B7}"/>
    <cellStyle name="SAPBEXHLevel1 2 4 9" xfId="16137" xr:uid="{35560AB9-533B-4D00-901E-E50B18FED4F2}"/>
    <cellStyle name="SAPBEXHLevel1 2 4 9 2" xfId="16138" xr:uid="{03D9AAC4-FBC9-4E65-BE3C-D4D5E5AE953A}"/>
    <cellStyle name="SAPBEXHLevel1 2 5" xfId="16139" xr:uid="{2CB1F73A-E2FD-4102-AB96-C6631B31107F}"/>
    <cellStyle name="SAPBEXHLevel1 2 5 2" xfId="16140" xr:uid="{23F68304-BBAC-4FAF-9FA3-776B24499E47}"/>
    <cellStyle name="SAPBEXHLevel1 2 6" xfId="16141" xr:uid="{91CD813A-5C01-4EE5-89A0-385299844D2E}"/>
    <cellStyle name="SAPBEXHLevel1 2 6 2" xfId="16142" xr:uid="{C32D358F-0975-487A-93E4-D93BA2F0F2CD}"/>
    <cellStyle name="SAPBEXHLevel1 2 7" xfId="16143" xr:uid="{4C186A86-9ECB-43EF-9A4F-050939E87E47}"/>
    <cellStyle name="SAPBEXHLevel1 2 7 2" xfId="16144" xr:uid="{2CA8D5D0-6967-4862-9FB9-459CC55695D9}"/>
    <cellStyle name="SAPBEXHLevel1 2 8" xfId="16145" xr:uid="{1CCB3B3B-14F5-4CDA-887B-7B8CB3BDDCB6}"/>
    <cellStyle name="SAPBEXHLevel1 2 8 2" xfId="16146" xr:uid="{3C45847F-31D3-43FB-9543-D1F891856AE4}"/>
    <cellStyle name="SAPBEXHLevel1 2 9" xfId="16147" xr:uid="{FE9F6459-1BFB-4D4D-B17C-0B712DF5D25B}"/>
    <cellStyle name="SAPBEXHLevel1 2 9 2" xfId="16148" xr:uid="{E0BA7835-8962-4185-BF38-413EC71CC65C}"/>
    <cellStyle name="SAPBEXHLevel1 2_T1 ANSP" xfId="15859" xr:uid="{A00BAB67-49E7-4F0B-9A1C-75EFB054BF95}"/>
    <cellStyle name="SAPBEXHLevel1 20" xfId="16149" xr:uid="{B640917F-CC64-42A6-B051-00EB3B9F949D}"/>
    <cellStyle name="SAPBEXHLevel1 20 2" xfId="16150" xr:uid="{8559A970-23F4-4D88-82FD-F11AD30DE076}"/>
    <cellStyle name="SAPBEXHLevel1 21" xfId="16151" xr:uid="{E2D9612D-7F3A-445A-96F5-95DBFBDAE542}"/>
    <cellStyle name="SAPBEXHLevel1 3" xfId="1520" xr:uid="{00000000-0005-0000-0000-000093050000}"/>
    <cellStyle name="SAPBEXHLevel1 3 10" xfId="16153" xr:uid="{EEC970A0-4540-468C-B1AA-EB2DC8BC1F44}"/>
    <cellStyle name="SAPBEXHLevel1 3 10 2" xfId="16154" xr:uid="{3DD7C8D0-ECD5-4879-B1DA-CDA9BFFCE20C}"/>
    <cellStyle name="SAPBEXHLevel1 3 11" xfId="16155" xr:uid="{3335B220-DCE9-49A3-BE7D-966ED042B208}"/>
    <cellStyle name="SAPBEXHLevel1 3 11 2" xfId="16156" xr:uid="{5E6309DA-59FA-454F-8620-802BA39369A3}"/>
    <cellStyle name="SAPBEXHLevel1 3 12" xfId="16157" xr:uid="{CB3BC73A-4E72-4C53-A403-0745596FF156}"/>
    <cellStyle name="SAPBEXHLevel1 3 12 2" xfId="16158" xr:uid="{0E78BCF0-09DE-4ABC-BC7A-7F235E47C831}"/>
    <cellStyle name="SAPBEXHLevel1 3 13" xfId="16159" xr:uid="{1775D5E8-CA10-48C6-8011-D861A781830D}"/>
    <cellStyle name="SAPBEXHLevel1 3 13 2" xfId="16160" xr:uid="{B61CEE3F-F4EF-483E-985C-BEEB844031D1}"/>
    <cellStyle name="SAPBEXHLevel1 3 14" xfId="16161" xr:uid="{9642C667-CCB2-41FB-A01A-031F00BCFC8B}"/>
    <cellStyle name="SAPBEXHLevel1 3 14 2" xfId="16162" xr:uid="{D3505CED-9604-4637-ACAE-D06B04C19A20}"/>
    <cellStyle name="SAPBEXHLevel1 3 15" xfId="16163" xr:uid="{AF72B073-EDE9-4961-B394-F537BD569826}"/>
    <cellStyle name="SAPBEXHLevel1 3 15 2" xfId="16164" xr:uid="{49475E2D-CD95-424E-A511-18998FD6E275}"/>
    <cellStyle name="SAPBEXHLevel1 3 16" xfId="16165" xr:uid="{6C0C3200-7F4A-441F-9B9C-4B9E93BCDF84}"/>
    <cellStyle name="SAPBEXHLevel1 3 16 2" xfId="16166" xr:uid="{EDA9CD07-C9C2-4E68-A149-654E928C0391}"/>
    <cellStyle name="SAPBEXHLevel1 3 17" xfId="16167" xr:uid="{15CF7E8C-C6C5-4FAF-9C4F-EF6E22295B39}"/>
    <cellStyle name="SAPBEXHLevel1 3 17 2" xfId="16168" xr:uid="{C20FF2ED-617A-40BB-ACF2-BC01F7913C33}"/>
    <cellStyle name="SAPBEXHLevel1 3 18" xfId="16169" xr:uid="{B9FD268A-8F88-4541-A0DF-9657F68F183D}"/>
    <cellStyle name="SAPBEXHLevel1 3 2" xfId="16170" xr:uid="{5479C43B-D08A-48EB-BC1A-6CACDCFC0FDC}"/>
    <cellStyle name="SAPBEXHLevel1 3 2 10" xfId="16171" xr:uid="{85D509AA-8BAC-4C11-928E-F08F30783981}"/>
    <cellStyle name="SAPBEXHLevel1 3 2 10 2" xfId="16172" xr:uid="{E6613E76-8940-4AD4-AADA-35516C855549}"/>
    <cellStyle name="SAPBEXHLevel1 3 2 11" xfId="16173" xr:uid="{5A80D742-411F-4E77-B457-4C0016713F70}"/>
    <cellStyle name="SAPBEXHLevel1 3 2 11 2" xfId="16174" xr:uid="{56EFDAED-19E4-40DB-8862-9D6CDF66C7C1}"/>
    <cellStyle name="SAPBEXHLevel1 3 2 12" xfId="16175" xr:uid="{B4F53AB0-5534-414C-AC49-E052944DE6CB}"/>
    <cellStyle name="SAPBEXHLevel1 3 2 12 2" xfId="16176" xr:uid="{4FB9EBA3-2FC5-412C-A863-282E52BE0195}"/>
    <cellStyle name="SAPBEXHLevel1 3 2 13" xfId="16177" xr:uid="{2914A12C-458C-41BE-AC30-DE273C1D3F74}"/>
    <cellStyle name="SAPBEXHLevel1 3 2 13 2" xfId="16178" xr:uid="{5C7C6E65-07BB-4628-88EA-B594DBD078D6}"/>
    <cellStyle name="SAPBEXHLevel1 3 2 14" xfId="16179" xr:uid="{65853ECB-66CC-40DF-83EB-290D20B4E98C}"/>
    <cellStyle name="SAPBEXHLevel1 3 2 14 2" xfId="16180" xr:uid="{44F25A52-91A4-400C-94A2-95EAA2FDB1B9}"/>
    <cellStyle name="SAPBEXHLevel1 3 2 15" xfId="16181" xr:uid="{0170CAF9-6073-40E4-848C-352BC148391F}"/>
    <cellStyle name="SAPBEXHLevel1 3 2 15 2" xfId="16182" xr:uid="{975325B5-9DD4-45FD-B42F-D6872A108E0A}"/>
    <cellStyle name="SAPBEXHLevel1 3 2 16" xfId="16183" xr:uid="{27C2FF78-0A56-415D-B96B-1EEE6555FA58}"/>
    <cellStyle name="SAPBEXHLevel1 3 2 2" xfId="16184" xr:uid="{D2DB5F61-6A0B-4020-A82A-7E57537F9899}"/>
    <cellStyle name="SAPBEXHLevel1 3 2 2 2" xfId="16185" xr:uid="{0AAB4A1D-7E8F-452F-ADE7-90059D973DB1}"/>
    <cellStyle name="SAPBEXHLevel1 3 2 3" xfId="16186" xr:uid="{92AEB21D-7C14-4B34-BDC1-88F0D02D6AD2}"/>
    <cellStyle name="SAPBEXHLevel1 3 2 3 2" xfId="16187" xr:uid="{5BCAF7FD-EE04-44CF-A9B5-F489F996C743}"/>
    <cellStyle name="SAPBEXHLevel1 3 2 4" xfId="16188" xr:uid="{A5A748A3-C9E8-4594-991C-84AD44747625}"/>
    <cellStyle name="SAPBEXHLevel1 3 2 4 2" xfId="16189" xr:uid="{4B8FB8F6-254A-4A60-997C-517ECBED2485}"/>
    <cellStyle name="SAPBEXHLevel1 3 2 5" xfId="16190" xr:uid="{509C9671-44E0-4C51-ACE2-3AEBF5289444}"/>
    <cellStyle name="SAPBEXHLevel1 3 2 5 2" xfId="16191" xr:uid="{7E38AD7E-1913-473A-B6F8-12BB746B35B0}"/>
    <cellStyle name="SAPBEXHLevel1 3 2 6" xfId="16192" xr:uid="{36E5A138-3F42-4DB2-A680-7CA33C737350}"/>
    <cellStyle name="SAPBEXHLevel1 3 2 6 2" xfId="16193" xr:uid="{F0865A5B-7FAE-4F9A-8C81-04F7D90018BB}"/>
    <cellStyle name="SAPBEXHLevel1 3 2 7" xfId="16194" xr:uid="{C90E9637-1310-4B48-B56A-02DCE5D07F5D}"/>
    <cellStyle name="SAPBEXHLevel1 3 2 7 2" xfId="16195" xr:uid="{316B2B09-B2EB-4F0E-A571-712B155C6CC4}"/>
    <cellStyle name="SAPBEXHLevel1 3 2 8" xfId="16196" xr:uid="{9E15E637-E457-4821-9176-051A5F156529}"/>
    <cellStyle name="SAPBEXHLevel1 3 2 8 2" xfId="16197" xr:uid="{4D21557C-7807-4413-95C2-7ACA6A4FF86A}"/>
    <cellStyle name="SAPBEXHLevel1 3 2 9" xfId="16198" xr:uid="{5BF6B5F8-B85E-4BE1-9FCA-BCB974BA773E}"/>
    <cellStyle name="SAPBEXHLevel1 3 2 9 2" xfId="16199" xr:uid="{F8154CE1-2DB6-453C-ADD3-EE63041E89B5}"/>
    <cellStyle name="SAPBEXHLevel1 3 3" xfId="16200" xr:uid="{83F1F625-0D9C-4E0D-9ECD-BA0D9100232D}"/>
    <cellStyle name="SAPBEXHLevel1 3 3 10" xfId="16201" xr:uid="{666B613C-E533-4A18-A39E-3797B984ED4B}"/>
    <cellStyle name="SAPBEXHLevel1 3 3 10 2" xfId="16202" xr:uid="{DC8B322A-D7EA-486F-A4AE-C726A6893134}"/>
    <cellStyle name="SAPBEXHLevel1 3 3 11" xfId="16203" xr:uid="{EC9CEE9C-AC4F-4BCC-BCA2-9BFFCE427CCD}"/>
    <cellStyle name="SAPBEXHLevel1 3 3 11 2" xfId="16204" xr:uid="{3B2AB572-7989-48EE-BAB7-54DA336A7774}"/>
    <cellStyle name="SAPBEXHLevel1 3 3 12" xfId="16205" xr:uid="{0DB67E0F-89F2-47A7-AD42-E4E06B414DF3}"/>
    <cellStyle name="SAPBEXHLevel1 3 3 12 2" xfId="16206" xr:uid="{A795938C-B932-40F4-A7BF-1E1D3C61E12D}"/>
    <cellStyle name="SAPBEXHLevel1 3 3 13" xfId="16207" xr:uid="{FE850D73-CF49-4451-AC25-1C994A272224}"/>
    <cellStyle name="SAPBEXHLevel1 3 3 13 2" xfId="16208" xr:uid="{7DCF4B68-0021-47BF-877F-48C7D14A6EC0}"/>
    <cellStyle name="SAPBEXHLevel1 3 3 14" xfId="16209" xr:uid="{66F57F68-D771-42C9-B53E-01E7F91ADC14}"/>
    <cellStyle name="SAPBEXHLevel1 3 3 14 2" xfId="16210" xr:uid="{8B60A9DC-A20B-4846-A668-8EBED88AF024}"/>
    <cellStyle name="SAPBEXHLevel1 3 3 15" xfId="16211" xr:uid="{32925911-006B-49AB-B563-31ABA5DA3DFB}"/>
    <cellStyle name="SAPBEXHLevel1 3 3 15 2" xfId="16212" xr:uid="{657DD708-09B4-489E-90F7-1A09113AC3DF}"/>
    <cellStyle name="SAPBEXHLevel1 3 3 16" xfId="16213" xr:uid="{4E7DD59D-5227-4C61-8B63-FD06697B6DFC}"/>
    <cellStyle name="SAPBEXHLevel1 3 3 2" xfId="16214" xr:uid="{CCD2F5D3-1A31-4432-A99D-13F56E11B7D5}"/>
    <cellStyle name="SAPBEXHLevel1 3 3 2 2" xfId="16215" xr:uid="{C608B488-AD81-44BE-B0AE-59721522F241}"/>
    <cellStyle name="SAPBEXHLevel1 3 3 3" xfId="16216" xr:uid="{6644DA5E-EDB8-4B86-BE80-EA15304D44B2}"/>
    <cellStyle name="SAPBEXHLevel1 3 3 3 2" xfId="16217" xr:uid="{454C00F2-FFBE-450A-9277-F2532DD79E75}"/>
    <cellStyle name="SAPBEXHLevel1 3 3 4" xfId="16218" xr:uid="{6EA2D864-2A14-4517-B7EC-9397AB179C7A}"/>
    <cellStyle name="SAPBEXHLevel1 3 3 4 2" xfId="16219" xr:uid="{25FF78C7-EE46-438F-B984-E82A5D141610}"/>
    <cellStyle name="SAPBEXHLevel1 3 3 5" xfId="16220" xr:uid="{F316140B-877F-459D-9320-E6EA268C1884}"/>
    <cellStyle name="SAPBEXHLevel1 3 3 5 2" xfId="16221" xr:uid="{B5F0419F-7B64-4DAE-90E0-78758B53A44E}"/>
    <cellStyle name="SAPBEXHLevel1 3 3 6" xfId="16222" xr:uid="{CCD562A3-D7CA-413D-BBBA-711FCFF1647A}"/>
    <cellStyle name="SAPBEXHLevel1 3 3 6 2" xfId="16223" xr:uid="{AA2B231F-D61E-4C33-9A58-2D15CB7DBF14}"/>
    <cellStyle name="SAPBEXHLevel1 3 3 7" xfId="16224" xr:uid="{E45EFEBD-D57F-4D8C-9900-A2E8B56488B3}"/>
    <cellStyle name="SAPBEXHLevel1 3 3 7 2" xfId="16225" xr:uid="{0EF6DBDB-E6F6-4050-A4AE-23E2037A7428}"/>
    <cellStyle name="SAPBEXHLevel1 3 3 8" xfId="16226" xr:uid="{CB2EA254-DE74-4342-8303-7F58E8A387BB}"/>
    <cellStyle name="SAPBEXHLevel1 3 3 8 2" xfId="16227" xr:uid="{59F2693F-F7D9-421A-A17A-3EBD5EAF2AD1}"/>
    <cellStyle name="SAPBEXHLevel1 3 3 9" xfId="16228" xr:uid="{683D60C2-231C-4EF2-BFC1-AC38DB377778}"/>
    <cellStyle name="SAPBEXHLevel1 3 3 9 2" xfId="16229" xr:uid="{4D84C4B6-5F0D-4B8D-A2EA-3AA4A755D951}"/>
    <cellStyle name="SAPBEXHLevel1 3 4" xfId="16230" xr:uid="{8A93A3F0-DBE4-4F59-BD88-483E7793CBDD}"/>
    <cellStyle name="SAPBEXHLevel1 3 4 2" xfId="16231" xr:uid="{5B73F8A1-2FBE-4FE5-B1D6-40A247C06523}"/>
    <cellStyle name="SAPBEXHLevel1 3 5" xfId="16232" xr:uid="{F87E39D0-C2BF-446A-A126-51DBC4C5339E}"/>
    <cellStyle name="SAPBEXHLevel1 3 5 2" xfId="16233" xr:uid="{6D7819C1-906E-4CDB-B4D3-7A9B1C89934C}"/>
    <cellStyle name="SAPBEXHLevel1 3 6" xfId="16234" xr:uid="{15E40DA8-3CBD-4588-BAB2-59B0F6351EB2}"/>
    <cellStyle name="SAPBEXHLevel1 3 6 2" xfId="16235" xr:uid="{AE747B87-B08B-45FF-9817-9F9D85B76BB9}"/>
    <cellStyle name="SAPBEXHLevel1 3 7" xfId="16236" xr:uid="{1CFA7A25-C78C-40D8-8FCF-FBF31255C3C7}"/>
    <cellStyle name="SAPBEXHLevel1 3 7 2" xfId="16237" xr:uid="{08A041E4-AE40-4F83-A3E8-4C0CEE25DE7E}"/>
    <cellStyle name="SAPBEXHLevel1 3 8" xfId="16238" xr:uid="{089937FE-8A7E-4A49-AA04-E34777357930}"/>
    <cellStyle name="SAPBEXHLevel1 3 8 2" xfId="16239" xr:uid="{0DD75D50-1C52-4DB5-A898-A396D58AF1E7}"/>
    <cellStyle name="SAPBEXHLevel1 3 9" xfId="16240" xr:uid="{AD3129D4-76EC-4EAC-BF73-FE3A381429A8}"/>
    <cellStyle name="SAPBEXHLevel1 3 9 2" xfId="16241" xr:uid="{4E0A5BB7-AA4D-4C50-91E2-586339D88D02}"/>
    <cellStyle name="SAPBEXHLevel1 3_T1 ANSP" xfId="16152" xr:uid="{3A7F640F-C547-4878-B0D4-97CF9F82D40E}"/>
    <cellStyle name="SAPBEXHLevel1 4" xfId="16242" xr:uid="{4E42A927-E4AA-4C64-BAC8-D8E3298AE825}"/>
    <cellStyle name="SAPBEXHLevel1 4 10" xfId="16243" xr:uid="{3CFB96B6-060B-4158-81C1-0658B3E26A95}"/>
    <cellStyle name="SAPBEXHLevel1 4 10 2" xfId="16244" xr:uid="{FB73D933-3DA0-4E26-976C-CC8AF0305751}"/>
    <cellStyle name="SAPBEXHLevel1 4 11" xfId="16245" xr:uid="{5D3113B7-0633-42C5-8160-0FF5A610D2FF}"/>
    <cellStyle name="SAPBEXHLevel1 4 11 2" xfId="16246" xr:uid="{B20C4436-6A16-466C-AAE0-A0EB600BDC06}"/>
    <cellStyle name="SAPBEXHLevel1 4 12" xfId="16247" xr:uid="{C55E4735-BF1F-40D3-A681-A97C38F3A3F8}"/>
    <cellStyle name="SAPBEXHLevel1 4 12 2" xfId="16248" xr:uid="{3A596968-B38C-4D85-8EA6-CA21283DBDA6}"/>
    <cellStyle name="SAPBEXHLevel1 4 13" xfId="16249" xr:uid="{F204CE2C-6C5B-477E-8F50-281914CE32A1}"/>
    <cellStyle name="SAPBEXHLevel1 4 13 2" xfId="16250" xr:uid="{0D392A71-D2AA-4C39-8417-AB8B7697DF95}"/>
    <cellStyle name="SAPBEXHLevel1 4 14" xfId="16251" xr:uid="{24FD2E3F-F8ED-4CD0-8C49-4E1DFBA55E23}"/>
    <cellStyle name="SAPBEXHLevel1 4 14 2" xfId="16252" xr:uid="{185E3425-AA88-4081-8260-9D960AFE3ABB}"/>
    <cellStyle name="SAPBEXHLevel1 4 15" xfId="16253" xr:uid="{8C73A5B7-CBF0-4C3E-9939-94D5C5AFA213}"/>
    <cellStyle name="SAPBEXHLevel1 4 15 2" xfId="16254" xr:uid="{AB55A4F5-B0ED-4B0E-BC9C-D8F5A137EC87}"/>
    <cellStyle name="SAPBEXHLevel1 4 16" xfId="16255" xr:uid="{7D777FCD-CC5F-4A70-A6BF-E4E570DD4A18}"/>
    <cellStyle name="SAPBEXHLevel1 4 16 2" xfId="16256" xr:uid="{266DE754-328E-48C3-BD96-9FCE4B302A91}"/>
    <cellStyle name="SAPBEXHLevel1 4 17" xfId="16257" xr:uid="{11F62BA3-77C0-4E8B-A3FD-C31DFBF0FA82}"/>
    <cellStyle name="SAPBEXHLevel1 4 17 2" xfId="16258" xr:uid="{34C20828-C1CE-47C8-9A9B-911ECA60220B}"/>
    <cellStyle name="SAPBEXHLevel1 4 18" xfId="16259" xr:uid="{422CA32D-8BEE-45E2-BD8F-3245840158FA}"/>
    <cellStyle name="SAPBEXHLevel1 4 2" xfId="16260" xr:uid="{44B23966-9C43-4D1A-863A-3DE074458133}"/>
    <cellStyle name="SAPBEXHLevel1 4 2 10" xfId="16261" xr:uid="{282EAE67-EFE7-4132-B585-D56F5C721228}"/>
    <cellStyle name="SAPBEXHLevel1 4 2 10 2" xfId="16262" xr:uid="{3E09E97E-D2A7-4184-8C5A-E09A3ADE5D62}"/>
    <cellStyle name="SAPBEXHLevel1 4 2 11" xfId="16263" xr:uid="{D55F0573-F7C7-4E23-B1E0-E69859D3D9EE}"/>
    <cellStyle name="SAPBEXHLevel1 4 2 11 2" xfId="16264" xr:uid="{318520D6-22F6-40A1-B033-104FAD82C727}"/>
    <cellStyle name="SAPBEXHLevel1 4 2 12" xfId="16265" xr:uid="{B4CF1213-4419-4E04-BCCD-3E95E8B9082A}"/>
    <cellStyle name="SAPBEXHLevel1 4 2 12 2" xfId="16266" xr:uid="{1F0C0B8E-798C-41EC-8ED5-BE51AD09B413}"/>
    <cellStyle name="SAPBEXHLevel1 4 2 13" xfId="16267" xr:uid="{1B44A0EF-5E96-4858-91F6-978533F23DBB}"/>
    <cellStyle name="SAPBEXHLevel1 4 2 13 2" xfId="16268" xr:uid="{2A3D4119-8E2F-4281-A1E1-CDC52AE318D6}"/>
    <cellStyle name="SAPBEXHLevel1 4 2 14" xfId="16269" xr:uid="{D8D7B834-2ACA-438E-98DD-C251A36C22FD}"/>
    <cellStyle name="SAPBEXHLevel1 4 2 14 2" xfId="16270" xr:uid="{FB1B7C68-3C2E-431A-AFE2-EB5194A66C21}"/>
    <cellStyle name="SAPBEXHLevel1 4 2 15" xfId="16271" xr:uid="{67717659-28FE-469F-A7E6-7C026AF4EE3A}"/>
    <cellStyle name="SAPBEXHLevel1 4 2 15 2" xfId="16272" xr:uid="{965B713D-9339-436E-B0B3-3748A3A6591B}"/>
    <cellStyle name="SAPBEXHLevel1 4 2 16" xfId="16273" xr:uid="{214FF28D-5B62-49A7-A7C1-B0692DD3B367}"/>
    <cellStyle name="SAPBEXHLevel1 4 2 2" xfId="16274" xr:uid="{26AE0FE3-8042-4AB2-BAFB-950A626C8CB7}"/>
    <cellStyle name="SAPBEXHLevel1 4 2 2 2" xfId="16275" xr:uid="{22D27A3B-7AAD-4387-B7C5-3922BC66BEB2}"/>
    <cellStyle name="SAPBEXHLevel1 4 2 3" xfId="16276" xr:uid="{B5A8A7CF-670D-4106-B3E9-FC0EF7DD8EA1}"/>
    <cellStyle name="SAPBEXHLevel1 4 2 3 2" xfId="16277" xr:uid="{7812A27E-9AD7-4A82-BF96-B4837B644E4F}"/>
    <cellStyle name="SAPBEXHLevel1 4 2 4" xfId="16278" xr:uid="{E7D82E53-3135-429A-A3F7-CC3BFB2A7A2A}"/>
    <cellStyle name="SAPBEXHLevel1 4 2 4 2" xfId="16279" xr:uid="{86111A98-9164-470E-882B-AB0839D3A0AC}"/>
    <cellStyle name="SAPBEXHLevel1 4 2 5" xfId="16280" xr:uid="{9C0098AF-B1DB-4639-BE37-5FA71E083C35}"/>
    <cellStyle name="SAPBEXHLevel1 4 2 5 2" xfId="16281" xr:uid="{932DD828-7527-4D83-BA09-D56CC009DDAA}"/>
    <cellStyle name="SAPBEXHLevel1 4 2 6" xfId="16282" xr:uid="{A261F19A-FC4C-45AF-9728-083704D361A3}"/>
    <cellStyle name="SAPBEXHLevel1 4 2 6 2" xfId="16283" xr:uid="{1131BC5B-2881-4536-B205-F850449CA2BB}"/>
    <cellStyle name="SAPBEXHLevel1 4 2 7" xfId="16284" xr:uid="{6FF31937-647D-4A21-B42E-069376CC18A8}"/>
    <cellStyle name="SAPBEXHLevel1 4 2 7 2" xfId="16285" xr:uid="{0395087F-C21D-40F8-BE09-FE99106756EF}"/>
    <cellStyle name="SAPBEXHLevel1 4 2 8" xfId="16286" xr:uid="{06188EC6-1A6B-4FA7-9390-057588C54074}"/>
    <cellStyle name="SAPBEXHLevel1 4 2 8 2" xfId="16287" xr:uid="{2940B78E-9E20-4A5F-BF94-298F1CD1A3F8}"/>
    <cellStyle name="SAPBEXHLevel1 4 2 9" xfId="16288" xr:uid="{A22CA4BC-667A-4139-ADF1-3276FB640CC4}"/>
    <cellStyle name="SAPBEXHLevel1 4 2 9 2" xfId="16289" xr:uid="{8F9A7506-FC6F-46EB-9FC7-DC037F17A7EA}"/>
    <cellStyle name="SAPBEXHLevel1 4 3" xfId="16290" xr:uid="{552FB5EF-171B-4A8D-AF8B-34FC8BE87853}"/>
    <cellStyle name="SAPBEXHLevel1 4 3 10" xfId="16291" xr:uid="{10992DE7-B83E-4CAE-865A-6F4FB3E19178}"/>
    <cellStyle name="SAPBEXHLevel1 4 3 10 2" xfId="16292" xr:uid="{E66A2B87-6679-4B92-9289-9193E8D06A53}"/>
    <cellStyle name="SAPBEXHLevel1 4 3 11" xfId="16293" xr:uid="{0CAB869C-3927-4100-96EB-13CF0C842A07}"/>
    <cellStyle name="SAPBEXHLevel1 4 3 11 2" xfId="16294" xr:uid="{94813BB3-D36F-4354-8EA5-EB28AD6CE862}"/>
    <cellStyle name="SAPBEXHLevel1 4 3 12" xfId="16295" xr:uid="{B0470321-57C4-45E1-8EE5-B5CCE1FCF986}"/>
    <cellStyle name="SAPBEXHLevel1 4 3 12 2" xfId="16296" xr:uid="{4293ED08-D1C5-4C46-ACB8-274CBA93E685}"/>
    <cellStyle name="SAPBEXHLevel1 4 3 13" xfId="16297" xr:uid="{54191023-030B-40A7-853E-EEC632034EE6}"/>
    <cellStyle name="SAPBEXHLevel1 4 3 13 2" xfId="16298" xr:uid="{E8F4DB9D-3B6B-4E25-B866-D9E63729EF5E}"/>
    <cellStyle name="SAPBEXHLevel1 4 3 14" xfId="16299" xr:uid="{89612FCA-BA26-4314-95B0-09A4C73E31A1}"/>
    <cellStyle name="SAPBEXHLevel1 4 3 14 2" xfId="16300" xr:uid="{04BE0A21-4A58-443E-B8AD-E0AF0EB76058}"/>
    <cellStyle name="SAPBEXHLevel1 4 3 15" xfId="16301" xr:uid="{5E06CB3B-651C-4F8F-97ED-D821500DFD2A}"/>
    <cellStyle name="SAPBEXHLevel1 4 3 15 2" xfId="16302" xr:uid="{C86CC257-0863-4185-9309-A253BDC3A692}"/>
    <cellStyle name="SAPBEXHLevel1 4 3 16" xfId="16303" xr:uid="{8E6B71AF-BBF1-4756-BFC9-0A7DFEADE287}"/>
    <cellStyle name="SAPBEXHLevel1 4 3 2" xfId="16304" xr:uid="{7D660143-197F-4EEA-B775-B66A9A7FD8B8}"/>
    <cellStyle name="SAPBEXHLevel1 4 3 2 2" xfId="16305" xr:uid="{A78AD365-F626-40FA-9AC8-74930447E1F2}"/>
    <cellStyle name="SAPBEXHLevel1 4 3 3" xfId="16306" xr:uid="{AD795E7F-1E36-4AF5-AC9F-68627F43EC4E}"/>
    <cellStyle name="SAPBEXHLevel1 4 3 3 2" xfId="16307" xr:uid="{74214EB1-D116-445C-B866-543565B7C5A0}"/>
    <cellStyle name="SAPBEXHLevel1 4 3 4" xfId="16308" xr:uid="{A0B52AE8-C1EE-4B73-9FB8-B8B17A668EC4}"/>
    <cellStyle name="SAPBEXHLevel1 4 3 4 2" xfId="16309" xr:uid="{368F4A22-1549-4ED6-91DB-28B910301B7B}"/>
    <cellStyle name="SAPBEXHLevel1 4 3 5" xfId="16310" xr:uid="{F0AD7F34-C86F-4622-8ED0-933386EA18F7}"/>
    <cellStyle name="SAPBEXHLevel1 4 3 5 2" xfId="16311" xr:uid="{B49DC0DF-7ED7-4297-B106-568A2A52708D}"/>
    <cellStyle name="SAPBEXHLevel1 4 3 6" xfId="16312" xr:uid="{B2646B93-3A80-42C6-8324-DF1D15ABE6FB}"/>
    <cellStyle name="SAPBEXHLevel1 4 3 6 2" xfId="16313" xr:uid="{26E78484-EAC9-49D2-92F9-9368F3A79A5E}"/>
    <cellStyle name="SAPBEXHLevel1 4 3 7" xfId="16314" xr:uid="{49035527-378B-4A46-B71C-0B957027C74D}"/>
    <cellStyle name="SAPBEXHLevel1 4 3 7 2" xfId="16315" xr:uid="{6A815E2B-EDD6-4D1C-9164-4A7AA50594B0}"/>
    <cellStyle name="SAPBEXHLevel1 4 3 8" xfId="16316" xr:uid="{F3EE4BEB-4E28-45BA-96B9-EB71FDCE6B6D}"/>
    <cellStyle name="SAPBEXHLevel1 4 3 8 2" xfId="16317" xr:uid="{F3E46184-1854-4F6C-8F40-6EDE4455CEBC}"/>
    <cellStyle name="SAPBEXHLevel1 4 3 9" xfId="16318" xr:uid="{C70B1AA4-1FB1-482D-A14A-656D69508E58}"/>
    <cellStyle name="SAPBEXHLevel1 4 3 9 2" xfId="16319" xr:uid="{786E8828-949E-4C75-9E3C-D87BF1926837}"/>
    <cellStyle name="SAPBEXHLevel1 4 4" xfId="16320" xr:uid="{9661313F-55F4-4F2E-ABF1-8569FFBE7AAC}"/>
    <cellStyle name="SAPBEXHLevel1 4 4 2" xfId="16321" xr:uid="{124B2CEF-6974-4513-94FE-788669CF2A96}"/>
    <cellStyle name="SAPBEXHLevel1 4 5" xfId="16322" xr:uid="{4C0AF5C7-ECD7-4E44-BCB2-641C2BCCC767}"/>
    <cellStyle name="SAPBEXHLevel1 4 5 2" xfId="16323" xr:uid="{5B46C6B9-8066-473D-8286-CD592E40DDBC}"/>
    <cellStyle name="SAPBEXHLevel1 4 6" xfId="16324" xr:uid="{A045B436-4658-4A2A-8CE6-4165839BA67E}"/>
    <cellStyle name="SAPBEXHLevel1 4 6 2" xfId="16325" xr:uid="{AFC641EE-0606-4453-B657-41C4344C0219}"/>
    <cellStyle name="SAPBEXHLevel1 4 7" xfId="16326" xr:uid="{C53F2384-BD47-41C7-9594-A78E966A1704}"/>
    <cellStyle name="SAPBEXHLevel1 4 7 2" xfId="16327" xr:uid="{F5A9490B-1423-4C5A-AA6D-A4FFD2E66B3A}"/>
    <cellStyle name="SAPBEXHLevel1 4 8" xfId="16328" xr:uid="{E839E746-D5A4-47B8-AD00-5D8E91ED2A1F}"/>
    <cellStyle name="SAPBEXHLevel1 4 8 2" xfId="16329" xr:uid="{B11DCA13-7A19-4793-9C3F-D9036DFBCB9F}"/>
    <cellStyle name="SAPBEXHLevel1 4 9" xfId="16330" xr:uid="{B28435C1-5E29-4C41-901A-9D4DB2311FC7}"/>
    <cellStyle name="SAPBEXHLevel1 4 9 2" xfId="16331" xr:uid="{AE8B589E-7AA6-43D5-8816-6AF658F18C07}"/>
    <cellStyle name="SAPBEXHLevel1 5" xfId="16332" xr:uid="{FB810535-952E-498B-970A-7341DF938355}"/>
    <cellStyle name="SAPBEXHLevel1 5 10" xfId="16333" xr:uid="{CAE5350F-5AC9-4658-9F5E-2BCF96B805AF}"/>
    <cellStyle name="SAPBEXHLevel1 5 10 2" xfId="16334" xr:uid="{FA3A7A8C-E3BF-44B2-A98B-C07B0F44E1C7}"/>
    <cellStyle name="SAPBEXHLevel1 5 11" xfId="16335" xr:uid="{58DBED3F-77B1-4392-9C03-6B8E9DFA4FAF}"/>
    <cellStyle name="SAPBEXHLevel1 5 11 2" xfId="16336" xr:uid="{CB072282-D831-4366-B0A2-4648987ABD0F}"/>
    <cellStyle name="SAPBEXHLevel1 5 12" xfId="16337" xr:uid="{078809B2-FAAA-467A-B143-43209C0DC0E2}"/>
    <cellStyle name="SAPBEXHLevel1 5 12 2" xfId="16338" xr:uid="{68C7389F-A7FC-4FFE-A7CD-C422B3080E51}"/>
    <cellStyle name="SAPBEXHLevel1 5 13" xfId="16339" xr:uid="{1C92CF41-568A-4FEA-9948-A960DF894B36}"/>
    <cellStyle name="SAPBEXHLevel1 5 13 2" xfId="16340" xr:uid="{B49134ED-00F8-45D6-A832-88B1E52B93F5}"/>
    <cellStyle name="SAPBEXHLevel1 5 14" xfId="16341" xr:uid="{315F6DE7-0E79-400A-90A7-B7AE148F6187}"/>
    <cellStyle name="SAPBEXHLevel1 5 14 2" xfId="16342" xr:uid="{60D8351B-98E0-42D6-9C40-7AD6CDB7C254}"/>
    <cellStyle name="SAPBEXHLevel1 5 15" xfId="16343" xr:uid="{8A52779E-8D44-4848-A933-0DC18ACF9F14}"/>
    <cellStyle name="SAPBEXHLevel1 5 15 2" xfId="16344" xr:uid="{AB30DC24-BCEE-413D-B698-033E5228F53E}"/>
    <cellStyle name="SAPBEXHLevel1 5 16" xfId="16345" xr:uid="{59D138DF-4E46-421E-9F00-7C1FEC3AB8D1}"/>
    <cellStyle name="SAPBEXHLevel1 5 16 2" xfId="16346" xr:uid="{48912E16-56A7-4CDB-BC52-A523FB8CADC2}"/>
    <cellStyle name="SAPBEXHLevel1 5 17" xfId="16347" xr:uid="{F1DBF2BA-D9FB-4F80-8F41-6DE9422EEB51}"/>
    <cellStyle name="SAPBEXHLevel1 5 17 2" xfId="16348" xr:uid="{5BA360F6-BB24-4B5B-8A2E-6A6D267C3E2D}"/>
    <cellStyle name="SAPBEXHLevel1 5 18" xfId="16349" xr:uid="{59DA0585-0359-4B1D-A9F4-29D984DC8232}"/>
    <cellStyle name="SAPBEXHLevel1 5 2" xfId="16350" xr:uid="{64024BD1-560B-4E07-9837-E01138684405}"/>
    <cellStyle name="SAPBEXHLevel1 5 2 10" xfId="16351" xr:uid="{00922D14-518B-43DF-9E25-32540AA05A89}"/>
    <cellStyle name="SAPBEXHLevel1 5 2 10 2" xfId="16352" xr:uid="{E88190EA-6D8C-4F18-A190-619A035B5560}"/>
    <cellStyle name="SAPBEXHLevel1 5 2 11" xfId="16353" xr:uid="{FC3B0545-C277-4E72-B3BE-087BB73CF0D3}"/>
    <cellStyle name="SAPBEXHLevel1 5 2 11 2" xfId="16354" xr:uid="{4A6F681B-AD05-47C1-AA59-CEB056D0DC3A}"/>
    <cellStyle name="SAPBEXHLevel1 5 2 12" xfId="16355" xr:uid="{A6814DAA-0849-4A1B-A69D-F9BFEE3766D2}"/>
    <cellStyle name="SAPBEXHLevel1 5 2 12 2" xfId="16356" xr:uid="{B42FA0B9-D77A-489A-8CDB-14582CD42F5E}"/>
    <cellStyle name="SAPBEXHLevel1 5 2 13" xfId="16357" xr:uid="{CD1E1C27-B2CA-470D-874B-722E636498E4}"/>
    <cellStyle name="SAPBEXHLevel1 5 2 13 2" xfId="16358" xr:uid="{5476702E-41E6-4438-9763-8CEE4C9784CF}"/>
    <cellStyle name="SAPBEXHLevel1 5 2 14" xfId="16359" xr:uid="{8A650F18-624C-4C6D-9AAE-A97CC1810389}"/>
    <cellStyle name="SAPBEXHLevel1 5 2 14 2" xfId="16360" xr:uid="{39C7C221-77C0-49FA-B1C2-FB590EBAF18D}"/>
    <cellStyle name="SAPBEXHLevel1 5 2 15" xfId="16361" xr:uid="{BBE03CFF-0E43-4584-8604-452C288E8FF1}"/>
    <cellStyle name="SAPBEXHLevel1 5 2 15 2" xfId="16362" xr:uid="{B4C19385-4925-42C9-8835-0232583A12EA}"/>
    <cellStyle name="SAPBEXHLevel1 5 2 16" xfId="16363" xr:uid="{A7CCAB76-FBF3-45C0-9E2B-C0292E067BD9}"/>
    <cellStyle name="SAPBEXHLevel1 5 2 2" xfId="16364" xr:uid="{9B22C6FF-1FF9-4E28-A303-A983AE578928}"/>
    <cellStyle name="SAPBEXHLevel1 5 2 2 2" xfId="16365" xr:uid="{1093DF23-D917-425D-9318-04C891FF44ED}"/>
    <cellStyle name="SAPBEXHLevel1 5 2 3" xfId="16366" xr:uid="{B2C401D3-1BB8-4AE0-81A3-E2914BC03283}"/>
    <cellStyle name="SAPBEXHLevel1 5 2 3 2" xfId="16367" xr:uid="{180AC006-C73C-4C80-A20D-FF58DC5E788E}"/>
    <cellStyle name="SAPBEXHLevel1 5 2 4" xfId="16368" xr:uid="{37CBC1B0-52F8-48FB-8161-EC67AFD8710D}"/>
    <cellStyle name="SAPBEXHLevel1 5 2 4 2" xfId="16369" xr:uid="{4EF9C100-3186-4624-BDB5-9A6F8CBCF036}"/>
    <cellStyle name="SAPBEXHLevel1 5 2 5" xfId="16370" xr:uid="{34501A60-A181-400F-B256-29021F542123}"/>
    <cellStyle name="SAPBEXHLevel1 5 2 5 2" xfId="16371" xr:uid="{E30039E5-B8C3-45FE-B10C-7818B14D5D7F}"/>
    <cellStyle name="SAPBEXHLevel1 5 2 6" xfId="16372" xr:uid="{B4EDE98E-D2F7-48BE-98E1-16A3DF8E202B}"/>
    <cellStyle name="SAPBEXHLevel1 5 2 6 2" xfId="16373" xr:uid="{97CA852E-3EA4-4C87-A7D4-81759CDF84C8}"/>
    <cellStyle name="SAPBEXHLevel1 5 2 7" xfId="16374" xr:uid="{9A2E08BB-DDB9-43CE-9DD0-D190437B514C}"/>
    <cellStyle name="SAPBEXHLevel1 5 2 7 2" xfId="16375" xr:uid="{CA6EC7A2-3991-4ED3-88FA-D670AFF6126E}"/>
    <cellStyle name="SAPBEXHLevel1 5 2 8" xfId="16376" xr:uid="{640E3351-CA76-475A-A5BA-65CBBE80B662}"/>
    <cellStyle name="SAPBEXHLevel1 5 2 8 2" xfId="16377" xr:uid="{899C77CC-19CF-46BE-95EC-980BAB38D51F}"/>
    <cellStyle name="SAPBEXHLevel1 5 2 9" xfId="16378" xr:uid="{F8C20BC2-117C-4D13-BBBA-A30F9A3E758F}"/>
    <cellStyle name="SAPBEXHLevel1 5 2 9 2" xfId="16379" xr:uid="{5A82BA16-56C2-4CE0-B729-E47448C16E3A}"/>
    <cellStyle name="SAPBEXHLevel1 5 3" xfId="16380" xr:uid="{BB4B605C-C8E2-4DBF-BE09-55779715057C}"/>
    <cellStyle name="SAPBEXHLevel1 5 3 10" xfId="16381" xr:uid="{10B95580-2687-4ABF-B2DC-543F78228A58}"/>
    <cellStyle name="SAPBEXHLevel1 5 3 10 2" xfId="16382" xr:uid="{772AAC80-DFAB-447A-AD51-0295F9162D35}"/>
    <cellStyle name="SAPBEXHLevel1 5 3 11" xfId="16383" xr:uid="{2950355B-7785-4E85-AD69-1C74973B6E6D}"/>
    <cellStyle name="SAPBEXHLevel1 5 3 11 2" xfId="16384" xr:uid="{BEF61CD9-2C78-49AE-88C3-CE240653160E}"/>
    <cellStyle name="SAPBEXHLevel1 5 3 12" xfId="16385" xr:uid="{A182634C-E209-4CF2-86A2-C5725D04E171}"/>
    <cellStyle name="SAPBEXHLevel1 5 3 12 2" xfId="16386" xr:uid="{9AC3AE74-0726-49DD-87A7-A36E23C3F36D}"/>
    <cellStyle name="SAPBEXHLevel1 5 3 13" xfId="16387" xr:uid="{C1C741B3-4857-4DB6-BED8-F4CC432738AF}"/>
    <cellStyle name="SAPBEXHLevel1 5 3 13 2" xfId="16388" xr:uid="{F36DED7C-8DCB-4C5A-9065-74ECAE416E78}"/>
    <cellStyle name="SAPBEXHLevel1 5 3 14" xfId="16389" xr:uid="{8B408A0E-52D4-4155-84D0-567840311821}"/>
    <cellStyle name="SAPBEXHLevel1 5 3 14 2" xfId="16390" xr:uid="{AE98A2B4-5BC8-4F66-84B5-ED02DD944505}"/>
    <cellStyle name="SAPBEXHLevel1 5 3 15" xfId="16391" xr:uid="{57D84D61-75A1-4919-9B04-FF70A7796711}"/>
    <cellStyle name="SAPBEXHLevel1 5 3 15 2" xfId="16392" xr:uid="{FA6D5DCB-8F9F-4C19-AB5E-50DD05DC9710}"/>
    <cellStyle name="SAPBEXHLevel1 5 3 16" xfId="16393" xr:uid="{829F95CE-0BBF-4289-AD8F-AD70B14234BB}"/>
    <cellStyle name="SAPBEXHLevel1 5 3 2" xfId="16394" xr:uid="{8F26769E-67E0-4B09-B86E-C936E09EC7B2}"/>
    <cellStyle name="SAPBEXHLevel1 5 3 2 2" xfId="16395" xr:uid="{9F2481FC-FE80-4009-B02C-B1E3344BB9DB}"/>
    <cellStyle name="SAPBEXHLevel1 5 3 3" xfId="16396" xr:uid="{BA7B018C-11CE-4DBD-8490-5A9B76A52BD3}"/>
    <cellStyle name="SAPBEXHLevel1 5 3 3 2" xfId="16397" xr:uid="{A9EB22A8-A787-47EF-A89D-BFEF056F1780}"/>
    <cellStyle name="SAPBEXHLevel1 5 3 4" xfId="16398" xr:uid="{56927232-9EC7-4AB7-B006-A0466A34EFD2}"/>
    <cellStyle name="SAPBEXHLevel1 5 3 4 2" xfId="16399" xr:uid="{F2949741-CC18-4924-9469-0D2D4C93FC92}"/>
    <cellStyle name="SAPBEXHLevel1 5 3 5" xfId="16400" xr:uid="{7EE886C4-5699-468D-B535-2A08E6205E37}"/>
    <cellStyle name="SAPBEXHLevel1 5 3 5 2" xfId="16401" xr:uid="{A4E4A311-6C3B-41DD-B4E1-E8E84B6613D8}"/>
    <cellStyle name="SAPBEXHLevel1 5 3 6" xfId="16402" xr:uid="{45BD0F8D-0AC9-410E-A4B4-94CE2AD46C12}"/>
    <cellStyle name="SAPBEXHLevel1 5 3 6 2" xfId="16403" xr:uid="{D12B3D66-990D-40E8-B620-250E7657D390}"/>
    <cellStyle name="SAPBEXHLevel1 5 3 7" xfId="16404" xr:uid="{12760411-58BB-4DAC-8BF3-43E57490A062}"/>
    <cellStyle name="SAPBEXHLevel1 5 3 7 2" xfId="16405" xr:uid="{6A9C729B-C864-40A9-A305-3405A72C4D03}"/>
    <cellStyle name="SAPBEXHLevel1 5 3 8" xfId="16406" xr:uid="{8247E1BE-C48B-4F83-8D4F-E412C2AEEFCD}"/>
    <cellStyle name="SAPBEXHLevel1 5 3 8 2" xfId="16407" xr:uid="{5EC365F6-7D5F-46FD-BFC3-35A55F8D8350}"/>
    <cellStyle name="SAPBEXHLevel1 5 3 9" xfId="16408" xr:uid="{31A820FA-3AFE-4CDC-BA39-4D29C533698D}"/>
    <cellStyle name="SAPBEXHLevel1 5 3 9 2" xfId="16409" xr:uid="{3F850D01-2097-4565-B5D2-1ED6BDB5D16E}"/>
    <cellStyle name="SAPBEXHLevel1 5 4" xfId="16410" xr:uid="{5AA42C1C-4274-4128-B302-47121C655512}"/>
    <cellStyle name="SAPBEXHLevel1 5 4 2" xfId="16411" xr:uid="{975CD169-B724-4913-B7D2-5EA23D74E986}"/>
    <cellStyle name="SAPBEXHLevel1 5 5" xfId="16412" xr:uid="{099B6409-8910-4A2B-9BF3-AD64CC25AE4D}"/>
    <cellStyle name="SAPBEXHLevel1 5 5 2" xfId="16413" xr:uid="{56BF2D31-CD77-44F5-A0E6-8CB461BD6802}"/>
    <cellStyle name="SAPBEXHLevel1 5 6" xfId="16414" xr:uid="{20BC5220-C63D-42CD-963E-D75E5FAC802A}"/>
    <cellStyle name="SAPBEXHLevel1 5 6 2" xfId="16415" xr:uid="{EC7AA270-ECDE-44FA-82F3-C0B7C5DC44B1}"/>
    <cellStyle name="SAPBEXHLevel1 5 7" xfId="16416" xr:uid="{255F3051-60BB-41FF-B93F-6278D8BD307D}"/>
    <cellStyle name="SAPBEXHLevel1 5 7 2" xfId="16417" xr:uid="{B842B843-4D08-4F22-A287-B1DAF541C4F1}"/>
    <cellStyle name="SAPBEXHLevel1 5 8" xfId="16418" xr:uid="{48CFA367-152C-4799-8672-244979249067}"/>
    <cellStyle name="SAPBEXHLevel1 5 8 2" xfId="16419" xr:uid="{FC259CE1-8461-4285-B71F-6B1874EE898A}"/>
    <cellStyle name="SAPBEXHLevel1 5 9" xfId="16420" xr:uid="{AC2EF29F-6B27-4669-96B4-337165C96CAA}"/>
    <cellStyle name="SAPBEXHLevel1 5 9 2" xfId="16421" xr:uid="{4F828A5C-8CB7-4246-907C-9068B9892C7C}"/>
    <cellStyle name="SAPBEXHLevel1 6" xfId="16422" xr:uid="{B6E5877F-91D5-4177-B4B7-60CF8CB5C607}"/>
    <cellStyle name="SAPBEXHLevel1 6 10" xfId="16423" xr:uid="{02940D45-D53A-433A-8158-FEE3087546F1}"/>
    <cellStyle name="SAPBEXHLevel1 6 10 2" xfId="16424" xr:uid="{FD697742-E413-467A-AC9B-BB31FF8EB7E5}"/>
    <cellStyle name="SAPBEXHLevel1 6 11" xfId="16425" xr:uid="{BF0D3CE5-425F-486D-9ED9-6EFB88E7B43F}"/>
    <cellStyle name="SAPBEXHLevel1 6 11 2" xfId="16426" xr:uid="{474D15BB-F8E5-4B6C-88D7-79FFC153E0F1}"/>
    <cellStyle name="SAPBEXHLevel1 6 12" xfId="16427" xr:uid="{F08EA7F5-AE72-4213-8E1B-47EC91C3DDC0}"/>
    <cellStyle name="SAPBEXHLevel1 6 12 2" xfId="16428" xr:uid="{0E3BDBE4-0E38-42C8-9043-4C04F1367173}"/>
    <cellStyle name="SAPBEXHLevel1 6 13" xfId="16429" xr:uid="{1E4DC15C-C7DC-4643-9985-548D6EA73898}"/>
    <cellStyle name="SAPBEXHLevel1 6 13 2" xfId="16430" xr:uid="{1D53AC07-BCDD-4A06-8F68-F11DE66228DE}"/>
    <cellStyle name="SAPBEXHLevel1 6 14" xfId="16431" xr:uid="{EAFBA8B5-0F3F-4CB6-97D5-596DAA97B937}"/>
    <cellStyle name="SAPBEXHLevel1 6 14 2" xfId="16432" xr:uid="{441D7465-B167-482B-AEBD-917646DBF48F}"/>
    <cellStyle name="SAPBEXHLevel1 6 15" xfId="16433" xr:uid="{8DC60930-17C5-4DBF-867B-FE8980BE4E96}"/>
    <cellStyle name="SAPBEXHLevel1 6 15 2" xfId="16434" xr:uid="{015D47D4-32CC-4866-A02C-3341A78EA48D}"/>
    <cellStyle name="SAPBEXHLevel1 6 16" xfId="16435" xr:uid="{12B800E3-60D3-46C9-91EC-A0ADD7513001}"/>
    <cellStyle name="SAPBEXHLevel1 6 2" xfId="16436" xr:uid="{7997AEE2-2D8E-41A9-A608-2C3A278E0EE6}"/>
    <cellStyle name="SAPBEXHLevel1 6 2 2" xfId="16437" xr:uid="{16E58091-5F55-48FE-9B13-0AAAD3DC3C3C}"/>
    <cellStyle name="SAPBEXHLevel1 6 3" xfId="16438" xr:uid="{48EAFF43-0DA8-4945-8742-7123B815C640}"/>
    <cellStyle name="SAPBEXHLevel1 6 3 2" xfId="16439" xr:uid="{01F9ED6A-2668-4F9B-A0A6-D6BF3940B6AC}"/>
    <cellStyle name="SAPBEXHLevel1 6 4" xfId="16440" xr:uid="{E2FB52C2-C0D6-4238-B87F-6F9215EAD58F}"/>
    <cellStyle name="SAPBEXHLevel1 6 4 2" xfId="16441" xr:uid="{E0195244-3690-46C8-B0AE-22923358C907}"/>
    <cellStyle name="SAPBEXHLevel1 6 5" xfId="16442" xr:uid="{35E8DA55-52A5-45A6-8A45-6D88EDE3F1E1}"/>
    <cellStyle name="SAPBEXHLevel1 6 5 2" xfId="16443" xr:uid="{30EB52A3-1F4D-4810-A0B8-D016B98770B5}"/>
    <cellStyle name="SAPBEXHLevel1 6 6" xfId="16444" xr:uid="{1C55D47B-1609-4976-B1C3-E2DB79AF8921}"/>
    <cellStyle name="SAPBEXHLevel1 6 6 2" xfId="16445" xr:uid="{9BB3CD02-70D4-410A-BF7F-49877BAAA7C1}"/>
    <cellStyle name="SAPBEXHLevel1 6 7" xfId="16446" xr:uid="{5181656D-B010-496C-AC50-58036947732E}"/>
    <cellStyle name="SAPBEXHLevel1 6 7 2" xfId="16447" xr:uid="{8485AEA2-E716-4A0C-BD84-E951015D0EFB}"/>
    <cellStyle name="SAPBEXHLevel1 6 8" xfId="16448" xr:uid="{439FDD19-0275-4E7F-A0E7-A03927AA56E8}"/>
    <cellStyle name="SAPBEXHLevel1 6 8 2" xfId="16449" xr:uid="{3DF15A56-DBA0-44A4-A239-14052F782482}"/>
    <cellStyle name="SAPBEXHLevel1 6 9" xfId="16450" xr:uid="{A3F0C3B4-EC33-411F-8008-E7CD571C8132}"/>
    <cellStyle name="SAPBEXHLevel1 6 9 2" xfId="16451" xr:uid="{09010961-4BE8-461B-B6F5-0A5080F6ADAB}"/>
    <cellStyle name="SAPBEXHLevel1 7" xfId="16452" xr:uid="{14E7440F-7EB6-40F7-BAE7-A7B3BAA3A24E}"/>
    <cellStyle name="SAPBEXHLevel1 7 2" xfId="16453" xr:uid="{5A65684F-5CAE-4E5F-8E35-56216B2C1969}"/>
    <cellStyle name="SAPBEXHLevel1 8" xfId="16454" xr:uid="{CE2E5F2E-E57B-42AF-8C8E-2F119FDC3E84}"/>
    <cellStyle name="SAPBEXHLevel1 8 2" xfId="16455" xr:uid="{4EAE326C-5ED4-4039-B81E-4F781109E887}"/>
    <cellStyle name="SAPBEXHLevel1 9" xfId="16456" xr:uid="{9482626C-C150-42E6-97F8-388C28148475}"/>
    <cellStyle name="SAPBEXHLevel1 9 2" xfId="16457" xr:uid="{C8BC9900-C2B0-4AB8-A824-4D2818FF8F82}"/>
    <cellStyle name="SAPBEXHLevel1_T1 ANSP" xfId="15838" xr:uid="{AB56E9C5-7128-403E-86DA-E9F240A67EC4}"/>
    <cellStyle name="SAPBEXHLevel1X" xfId="749" xr:uid="{00000000-0005-0000-0000-000094050000}"/>
    <cellStyle name="SAPBEXHLevel1X 10" xfId="16459" xr:uid="{91EE34DD-7B5C-40B3-83C6-1239E5DDB706}"/>
    <cellStyle name="SAPBEXHLevel1X 10 2" xfId="16460" xr:uid="{449CB790-596B-4F86-9D79-AD2FD63B18D4}"/>
    <cellStyle name="SAPBEXHLevel1X 11" xfId="16461" xr:uid="{2E09A235-7E29-4380-992E-3BBEE80BE934}"/>
    <cellStyle name="SAPBEXHLevel1X 11 2" xfId="16462" xr:uid="{A83853FB-3BBC-481F-B2E0-6AC7E794C82D}"/>
    <cellStyle name="SAPBEXHLevel1X 12" xfId="16463" xr:uid="{56C59249-6DA5-44F5-A2AC-A5DC7D7F424C}"/>
    <cellStyle name="SAPBEXHLevel1X 12 2" xfId="16464" xr:uid="{A979DE0B-6D50-4EA3-8570-DE3FC9D68CE8}"/>
    <cellStyle name="SAPBEXHLevel1X 13" xfId="16465" xr:uid="{E8338D9A-DCCD-4492-A9CA-9E9086DE4812}"/>
    <cellStyle name="SAPBEXHLevel1X 13 2" xfId="16466" xr:uid="{6B0F6684-80FC-4478-973F-80C86EAC1607}"/>
    <cellStyle name="SAPBEXHLevel1X 14" xfId="16467" xr:uid="{739A9CB1-DF64-4D85-A12E-5D960B1AB945}"/>
    <cellStyle name="SAPBEXHLevel1X 14 2" xfId="16468" xr:uid="{E6F639EA-A2C3-4166-854B-ADB5EB19B26A}"/>
    <cellStyle name="SAPBEXHLevel1X 15" xfId="16469" xr:uid="{FB531B69-BAEE-4767-94F4-7C5AC4D81BD1}"/>
    <cellStyle name="SAPBEXHLevel1X 15 2" xfId="16470" xr:uid="{484E59A1-AC6B-4E75-B7B0-6BF2E3BAD44A}"/>
    <cellStyle name="SAPBEXHLevel1X 16" xfId="16471" xr:uid="{E2BD4E64-B186-439F-8ABD-241FED24A48A}"/>
    <cellStyle name="SAPBEXHLevel1X 16 2" xfId="16472" xr:uid="{27A0CB4A-832D-4AA2-939E-EC323394D3E4}"/>
    <cellStyle name="SAPBEXHLevel1X 17" xfId="16473" xr:uid="{390AAB7A-E463-4782-A7A4-0926FC21E654}"/>
    <cellStyle name="SAPBEXHLevel1X 17 2" xfId="16474" xr:uid="{ED0117AF-B4CD-42AC-AFEA-D66E95A7A990}"/>
    <cellStyle name="SAPBEXHLevel1X 18" xfId="16475" xr:uid="{56656BA5-A09E-412D-9A4F-D30F6208380A}"/>
    <cellStyle name="SAPBEXHLevel1X 18 2" xfId="16476" xr:uid="{4A696A3A-F907-4131-B44A-71AF74894840}"/>
    <cellStyle name="SAPBEXHLevel1X 19" xfId="16477" xr:uid="{8CDEAD6B-469B-4F68-A1E9-0450849B08B2}"/>
    <cellStyle name="SAPBEXHLevel1X 19 2" xfId="16478" xr:uid="{1DFDE99B-D757-47DD-9ABE-0D2E2483A166}"/>
    <cellStyle name="SAPBEXHLevel1X 2" xfId="1563" xr:uid="{00000000-0005-0000-0000-000095050000}"/>
    <cellStyle name="SAPBEXHLevel1X 2 10" xfId="16480" xr:uid="{4DE5C2D0-4389-4541-91F3-FFA9D68B8A8E}"/>
    <cellStyle name="SAPBEXHLevel1X 2 10 2" xfId="16481" xr:uid="{A2ED4094-8014-4D4F-8EC7-DCA95A5C9BD1}"/>
    <cellStyle name="SAPBEXHLevel1X 2 11" xfId="16482" xr:uid="{C96E7534-EB84-45DC-A862-D20C72800191}"/>
    <cellStyle name="SAPBEXHLevel1X 2 11 2" xfId="16483" xr:uid="{471BA925-DA5F-47DC-ABC7-B21C1037C7CF}"/>
    <cellStyle name="SAPBEXHLevel1X 2 12" xfId="16484" xr:uid="{2C35594B-2BA5-484A-A01A-6E1B23C98C5F}"/>
    <cellStyle name="SAPBEXHLevel1X 2 12 2" xfId="16485" xr:uid="{EE64FF76-0963-4323-B9E1-109BDB5AE095}"/>
    <cellStyle name="SAPBEXHLevel1X 2 13" xfId="16486" xr:uid="{33E44BFF-6BFD-45C4-BF38-C63AE6199DB9}"/>
    <cellStyle name="SAPBEXHLevel1X 2 13 2" xfId="16487" xr:uid="{93B00CF5-4DCA-4EED-95C3-3BCBCF01F9BA}"/>
    <cellStyle name="SAPBEXHLevel1X 2 14" xfId="16488" xr:uid="{CEB3FAD9-39A6-44C6-A6AA-413BDFA1FF95}"/>
    <cellStyle name="SAPBEXHLevel1X 2 14 2" xfId="16489" xr:uid="{7DB8539F-CFD1-4BF0-8ED9-BB6611E32339}"/>
    <cellStyle name="SAPBEXHLevel1X 2 15" xfId="16490" xr:uid="{5F0BA83C-0EA2-49C8-8E4F-47578B5C0550}"/>
    <cellStyle name="SAPBEXHLevel1X 2 15 2" xfId="16491" xr:uid="{448A1F1B-A272-46C6-A09C-10E9B5A682D0}"/>
    <cellStyle name="SAPBEXHLevel1X 2 16" xfId="16492" xr:uid="{F6118DBF-88AB-4EB5-A56E-BC9775D35052}"/>
    <cellStyle name="SAPBEXHLevel1X 2 16 2" xfId="16493" xr:uid="{B2E6A158-7969-4E4D-B3FB-B2BFF66E3B66}"/>
    <cellStyle name="SAPBEXHLevel1X 2 17" xfId="16494" xr:uid="{1A9D904F-D13D-4694-B8C7-215AC315EF22}"/>
    <cellStyle name="SAPBEXHLevel1X 2 17 2" xfId="16495" xr:uid="{411B2209-AAD3-4844-9143-D93D7782AF84}"/>
    <cellStyle name="SAPBEXHLevel1X 2 18" xfId="16496" xr:uid="{123521C5-5B27-4123-AF9A-ECA340BCFB67}"/>
    <cellStyle name="SAPBEXHLevel1X 2 2" xfId="16497" xr:uid="{D0F93511-CC3E-4D50-B4C5-CAD9C9B001BF}"/>
    <cellStyle name="SAPBEXHLevel1X 2 2 10" xfId="16498" xr:uid="{FE97746C-74A7-4074-813A-BBB0B1B6C976}"/>
    <cellStyle name="SAPBEXHLevel1X 2 2 10 2" xfId="16499" xr:uid="{BFF5AFBC-E026-4021-BCB8-715C8D094200}"/>
    <cellStyle name="SAPBEXHLevel1X 2 2 11" xfId="16500" xr:uid="{EE481693-E3C5-4E91-BD1A-24F695BE8509}"/>
    <cellStyle name="SAPBEXHLevel1X 2 2 11 2" xfId="16501" xr:uid="{52E8E0DD-EFD4-41F7-A83D-8F7F92D1DFDE}"/>
    <cellStyle name="SAPBEXHLevel1X 2 2 12" xfId="16502" xr:uid="{75CF1FF0-3BBD-469A-AD89-27220FBA10B2}"/>
    <cellStyle name="SAPBEXHLevel1X 2 2 12 2" xfId="16503" xr:uid="{79988808-6C15-4EB4-A9A2-5CB19B90C264}"/>
    <cellStyle name="SAPBEXHLevel1X 2 2 13" xfId="16504" xr:uid="{923DEEF3-F8EC-4350-8139-EA1FC68FF62A}"/>
    <cellStyle name="SAPBEXHLevel1X 2 2 13 2" xfId="16505" xr:uid="{AC60E9B9-5B2D-4E8A-BEEC-406063DDD437}"/>
    <cellStyle name="SAPBEXHLevel1X 2 2 14" xfId="16506" xr:uid="{5EF09127-E774-4B07-958F-E3DC2BF822C6}"/>
    <cellStyle name="SAPBEXHLevel1X 2 2 14 2" xfId="16507" xr:uid="{FB637FE6-84A9-42CB-A468-FAB84CC335B0}"/>
    <cellStyle name="SAPBEXHLevel1X 2 2 15" xfId="16508" xr:uid="{5AF4FF10-3C90-41EA-B45C-65951921A1F2}"/>
    <cellStyle name="SAPBEXHLevel1X 2 2 15 2" xfId="16509" xr:uid="{81E674E7-2583-4593-9F2C-099853EF7BB9}"/>
    <cellStyle name="SAPBEXHLevel1X 2 2 16" xfId="16510" xr:uid="{875D940B-41CB-4F5D-9536-360BEF6A8490}"/>
    <cellStyle name="SAPBEXHLevel1X 2 2 16 2" xfId="16511" xr:uid="{FC0CFAE6-26C0-48B6-AB76-08372816733B}"/>
    <cellStyle name="SAPBEXHLevel1X 2 2 17" xfId="16512" xr:uid="{4BB89975-DB55-4E07-AE24-D4C8B0C7C1FD}"/>
    <cellStyle name="SAPBEXHLevel1X 2 2 17 2" xfId="16513" xr:uid="{55C6D8C1-B244-4051-817E-87181C2B8BCB}"/>
    <cellStyle name="SAPBEXHLevel1X 2 2 18" xfId="16514" xr:uid="{4015D4E4-289E-4C06-B268-03C394DDD4F3}"/>
    <cellStyle name="SAPBEXHLevel1X 2 2 2" xfId="16515" xr:uid="{0BA3AFB3-1066-473A-BC2D-C94C323BA147}"/>
    <cellStyle name="SAPBEXHLevel1X 2 2 2 10" xfId="16516" xr:uid="{A5F57DCC-016F-4F78-8CD6-52092F1E87EA}"/>
    <cellStyle name="SAPBEXHLevel1X 2 2 2 10 2" xfId="16517" xr:uid="{23622168-CAAE-4196-90FD-7290202B9F8F}"/>
    <cellStyle name="SAPBEXHLevel1X 2 2 2 11" xfId="16518" xr:uid="{574283D3-12CB-4079-B286-44DCA852AE24}"/>
    <cellStyle name="SAPBEXHLevel1X 2 2 2 11 2" xfId="16519" xr:uid="{C3284523-188C-4045-84CD-BEE9F2D6446D}"/>
    <cellStyle name="SAPBEXHLevel1X 2 2 2 12" xfId="16520" xr:uid="{76C2E920-7570-4C9C-B743-AB362E6865F6}"/>
    <cellStyle name="SAPBEXHLevel1X 2 2 2 12 2" xfId="16521" xr:uid="{D80B6CD0-24C0-41D8-9A77-51E36DFE12B5}"/>
    <cellStyle name="SAPBEXHLevel1X 2 2 2 13" xfId="16522" xr:uid="{729A3316-073B-42CA-A68E-DC02CF36FF5C}"/>
    <cellStyle name="SAPBEXHLevel1X 2 2 2 13 2" xfId="16523" xr:uid="{3CE67721-050F-40C3-8FF1-3968AF7E5EEF}"/>
    <cellStyle name="SAPBEXHLevel1X 2 2 2 14" xfId="16524" xr:uid="{DA71A745-900A-454B-9E0D-7E6BF5903E97}"/>
    <cellStyle name="SAPBEXHLevel1X 2 2 2 14 2" xfId="16525" xr:uid="{49673BA5-3BC4-44D8-B6F3-F6F3A19467C6}"/>
    <cellStyle name="SAPBEXHLevel1X 2 2 2 15" xfId="16526" xr:uid="{DD64164A-E2DD-48F6-98BC-89A4D868726E}"/>
    <cellStyle name="SAPBEXHLevel1X 2 2 2 15 2" xfId="16527" xr:uid="{75159D1D-29DC-497A-B573-83CD81BD004A}"/>
    <cellStyle name="SAPBEXHLevel1X 2 2 2 16" xfId="16528" xr:uid="{381D040D-EBF9-4F5E-A046-D624E6327EF0}"/>
    <cellStyle name="SAPBEXHLevel1X 2 2 2 2" xfId="16529" xr:uid="{A5484DCA-2CEE-4269-B3ED-DA5CD8675DDC}"/>
    <cellStyle name="SAPBEXHLevel1X 2 2 2 2 2" xfId="16530" xr:uid="{212E4DBC-CC5C-43BF-828A-FF56012D2395}"/>
    <cellStyle name="SAPBEXHLevel1X 2 2 2 3" xfId="16531" xr:uid="{663FCA1B-F492-4A48-9855-D661B4521E1C}"/>
    <cellStyle name="SAPBEXHLevel1X 2 2 2 3 2" xfId="16532" xr:uid="{F0D18FCF-39CA-45DF-9616-5E9BFE9044DA}"/>
    <cellStyle name="SAPBEXHLevel1X 2 2 2 4" xfId="16533" xr:uid="{AB12C499-1E26-499A-8EE4-59086559CCEA}"/>
    <cellStyle name="SAPBEXHLevel1X 2 2 2 4 2" xfId="16534" xr:uid="{6F1C615B-616A-48D8-9D5B-362B06620F94}"/>
    <cellStyle name="SAPBEXHLevel1X 2 2 2 5" xfId="16535" xr:uid="{F7CD625F-4B35-496F-8BE8-0AA3620C47AF}"/>
    <cellStyle name="SAPBEXHLevel1X 2 2 2 5 2" xfId="16536" xr:uid="{45AF8BD5-DA08-4B99-9857-B7F2588AA6B5}"/>
    <cellStyle name="SAPBEXHLevel1X 2 2 2 6" xfId="16537" xr:uid="{262D8C61-B946-4955-BD67-6C75C8A6259F}"/>
    <cellStyle name="SAPBEXHLevel1X 2 2 2 6 2" xfId="16538" xr:uid="{88A96BB7-8D6D-45C7-A736-45195DDF9FC3}"/>
    <cellStyle name="SAPBEXHLevel1X 2 2 2 7" xfId="16539" xr:uid="{20FEDF9C-B382-446E-87FA-6B9AB5D75CD1}"/>
    <cellStyle name="SAPBEXHLevel1X 2 2 2 7 2" xfId="16540" xr:uid="{CA17A0BC-AEA8-44D0-8FD8-7C89F69EFBC8}"/>
    <cellStyle name="SAPBEXHLevel1X 2 2 2 8" xfId="16541" xr:uid="{034CF015-81A7-45BD-99CA-69A3B36A0D21}"/>
    <cellStyle name="SAPBEXHLevel1X 2 2 2 8 2" xfId="16542" xr:uid="{020CA7EF-708B-4CFC-B101-6B8B6A1F5B9B}"/>
    <cellStyle name="SAPBEXHLevel1X 2 2 2 9" xfId="16543" xr:uid="{DC9826B6-DB06-493A-BC5A-A1516353CF05}"/>
    <cellStyle name="SAPBEXHLevel1X 2 2 2 9 2" xfId="16544" xr:uid="{0C853793-20D5-4651-8AD1-0D9D3BAE8817}"/>
    <cellStyle name="SAPBEXHLevel1X 2 2 3" xfId="16545" xr:uid="{FDF2E45E-9E93-4191-8646-CD7AF6576299}"/>
    <cellStyle name="SAPBEXHLevel1X 2 2 3 10" xfId="16546" xr:uid="{537DBDEC-CF3D-433F-80CA-37F937A63678}"/>
    <cellStyle name="SAPBEXHLevel1X 2 2 3 10 2" xfId="16547" xr:uid="{9DCD610B-B53D-49D3-9FE0-746DCDF939DD}"/>
    <cellStyle name="SAPBEXHLevel1X 2 2 3 11" xfId="16548" xr:uid="{7CF56509-CFBB-428A-BDF1-4BD206539B78}"/>
    <cellStyle name="SAPBEXHLevel1X 2 2 3 11 2" xfId="16549" xr:uid="{E42E5B91-6453-4A0A-ABFB-AF15C2A9EBAC}"/>
    <cellStyle name="SAPBEXHLevel1X 2 2 3 12" xfId="16550" xr:uid="{14C85CD6-1ACB-41FD-9E06-769A22C0DC93}"/>
    <cellStyle name="SAPBEXHLevel1X 2 2 3 12 2" xfId="16551" xr:uid="{7C453A20-2749-4408-9913-AEFF8289BC4F}"/>
    <cellStyle name="SAPBEXHLevel1X 2 2 3 13" xfId="16552" xr:uid="{EC9D4E06-B913-4814-958A-A5B210B54C9F}"/>
    <cellStyle name="SAPBEXHLevel1X 2 2 3 13 2" xfId="16553" xr:uid="{11FE7473-7701-48F0-A103-E98BBF8AE63E}"/>
    <cellStyle name="SAPBEXHLevel1X 2 2 3 14" xfId="16554" xr:uid="{33C23972-F273-46B7-8C09-61F9008E46FC}"/>
    <cellStyle name="SAPBEXHLevel1X 2 2 3 14 2" xfId="16555" xr:uid="{FA79951D-8619-4BDC-9665-34264ACB24B7}"/>
    <cellStyle name="SAPBEXHLevel1X 2 2 3 15" xfId="16556" xr:uid="{45E28C5C-078E-4BD2-8E21-F5BF2620DEAE}"/>
    <cellStyle name="SAPBEXHLevel1X 2 2 3 15 2" xfId="16557" xr:uid="{BD0A2F2D-F5B2-4DD5-9875-E61631C1F1D9}"/>
    <cellStyle name="SAPBEXHLevel1X 2 2 3 16" xfId="16558" xr:uid="{9B644A72-46DC-4C09-9F29-2AFBE4161477}"/>
    <cellStyle name="SAPBEXHLevel1X 2 2 3 2" xfId="16559" xr:uid="{7E3CFABE-9048-4BAD-ABF6-A1D43BC6836D}"/>
    <cellStyle name="SAPBEXHLevel1X 2 2 3 2 2" xfId="16560" xr:uid="{C1C70A55-B9E8-4841-BA5E-F409D179C3DD}"/>
    <cellStyle name="SAPBEXHLevel1X 2 2 3 3" xfId="16561" xr:uid="{480566CE-67E7-43E9-84DE-A7D8F91EB46A}"/>
    <cellStyle name="SAPBEXHLevel1X 2 2 3 3 2" xfId="16562" xr:uid="{67CE7DEA-4E91-4120-933E-423A13D41483}"/>
    <cellStyle name="SAPBEXHLevel1X 2 2 3 4" xfId="16563" xr:uid="{32573F6B-069C-4A72-BA30-B14E5E96B9B7}"/>
    <cellStyle name="SAPBEXHLevel1X 2 2 3 4 2" xfId="16564" xr:uid="{223FB856-E2ED-401B-8AA2-6CCF717504D7}"/>
    <cellStyle name="SAPBEXHLevel1X 2 2 3 5" xfId="16565" xr:uid="{6BED00CA-8743-47FD-B265-B39CA86441D1}"/>
    <cellStyle name="SAPBEXHLevel1X 2 2 3 5 2" xfId="16566" xr:uid="{728CF131-45A0-4852-B478-F813DB7FC649}"/>
    <cellStyle name="SAPBEXHLevel1X 2 2 3 6" xfId="16567" xr:uid="{3F557D22-6535-44BE-B112-CD6B8748C36D}"/>
    <cellStyle name="SAPBEXHLevel1X 2 2 3 6 2" xfId="16568" xr:uid="{81EEBAD4-EA26-4234-B4E2-5FE99663CF73}"/>
    <cellStyle name="SAPBEXHLevel1X 2 2 3 7" xfId="16569" xr:uid="{EDDAF9CE-3CC4-49D4-868A-6F07CE2DC4F6}"/>
    <cellStyle name="SAPBEXHLevel1X 2 2 3 7 2" xfId="16570" xr:uid="{3C462E4F-B7C4-495F-A0C5-171B283E5803}"/>
    <cellStyle name="SAPBEXHLevel1X 2 2 3 8" xfId="16571" xr:uid="{60DB548E-8253-40C4-AEC5-32E22D8C7D57}"/>
    <cellStyle name="SAPBEXHLevel1X 2 2 3 8 2" xfId="16572" xr:uid="{15C9E2E7-5C11-4E4C-BFAE-6C5E6F92BEB0}"/>
    <cellStyle name="SAPBEXHLevel1X 2 2 3 9" xfId="16573" xr:uid="{27F87CCB-B1E4-4274-A202-3B9B7EEA41D8}"/>
    <cellStyle name="SAPBEXHLevel1X 2 2 3 9 2" xfId="16574" xr:uid="{4ADB8833-632A-4111-B545-E673584FBB0D}"/>
    <cellStyle name="SAPBEXHLevel1X 2 2 4" xfId="16575" xr:uid="{CF44CBEF-D4BE-46F9-A294-E6E384B42679}"/>
    <cellStyle name="SAPBEXHLevel1X 2 2 4 2" xfId="16576" xr:uid="{4A5EE803-95BE-44D6-A894-AD56FFA0F325}"/>
    <cellStyle name="SAPBEXHLevel1X 2 2 5" xfId="16577" xr:uid="{D61864C3-903C-4E9A-A638-03D42B209D18}"/>
    <cellStyle name="SAPBEXHLevel1X 2 2 5 2" xfId="16578" xr:uid="{7D7C89CF-A399-4BC0-8E73-F521EDCB8D8F}"/>
    <cellStyle name="SAPBEXHLevel1X 2 2 6" xfId="16579" xr:uid="{F372BF77-5590-4F93-BDB8-4B43518A1590}"/>
    <cellStyle name="SAPBEXHLevel1X 2 2 6 2" xfId="16580" xr:uid="{30CA309C-505A-4DD6-9BE5-3BAA4C43A8A6}"/>
    <cellStyle name="SAPBEXHLevel1X 2 2 7" xfId="16581" xr:uid="{EBDD6267-ADF3-4B1F-8D55-76C210D426C3}"/>
    <cellStyle name="SAPBEXHLevel1X 2 2 7 2" xfId="16582" xr:uid="{A1330955-E601-46A5-9CD3-1E0BB831F766}"/>
    <cellStyle name="SAPBEXHLevel1X 2 2 8" xfId="16583" xr:uid="{D14049F5-C111-4469-9AAB-927E7365F0D9}"/>
    <cellStyle name="SAPBEXHLevel1X 2 2 8 2" xfId="16584" xr:uid="{2427F6E9-98FB-4E25-A7D6-B748C688B49D}"/>
    <cellStyle name="SAPBEXHLevel1X 2 2 9" xfId="16585" xr:uid="{C6EA0D55-2DF9-43FD-8C9C-CB76770F1F9C}"/>
    <cellStyle name="SAPBEXHLevel1X 2 2 9 2" xfId="16586" xr:uid="{7E4F8F51-6388-4D03-961C-F87F61C1A9FA}"/>
    <cellStyle name="SAPBEXHLevel1X 2 3" xfId="16587" xr:uid="{1FA704EE-F41C-41CA-A331-3A4615CE68B9}"/>
    <cellStyle name="SAPBEXHLevel1X 2 3 10" xfId="16588" xr:uid="{0BB26C2C-6C2C-4679-9FDE-7B99665A6185}"/>
    <cellStyle name="SAPBEXHLevel1X 2 3 10 2" xfId="16589" xr:uid="{B8955636-6E56-483D-8674-652041916EF0}"/>
    <cellStyle name="SAPBEXHLevel1X 2 3 11" xfId="16590" xr:uid="{1939DE26-3661-4413-91DB-9CD0EA07408E}"/>
    <cellStyle name="SAPBEXHLevel1X 2 3 11 2" xfId="16591" xr:uid="{556F91BC-0433-43AE-971A-5C967DC67E4E}"/>
    <cellStyle name="SAPBEXHLevel1X 2 3 12" xfId="16592" xr:uid="{BD7DA3AB-5361-44A1-B08B-92F346597E73}"/>
    <cellStyle name="SAPBEXHLevel1X 2 3 12 2" xfId="16593" xr:uid="{59DC7080-4887-48B8-9539-BB58C367A09E}"/>
    <cellStyle name="SAPBEXHLevel1X 2 3 13" xfId="16594" xr:uid="{986824D0-0DDF-4B64-8B1A-BFEDCDBFB7C5}"/>
    <cellStyle name="SAPBEXHLevel1X 2 3 13 2" xfId="16595" xr:uid="{8E95BC73-AB08-4882-B5D9-FA4C8AB76495}"/>
    <cellStyle name="SAPBEXHLevel1X 2 3 14" xfId="16596" xr:uid="{888BD124-8DC0-4016-B778-94F4D5905EF5}"/>
    <cellStyle name="SAPBEXHLevel1X 2 3 14 2" xfId="16597" xr:uid="{63FD5990-BCC6-4A7C-9DC1-E20C8BCFF405}"/>
    <cellStyle name="SAPBEXHLevel1X 2 3 15" xfId="16598" xr:uid="{22B3DBB5-5841-40A8-A39D-A5270CBC8218}"/>
    <cellStyle name="SAPBEXHLevel1X 2 3 15 2" xfId="16599" xr:uid="{C27D0F3D-F85C-4A47-B759-D2CF7BFC702F}"/>
    <cellStyle name="SAPBEXHLevel1X 2 3 16" xfId="16600" xr:uid="{46F2C997-6E32-4734-BA47-5CD21B16E36E}"/>
    <cellStyle name="SAPBEXHLevel1X 2 3 16 2" xfId="16601" xr:uid="{97EAAA1C-1263-4945-A78D-F71FC23F0605}"/>
    <cellStyle name="SAPBEXHLevel1X 2 3 17" xfId="16602" xr:uid="{35D7D252-434D-4C4B-BD3C-E459484E625C}"/>
    <cellStyle name="SAPBEXHLevel1X 2 3 17 2" xfId="16603" xr:uid="{F8081E34-E543-485D-B099-4D1E5B7CB33C}"/>
    <cellStyle name="SAPBEXHLevel1X 2 3 18" xfId="16604" xr:uid="{9B8DF411-E9D1-41A4-98B3-20A4B8F3519F}"/>
    <cellStyle name="SAPBEXHLevel1X 2 3 2" xfId="16605" xr:uid="{A0E8977A-A5DA-42D8-9955-D82F7ECE5BC9}"/>
    <cellStyle name="SAPBEXHLevel1X 2 3 2 10" xfId="16606" xr:uid="{A9B9F49B-41A6-44BF-878A-5E966F281F94}"/>
    <cellStyle name="SAPBEXHLevel1X 2 3 2 10 2" xfId="16607" xr:uid="{2279D539-4CE5-4702-ABEE-0156BC1130F0}"/>
    <cellStyle name="SAPBEXHLevel1X 2 3 2 11" xfId="16608" xr:uid="{921577B4-7139-4EF7-BE33-5CB9CA73D6ED}"/>
    <cellStyle name="SAPBEXHLevel1X 2 3 2 11 2" xfId="16609" xr:uid="{554AB994-929E-4C2A-B079-F3996F23B15F}"/>
    <cellStyle name="SAPBEXHLevel1X 2 3 2 12" xfId="16610" xr:uid="{1709EF85-2586-4276-831D-5FD5FF55B120}"/>
    <cellStyle name="SAPBEXHLevel1X 2 3 2 12 2" xfId="16611" xr:uid="{55F603A2-8B0C-4D4D-9942-553B2F375413}"/>
    <cellStyle name="SAPBEXHLevel1X 2 3 2 13" xfId="16612" xr:uid="{545A9EC7-53C3-47FB-BCBA-67C5DD9F7DF6}"/>
    <cellStyle name="SAPBEXHLevel1X 2 3 2 13 2" xfId="16613" xr:uid="{C7CC7E38-ABC3-45EF-8BD2-3E3C103C169A}"/>
    <cellStyle name="SAPBEXHLevel1X 2 3 2 14" xfId="16614" xr:uid="{DD67997D-1676-49BB-BE01-8F50A7421E3D}"/>
    <cellStyle name="SAPBEXHLevel1X 2 3 2 14 2" xfId="16615" xr:uid="{1A4888D0-EA95-4352-9ED2-DD0412E06E2D}"/>
    <cellStyle name="SAPBEXHLevel1X 2 3 2 15" xfId="16616" xr:uid="{3C2CA999-DD53-4872-A9AB-DC87FDC03D1B}"/>
    <cellStyle name="SAPBEXHLevel1X 2 3 2 15 2" xfId="16617" xr:uid="{16E63769-32CA-45C7-9D73-49693B72A6E4}"/>
    <cellStyle name="SAPBEXHLevel1X 2 3 2 16" xfId="16618" xr:uid="{AF0A93EF-49E2-4B99-8681-1BC0895EE643}"/>
    <cellStyle name="SAPBEXHLevel1X 2 3 2 2" xfId="16619" xr:uid="{D92540A0-DBA7-4926-8907-E57C55D33B52}"/>
    <cellStyle name="SAPBEXHLevel1X 2 3 2 2 2" xfId="16620" xr:uid="{FEEEC295-1629-4B0B-8734-3FC23C59133A}"/>
    <cellStyle name="SAPBEXHLevel1X 2 3 2 3" xfId="16621" xr:uid="{25BB7AF4-53A2-439D-B3D3-A18F993D2421}"/>
    <cellStyle name="SAPBEXHLevel1X 2 3 2 3 2" xfId="16622" xr:uid="{3CF70216-F732-44C5-9F07-D6C79DB09F26}"/>
    <cellStyle name="SAPBEXHLevel1X 2 3 2 4" xfId="16623" xr:uid="{B29383A4-2D81-41F7-B753-DFF1F5F53131}"/>
    <cellStyle name="SAPBEXHLevel1X 2 3 2 4 2" xfId="16624" xr:uid="{1121BEC4-A591-406F-9277-E466F22F1338}"/>
    <cellStyle name="SAPBEXHLevel1X 2 3 2 5" xfId="16625" xr:uid="{78AB29DB-E79A-4D29-B538-2D48D8787484}"/>
    <cellStyle name="SAPBEXHLevel1X 2 3 2 5 2" xfId="16626" xr:uid="{C50F3562-36EF-4B01-9943-893941E3E66D}"/>
    <cellStyle name="SAPBEXHLevel1X 2 3 2 6" xfId="16627" xr:uid="{2AF764EF-5C20-4BCB-87F9-7B2103AF1638}"/>
    <cellStyle name="SAPBEXHLevel1X 2 3 2 6 2" xfId="16628" xr:uid="{95DA4460-6A36-4F78-A1EB-DE1DA033DC02}"/>
    <cellStyle name="SAPBEXHLevel1X 2 3 2 7" xfId="16629" xr:uid="{C593BA0C-C8F6-4D5D-AC4C-E00002B37BAF}"/>
    <cellStyle name="SAPBEXHLevel1X 2 3 2 7 2" xfId="16630" xr:uid="{963F007A-E7E3-47C8-B68C-A99EFBB7D02F}"/>
    <cellStyle name="SAPBEXHLevel1X 2 3 2 8" xfId="16631" xr:uid="{7D4A1DEA-0595-4639-977B-B7DBBCE403A7}"/>
    <cellStyle name="SAPBEXHLevel1X 2 3 2 8 2" xfId="16632" xr:uid="{E142D387-C89C-4159-9DB2-777C3C87C529}"/>
    <cellStyle name="SAPBEXHLevel1X 2 3 2 9" xfId="16633" xr:uid="{27903397-AE4C-4C9A-AA47-61F874E4CA69}"/>
    <cellStyle name="SAPBEXHLevel1X 2 3 2 9 2" xfId="16634" xr:uid="{B9CB56B6-FBCD-4674-8605-C6174BB73B24}"/>
    <cellStyle name="SAPBEXHLevel1X 2 3 3" xfId="16635" xr:uid="{1E341DD0-5545-45CE-BA44-744BA803F48F}"/>
    <cellStyle name="SAPBEXHLevel1X 2 3 3 10" xfId="16636" xr:uid="{88110F51-5C37-4BF1-AF47-B5715931BA3A}"/>
    <cellStyle name="SAPBEXHLevel1X 2 3 3 10 2" xfId="16637" xr:uid="{DE6207F9-26DB-415A-9957-5B9637A263DF}"/>
    <cellStyle name="SAPBEXHLevel1X 2 3 3 11" xfId="16638" xr:uid="{E93B5ADF-A38F-4051-B3A2-F937C87CDDF4}"/>
    <cellStyle name="SAPBEXHLevel1X 2 3 3 11 2" xfId="16639" xr:uid="{75098E10-750F-4A80-99F4-B7F900D40B97}"/>
    <cellStyle name="SAPBEXHLevel1X 2 3 3 12" xfId="16640" xr:uid="{6D24E2BA-E60F-4F41-ABB8-3DACD6FFF605}"/>
    <cellStyle name="SAPBEXHLevel1X 2 3 3 12 2" xfId="16641" xr:uid="{7AE75585-FA1D-4382-AE1E-A25DEA390705}"/>
    <cellStyle name="SAPBEXHLevel1X 2 3 3 13" xfId="16642" xr:uid="{EF41767A-AB26-4131-A732-6F3D8F2E1202}"/>
    <cellStyle name="SAPBEXHLevel1X 2 3 3 13 2" xfId="16643" xr:uid="{1A7DD310-CACB-45E3-A4DC-E694EE9E0E50}"/>
    <cellStyle name="SAPBEXHLevel1X 2 3 3 14" xfId="16644" xr:uid="{204F67AC-6F9F-4224-A801-20522F0AF0B8}"/>
    <cellStyle name="SAPBEXHLevel1X 2 3 3 14 2" xfId="16645" xr:uid="{1395BE39-E6A3-41D7-9DAB-B2FEC1C5C37F}"/>
    <cellStyle name="SAPBEXHLevel1X 2 3 3 15" xfId="16646" xr:uid="{E14B0A72-BFC5-420D-A603-516ED10521A0}"/>
    <cellStyle name="SAPBEXHLevel1X 2 3 3 15 2" xfId="16647" xr:uid="{B592ADB0-8F5A-4E80-A652-DA7C6BE2D705}"/>
    <cellStyle name="SAPBEXHLevel1X 2 3 3 16" xfId="16648" xr:uid="{C8BD57B8-3C82-44E3-8851-6120393051E3}"/>
    <cellStyle name="SAPBEXHLevel1X 2 3 3 2" xfId="16649" xr:uid="{75435E66-BFE2-4F79-98A6-5F4BB22BFEBA}"/>
    <cellStyle name="SAPBEXHLevel1X 2 3 3 2 2" xfId="16650" xr:uid="{56554305-A10E-4CCA-9706-9DCC9AB4A852}"/>
    <cellStyle name="SAPBEXHLevel1X 2 3 3 3" xfId="16651" xr:uid="{9FCB3FE0-E224-434A-8936-FAC30FBDA7BE}"/>
    <cellStyle name="SAPBEXHLevel1X 2 3 3 3 2" xfId="16652" xr:uid="{3C7D8F4E-4990-40A0-95AD-385E8B151799}"/>
    <cellStyle name="SAPBEXHLevel1X 2 3 3 4" xfId="16653" xr:uid="{3C576A22-EE7F-4E8B-93B6-74E69C988815}"/>
    <cellStyle name="SAPBEXHLevel1X 2 3 3 4 2" xfId="16654" xr:uid="{773C9641-8EE2-4ADE-B5C2-234A753AA565}"/>
    <cellStyle name="SAPBEXHLevel1X 2 3 3 5" xfId="16655" xr:uid="{BA54BC3C-1E17-44DE-AD59-13CA9EC82F27}"/>
    <cellStyle name="SAPBEXHLevel1X 2 3 3 5 2" xfId="16656" xr:uid="{5005D4F7-5591-48C6-9295-12478F71CE32}"/>
    <cellStyle name="SAPBEXHLevel1X 2 3 3 6" xfId="16657" xr:uid="{4AC77D15-2820-4E62-8DD5-7B4A83D44296}"/>
    <cellStyle name="SAPBEXHLevel1X 2 3 3 6 2" xfId="16658" xr:uid="{EEDF8BB3-5861-4EA6-875F-C897FBC7EE9C}"/>
    <cellStyle name="SAPBEXHLevel1X 2 3 3 7" xfId="16659" xr:uid="{48299414-1C4C-44F0-B571-D911EBF6FF35}"/>
    <cellStyle name="SAPBEXHLevel1X 2 3 3 7 2" xfId="16660" xr:uid="{2A954230-609E-4008-A6F6-C30F3106DEA4}"/>
    <cellStyle name="SAPBEXHLevel1X 2 3 3 8" xfId="16661" xr:uid="{6B736F5F-C16B-40F5-9C7F-CEDC8C0BAC2D}"/>
    <cellStyle name="SAPBEXHLevel1X 2 3 3 8 2" xfId="16662" xr:uid="{F51485FD-17B4-408A-B541-21C8E468583F}"/>
    <cellStyle name="SAPBEXHLevel1X 2 3 3 9" xfId="16663" xr:uid="{BF9B9C7E-9E88-4262-93E6-DA14BFE1DEC8}"/>
    <cellStyle name="SAPBEXHLevel1X 2 3 3 9 2" xfId="16664" xr:uid="{2C9192A4-2DFB-4674-9241-F309831322CB}"/>
    <cellStyle name="SAPBEXHLevel1X 2 3 4" xfId="16665" xr:uid="{B34DB0F6-4AE7-4D3E-8710-5566D75C05F2}"/>
    <cellStyle name="SAPBEXHLevel1X 2 3 4 2" xfId="16666" xr:uid="{3847DF67-485E-4818-A955-7C87504431D5}"/>
    <cellStyle name="SAPBEXHLevel1X 2 3 5" xfId="16667" xr:uid="{179C6A2B-A5BD-4A92-AB9C-CA8C532D81B4}"/>
    <cellStyle name="SAPBEXHLevel1X 2 3 5 2" xfId="16668" xr:uid="{264F0C96-87B8-410B-96F4-F164A91DF31D}"/>
    <cellStyle name="SAPBEXHLevel1X 2 3 6" xfId="16669" xr:uid="{F91D522F-7DFF-48FB-98EA-73C9ADA5BF3E}"/>
    <cellStyle name="SAPBEXHLevel1X 2 3 6 2" xfId="16670" xr:uid="{D18C652F-DDBE-4E94-AE88-C6B1199A7123}"/>
    <cellStyle name="SAPBEXHLevel1X 2 3 7" xfId="16671" xr:uid="{7FC6FD7B-C08F-4B07-8801-A5F02750A170}"/>
    <cellStyle name="SAPBEXHLevel1X 2 3 7 2" xfId="16672" xr:uid="{0B181928-AEDE-4122-B57C-9BC3350F6522}"/>
    <cellStyle name="SAPBEXHLevel1X 2 3 8" xfId="16673" xr:uid="{0E16C8EE-B4FF-4A6E-950C-4CA9CFBA1E6A}"/>
    <cellStyle name="SAPBEXHLevel1X 2 3 8 2" xfId="16674" xr:uid="{DB53BA85-3622-4E8B-AC7A-EB322B46D271}"/>
    <cellStyle name="SAPBEXHLevel1X 2 3 9" xfId="16675" xr:uid="{51BD7F7B-88E3-4B86-AE5B-D7B5EF5376D6}"/>
    <cellStyle name="SAPBEXHLevel1X 2 3 9 2" xfId="16676" xr:uid="{C18284A5-6B53-455E-AF1A-A9DE88318733}"/>
    <cellStyle name="SAPBEXHLevel1X 2 4" xfId="16677" xr:uid="{8CE64C9D-416D-4A6E-A676-32DFD6E9EDB8}"/>
    <cellStyle name="SAPBEXHLevel1X 2 4 2" xfId="16678" xr:uid="{484C3B58-0D9D-434D-BBD6-ABFD625840F6}"/>
    <cellStyle name="SAPBEXHLevel1X 2 5" xfId="16679" xr:uid="{4BCBEB12-5CBD-4773-A8E7-19C5861F599D}"/>
    <cellStyle name="SAPBEXHLevel1X 2 5 2" xfId="16680" xr:uid="{F504E75D-CC1E-49A0-B3E6-C63D26D163E3}"/>
    <cellStyle name="SAPBEXHLevel1X 2 6" xfId="16681" xr:uid="{8A080396-7E31-424F-B2E3-E9A6B3EC4B54}"/>
    <cellStyle name="SAPBEXHLevel1X 2 6 2" xfId="16682" xr:uid="{8C31837E-6EFE-4AF3-89D1-7B49B6A082C1}"/>
    <cellStyle name="SAPBEXHLevel1X 2 7" xfId="16683" xr:uid="{1F9E4B28-82F7-47D6-A33F-29E097165B26}"/>
    <cellStyle name="SAPBEXHLevel1X 2 7 2" xfId="16684" xr:uid="{0F110C44-D809-44ED-91C0-770AFF850414}"/>
    <cellStyle name="SAPBEXHLevel1X 2 8" xfId="16685" xr:uid="{9300A664-81EE-4E85-9175-54D1E46F3BF1}"/>
    <cellStyle name="SAPBEXHLevel1X 2 8 2" xfId="16686" xr:uid="{EC0383A3-3CD3-40BA-A051-C755A5B4293C}"/>
    <cellStyle name="SAPBEXHLevel1X 2 9" xfId="16687" xr:uid="{673E637C-BCED-490E-972A-8A9D1B0C6163}"/>
    <cellStyle name="SAPBEXHLevel1X 2 9 2" xfId="16688" xr:uid="{85322B42-BFE5-4039-8B77-1749E563205A}"/>
    <cellStyle name="SAPBEXHLevel1X 2_T1 ANSP" xfId="16479" xr:uid="{4CF24AB4-B5FA-4C98-BB19-8C57BFB554EA}"/>
    <cellStyle name="SAPBEXHLevel1X 20" xfId="16689" xr:uid="{679D8A5D-537E-400E-9532-EF661AB1509B}"/>
    <cellStyle name="SAPBEXHLevel1X 20 2" xfId="16690" xr:uid="{2B64D86E-9380-42F6-AF97-34EEA23CBA44}"/>
    <cellStyle name="SAPBEXHLevel1X 21" xfId="16691" xr:uid="{2A44AEDC-0E96-4F91-AA84-3B0B58166AF1}"/>
    <cellStyle name="SAPBEXHLevel1X 3" xfId="1521" xr:uid="{00000000-0005-0000-0000-000096050000}"/>
    <cellStyle name="SAPBEXHLevel1X 3 10" xfId="16693" xr:uid="{AE843CD0-B2FB-4374-9611-80452CF4186B}"/>
    <cellStyle name="SAPBEXHLevel1X 3 10 2" xfId="16694" xr:uid="{B9F257C2-915C-4261-8B0A-CE42962244DF}"/>
    <cellStyle name="SAPBEXHLevel1X 3 11" xfId="16695" xr:uid="{7E1148A2-D6C6-4EEA-8443-A62DFD909EBD}"/>
    <cellStyle name="SAPBEXHLevel1X 3 11 2" xfId="16696" xr:uid="{E185A279-3B47-4DF0-8FE8-65249835CA42}"/>
    <cellStyle name="SAPBEXHLevel1X 3 12" xfId="16697" xr:uid="{B8DB7A91-62E0-4B19-A3F5-CC58497BC00D}"/>
    <cellStyle name="SAPBEXHLevel1X 3 12 2" xfId="16698" xr:uid="{74734C8B-0CC8-4A12-934C-1E137D2549CB}"/>
    <cellStyle name="SAPBEXHLevel1X 3 13" xfId="16699" xr:uid="{8350CFD0-526F-4BF5-825A-541738148F7C}"/>
    <cellStyle name="SAPBEXHLevel1X 3 13 2" xfId="16700" xr:uid="{99B3B971-0122-434B-BE09-2CA0D056CE1D}"/>
    <cellStyle name="SAPBEXHLevel1X 3 14" xfId="16701" xr:uid="{5590B401-A954-43AB-9617-51908B9CE13C}"/>
    <cellStyle name="SAPBEXHLevel1X 3 14 2" xfId="16702" xr:uid="{11FB4CDA-9CC9-4E72-938B-1F7DAD46724F}"/>
    <cellStyle name="SAPBEXHLevel1X 3 15" xfId="16703" xr:uid="{5CEAFB3F-8146-4F7B-9EB2-7499022A82A6}"/>
    <cellStyle name="SAPBEXHLevel1X 3 15 2" xfId="16704" xr:uid="{0354966B-B282-400A-B60B-1DC57A4B5A29}"/>
    <cellStyle name="SAPBEXHLevel1X 3 16" xfId="16705" xr:uid="{ACC65A5C-7040-492D-BD5B-87A934FF7001}"/>
    <cellStyle name="SAPBEXHLevel1X 3 16 2" xfId="16706" xr:uid="{BF511974-E26C-42C0-A794-C1FB3866BC5D}"/>
    <cellStyle name="SAPBEXHLevel1X 3 17" xfId="16707" xr:uid="{7B4FEBFD-D98E-4EE0-A54F-933F516AA350}"/>
    <cellStyle name="SAPBEXHLevel1X 3 17 2" xfId="16708" xr:uid="{CE32FD69-FD06-4811-AEF0-534240F556EC}"/>
    <cellStyle name="SAPBEXHLevel1X 3 18" xfId="16709" xr:uid="{EF69BC01-FCD7-47A1-A359-977CA5609609}"/>
    <cellStyle name="SAPBEXHLevel1X 3 2" xfId="16710" xr:uid="{BE8E90D8-DEE4-4444-9B15-9A8629824C0D}"/>
    <cellStyle name="SAPBEXHLevel1X 3 2 10" xfId="16711" xr:uid="{E912BC00-E240-48E3-92B6-02E3432F3309}"/>
    <cellStyle name="SAPBEXHLevel1X 3 2 10 2" xfId="16712" xr:uid="{3753FB6B-155E-4F84-B553-8728AB36C117}"/>
    <cellStyle name="SAPBEXHLevel1X 3 2 11" xfId="16713" xr:uid="{A371B04D-0C51-4CC6-89A4-C8079F649814}"/>
    <cellStyle name="SAPBEXHLevel1X 3 2 11 2" xfId="16714" xr:uid="{CA37E18C-6CDB-4F95-AE4B-15F907ACF3BF}"/>
    <cellStyle name="SAPBEXHLevel1X 3 2 12" xfId="16715" xr:uid="{7ACA40C7-7517-46FB-97AE-C00490F2F312}"/>
    <cellStyle name="SAPBEXHLevel1X 3 2 12 2" xfId="16716" xr:uid="{D54A9C1C-963E-45A5-93AC-6F33FFC021D7}"/>
    <cellStyle name="SAPBEXHLevel1X 3 2 13" xfId="16717" xr:uid="{A96D3C75-150F-4E9E-8BB7-0A02526A0212}"/>
    <cellStyle name="SAPBEXHLevel1X 3 2 13 2" xfId="16718" xr:uid="{D91481AD-A1FF-4CFD-8F92-3BE0630CF910}"/>
    <cellStyle name="SAPBEXHLevel1X 3 2 14" xfId="16719" xr:uid="{3F182835-7077-4CFE-A715-02A8B1A66D2E}"/>
    <cellStyle name="SAPBEXHLevel1X 3 2 14 2" xfId="16720" xr:uid="{7B966D75-2DB5-4262-A75D-AC2AE0E48FFD}"/>
    <cellStyle name="SAPBEXHLevel1X 3 2 15" xfId="16721" xr:uid="{55CB916F-65D2-42F6-82C0-698FE2D44BC8}"/>
    <cellStyle name="SAPBEXHLevel1X 3 2 15 2" xfId="16722" xr:uid="{6F4FF1A8-A369-4E25-BD9F-6DC976A0E05A}"/>
    <cellStyle name="SAPBEXHLevel1X 3 2 16" xfId="16723" xr:uid="{6B5FF4D1-F9E7-4F9C-8026-F286CDC76E97}"/>
    <cellStyle name="SAPBEXHLevel1X 3 2 2" xfId="16724" xr:uid="{14308936-8C3F-45F7-B697-14B3F617D16C}"/>
    <cellStyle name="SAPBEXHLevel1X 3 2 2 2" xfId="16725" xr:uid="{F61E095D-1322-4887-841C-90D74EB9C5D5}"/>
    <cellStyle name="SAPBEXHLevel1X 3 2 3" xfId="16726" xr:uid="{206CE607-9EF7-4F42-B7EF-6B4037F10AE8}"/>
    <cellStyle name="SAPBEXHLevel1X 3 2 3 2" xfId="16727" xr:uid="{391230D9-C59E-42F2-8B16-EA1530262B8A}"/>
    <cellStyle name="SAPBEXHLevel1X 3 2 4" xfId="16728" xr:uid="{0E5957DE-2A4F-4F7F-BE2C-4AF779209668}"/>
    <cellStyle name="SAPBEXHLevel1X 3 2 4 2" xfId="16729" xr:uid="{036B5B3A-CAC4-4EE5-A588-92B141D48BEB}"/>
    <cellStyle name="SAPBEXHLevel1X 3 2 5" xfId="16730" xr:uid="{D976F690-D3CD-4210-8FEB-57D4A9F7F86C}"/>
    <cellStyle name="SAPBEXHLevel1X 3 2 5 2" xfId="16731" xr:uid="{EC53C9EA-9516-4DEA-B9E0-867B48ED72E2}"/>
    <cellStyle name="SAPBEXHLevel1X 3 2 6" xfId="16732" xr:uid="{893B1894-7B3A-40C2-A424-10AD36A0A859}"/>
    <cellStyle name="SAPBEXHLevel1X 3 2 6 2" xfId="16733" xr:uid="{B24AD572-D02E-4E17-95A8-C35992533444}"/>
    <cellStyle name="SAPBEXHLevel1X 3 2 7" xfId="16734" xr:uid="{86DFB1F9-4F63-4E81-A92E-E2B8402E89BA}"/>
    <cellStyle name="SAPBEXHLevel1X 3 2 7 2" xfId="16735" xr:uid="{B9B8F5D2-9987-4B52-B20D-FC2F245F617D}"/>
    <cellStyle name="SAPBEXHLevel1X 3 2 8" xfId="16736" xr:uid="{FC2A50D3-0FE7-4211-B2B2-882C606862C1}"/>
    <cellStyle name="SAPBEXHLevel1X 3 2 8 2" xfId="16737" xr:uid="{EA5B01CA-10EF-45F0-BD48-D871AB13ECF6}"/>
    <cellStyle name="SAPBEXHLevel1X 3 2 9" xfId="16738" xr:uid="{9EFD0AEB-F5A4-4D3B-B665-E0994D5E6305}"/>
    <cellStyle name="SAPBEXHLevel1X 3 2 9 2" xfId="16739" xr:uid="{5EB4C8AB-9392-49CC-B8E2-8C7BE1087694}"/>
    <cellStyle name="SAPBEXHLevel1X 3 3" xfId="16740" xr:uid="{427A592F-F9E4-49AE-8DB4-500AFB92FDF5}"/>
    <cellStyle name="SAPBEXHLevel1X 3 3 10" xfId="16741" xr:uid="{795331C8-7646-4543-8EAC-693C983CC14D}"/>
    <cellStyle name="SAPBEXHLevel1X 3 3 10 2" xfId="16742" xr:uid="{2B5450AE-F8BE-481F-B37B-ABCA572488F1}"/>
    <cellStyle name="SAPBEXHLevel1X 3 3 11" xfId="16743" xr:uid="{AA4F5D2A-E86B-4039-8CEC-29D7CC3C71CC}"/>
    <cellStyle name="SAPBEXHLevel1X 3 3 11 2" xfId="16744" xr:uid="{704E1899-FD61-45ED-9139-87598C657BCB}"/>
    <cellStyle name="SAPBEXHLevel1X 3 3 12" xfId="16745" xr:uid="{B11C79F7-C1AB-4714-BEB9-8C3154BC5F9A}"/>
    <cellStyle name="SAPBEXHLevel1X 3 3 12 2" xfId="16746" xr:uid="{A70CBCDA-FA69-4525-86DB-D6B5BE3D7647}"/>
    <cellStyle name="SAPBEXHLevel1X 3 3 13" xfId="16747" xr:uid="{F018ADB7-5D9B-41D6-82E9-ECBDD5A4B1CF}"/>
    <cellStyle name="SAPBEXHLevel1X 3 3 13 2" xfId="16748" xr:uid="{20DFDD5F-44AC-42BC-B56E-714B6B5FF2D7}"/>
    <cellStyle name="SAPBEXHLevel1X 3 3 14" xfId="16749" xr:uid="{2D8CAEAC-3C95-4D04-B245-FD55875683E4}"/>
    <cellStyle name="SAPBEXHLevel1X 3 3 14 2" xfId="16750" xr:uid="{D5B3BE53-0C01-4AA0-9417-7EBBF7C365DB}"/>
    <cellStyle name="SAPBEXHLevel1X 3 3 15" xfId="16751" xr:uid="{1FF8AEF2-817E-482E-967D-8B96113B2DD7}"/>
    <cellStyle name="SAPBEXHLevel1X 3 3 15 2" xfId="16752" xr:uid="{E809E14A-A527-4E73-8472-1932D3BCEB7F}"/>
    <cellStyle name="SAPBEXHLevel1X 3 3 16" xfId="16753" xr:uid="{C5968E91-B698-43BE-8FD8-61A3E51A34DB}"/>
    <cellStyle name="SAPBEXHLevel1X 3 3 2" xfId="16754" xr:uid="{038EBC95-8A25-4C98-A928-D59508DE31FC}"/>
    <cellStyle name="SAPBEXHLevel1X 3 3 2 2" xfId="16755" xr:uid="{B284D8CB-EF1B-4EA9-958A-C7A699D41B46}"/>
    <cellStyle name="SAPBEXHLevel1X 3 3 3" xfId="16756" xr:uid="{D6C03CCF-A48F-486A-BC28-4AACDCA05F74}"/>
    <cellStyle name="SAPBEXHLevel1X 3 3 3 2" xfId="16757" xr:uid="{25C660D3-51B8-4ABF-9B01-442FB5607705}"/>
    <cellStyle name="SAPBEXHLevel1X 3 3 4" xfId="16758" xr:uid="{89A6A43D-93E4-4CDA-9D5A-939B02C18C2C}"/>
    <cellStyle name="SAPBEXHLevel1X 3 3 4 2" xfId="16759" xr:uid="{52637595-B884-46F4-83DD-C0D11173327A}"/>
    <cellStyle name="SAPBEXHLevel1X 3 3 5" xfId="16760" xr:uid="{BF48E599-4F97-4CE0-A569-763AEC6B944D}"/>
    <cellStyle name="SAPBEXHLevel1X 3 3 5 2" xfId="16761" xr:uid="{F74DE97E-4C31-46A7-A660-4B06F3FA91F4}"/>
    <cellStyle name="SAPBEXHLevel1X 3 3 6" xfId="16762" xr:uid="{6A92B096-9CBD-49DD-A079-E5327F495F37}"/>
    <cellStyle name="SAPBEXHLevel1X 3 3 6 2" xfId="16763" xr:uid="{07B4E882-DE37-417C-8B76-9BEF055505E4}"/>
    <cellStyle name="SAPBEXHLevel1X 3 3 7" xfId="16764" xr:uid="{1E061DE6-9489-444C-90FF-77C394E48E72}"/>
    <cellStyle name="SAPBEXHLevel1X 3 3 7 2" xfId="16765" xr:uid="{87A8F9D4-16A4-45ED-9113-1E03C41C85F1}"/>
    <cellStyle name="SAPBEXHLevel1X 3 3 8" xfId="16766" xr:uid="{DF9EE7D5-F717-4038-B613-1658BA2CE243}"/>
    <cellStyle name="SAPBEXHLevel1X 3 3 8 2" xfId="16767" xr:uid="{8841FD2E-4CF0-4FEF-B6DC-701F05205A96}"/>
    <cellStyle name="SAPBEXHLevel1X 3 3 9" xfId="16768" xr:uid="{8BA3497E-B793-4ACD-9E8E-0C47D8198E48}"/>
    <cellStyle name="SAPBEXHLevel1X 3 3 9 2" xfId="16769" xr:uid="{C13597C5-C1B3-428E-BAE1-1B3111756B46}"/>
    <cellStyle name="SAPBEXHLevel1X 3 4" xfId="16770" xr:uid="{67FCF087-DF16-4943-B529-DBD9231B012D}"/>
    <cellStyle name="SAPBEXHLevel1X 3 4 2" xfId="16771" xr:uid="{E9EE80E6-B218-4E13-8CD1-59E6C2BF3E4E}"/>
    <cellStyle name="SAPBEXHLevel1X 3 5" xfId="16772" xr:uid="{5E464BD9-E179-4B83-8E14-CD162FADF87B}"/>
    <cellStyle name="SAPBEXHLevel1X 3 5 2" xfId="16773" xr:uid="{0CD58705-A1CE-4A1D-B259-9B6023D1A44C}"/>
    <cellStyle name="SAPBEXHLevel1X 3 6" xfId="16774" xr:uid="{948FB33F-DA13-4739-A3F3-1703B16387CE}"/>
    <cellStyle name="SAPBEXHLevel1X 3 6 2" xfId="16775" xr:uid="{EA21656E-DC6B-4970-8DF7-CC75E9F16B6A}"/>
    <cellStyle name="SAPBEXHLevel1X 3 7" xfId="16776" xr:uid="{B83E4B72-B6BF-4834-BF85-1B7B21F6B649}"/>
    <cellStyle name="SAPBEXHLevel1X 3 7 2" xfId="16777" xr:uid="{9710DEA5-A930-462F-BEB5-A26EB5A36464}"/>
    <cellStyle name="SAPBEXHLevel1X 3 8" xfId="16778" xr:uid="{3EE22DA6-E9FE-4319-B70F-0EB569341CAF}"/>
    <cellStyle name="SAPBEXHLevel1X 3 8 2" xfId="16779" xr:uid="{B6D11198-F12E-4E76-A69D-B0FB0DEA9595}"/>
    <cellStyle name="SAPBEXHLevel1X 3 9" xfId="16780" xr:uid="{AFDFF96F-65D7-4A1B-A4E8-A68AD794B110}"/>
    <cellStyle name="SAPBEXHLevel1X 3 9 2" xfId="16781" xr:uid="{395C507B-4573-46CA-B153-548EEA8AB434}"/>
    <cellStyle name="SAPBEXHLevel1X 3_T1 ANSP" xfId="16692" xr:uid="{1D2BF141-2B6A-4E73-A1B3-773FFAAB1121}"/>
    <cellStyle name="SAPBEXHLevel1X 4" xfId="16782" xr:uid="{272D679C-DAD6-478F-BB8F-DF5E2E934617}"/>
    <cellStyle name="SAPBEXHLevel1X 4 10" xfId="16783" xr:uid="{188F6B62-9EE6-4A0A-A37E-571DA1FD4283}"/>
    <cellStyle name="SAPBEXHLevel1X 4 10 2" xfId="16784" xr:uid="{855A1B9E-C3CF-42E0-922C-E44BE1E60EDE}"/>
    <cellStyle name="SAPBEXHLevel1X 4 11" xfId="16785" xr:uid="{EF4416E6-F179-48AA-B1CC-4DCBA9D84C4F}"/>
    <cellStyle name="SAPBEXHLevel1X 4 11 2" xfId="16786" xr:uid="{5E11E518-7795-4FC2-A910-432EC4DC7146}"/>
    <cellStyle name="SAPBEXHLevel1X 4 12" xfId="16787" xr:uid="{042460B5-AFDB-4139-A58B-7E9729EB3387}"/>
    <cellStyle name="SAPBEXHLevel1X 4 12 2" xfId="16788" xr:uid="{1B4C5614-C651-47A4-9DAE-8A198BBF154C}"/>
    <cellStyle name="SAPBEXHLevel1X 4 13" xfId="16789" xr:uid="{36AFA85E-3C23-4BE2-9214-611F41BCDB8D}"/>
    <cellStyle name="SAPBEXHLevel1X 4 13 2" xfId="16790" xr:uid="{401A4D13-F443-48A0-A864-DAF0F42C5C80}"/>
    <cellStyle name="SAPBEXHLevel1X 4 14" xfId="16791" xr:uid="{F3C86B77-2DC4-43F6-8CFA-BB5E69FCB491}"/>
    <cellStyle name="SAPBEXHLevel1X 4 14 2" xfId="16792" xr:uid="{D2E26A5A-28BE-4887-9F5D-C38C92D1B5D2}"/>
    <cellStyle name="SAPBEXHLevel1X 4 15" xfId="16793" xr:uid="{A4DCA06D-4E3F-4A51-B635-CBE517F414A8}"/>
    <cellStyle name="SAPBEXHLevel1X 4 15 2" xfId="16794" xr:uid="{2712B742-7489-4D55-9FC9-425EAE9DB353}"/>
    <cellStyle name="SAPBEXHLevel1X 4 16" xfId="16795" xr:uid="{9E555FE9-E495-4837-9B77-88EC94D77C68}"/>
    <cellStyle name="SAPBEXHLevel1X 4 16 2" xfId="16796" xr:uid="{ED7AEE14-F6ED-4B9A-B51E-2D724A9114B8}"/>
    <cellStyle name="SAPBEXHLevel1X 4 17" xfId="16797" xr:uid="{DC6AB132-DB0F-4455-A8AB-4C7C74222B04}"/>
    <cellStyle name="SAPBEXHLevel1X 4 17 2" xfId="16798" xr:uid="{4F12EC37-D0C3-4672-B939-E01C55A1B47E}"/>
    <cellStyle name="SAPBEXHLevel1X 4 18" xfId="16799" xr:uid="{2340A8F2-6A86-4385-8A64-7D7FC0B43E46}"/>
    <cellStyle name="SAPBEXHLevel1X 4 2" xfId="16800" xr:uid="{F8C8871F-A08A-4E01-B18C-8DE785AEE2CC}"/>
    <cellStyle name="SAPBEXHLevel1X 4 2 10" xfId="16801" xr:uid="{B855527A-AFA4-43EA-907C-7FB17CC1C4AF}"/>
    <cellStyle name="SAPBEXHLevel1X 4 2 10 2" xfId="16802" xr:uid="{53E02CCC-87EF-4C42-BF26-A393460E8F6A}"/>
    <cellStyle name="SAPBEXHLevel1X 4 2 11" xfId="16803" xr:uid="{20EB5937-5560-4B87-BCE5-47789B1D7FD3}"/>
    <cellStyle name="SAPBEXHLevel1X 4 2 11 2" xfId="16804" xr:uid="{99F51165-4FDD-4358-BE0F-4C9B008C2F5A}"/>
    <cellStyle name="SAPBEXHLevel1X 4 2 12" xfId="16805" xr:uid="{9D312786-4296-46CE-AFF6-B540A5EFD938}"/>
    <cellStyle name="SAPBEXHLevel1X 4 2 12 2" xfId="16806" xr:uid="{5F5F4D6E-190B-4B9C-9F77-00C07215BBB0}"/>
    <cellStyle name="SAPBEXHLevel1X 4 2 13" xfId="16807" xr:uid="{B57F9B20-9A93-428C-B802-0C8038FEC20F}"/>
    <cellStyle name="SAPBEXHLevel1X 4 2 13 2" xfId="16808" xr:uid="{D1CE1BDA-1BFF-4736-BFE0-AE4360E54867}"/>
    <cellStyle name="SAPBEXHLevel1X 4 2 14" xfId="16809" xr:uid="{FC7C39C4-11BC-4671-9811-F4A3D27DAC1F}"/>
    <cellStyle name="SAPBEXHLevel1X 4 2 14 2" xfId="16810" xr:uid="{3E2D02E9-7316-463C-A067-FEB88960C842}"/>
    <cellStyle name="SAPBEXHLevel1X 4 2 15" xfId="16811" xr:uid="{91D194DE-EBDD-4587-9667-A5863B884DD6}"/>
    <cellStyle name="SAPBEXHLevel1X 4 2 15 2" xfId="16812" xr:uid="{6F5C161F-7EC1-4F98-B2D8-BD6433CE5713}"/>
    <cellStyle name="SAPBEXHLevel1X 4 2 16" xfId="16813" xr:uid="{C58863A4-BCCC-4F7A-AB45-46A139A1A78A}"/>
    <cellStyle name="SAPBEXHLevel1X 4 2 2" xfId="16814" xr:uid="{1BC98C7A-DDA9-47D3-8C52-61B3ADFB2594}"/>
    <cellStyle name="SAPBEXHLevel1X 4 2 2 2" xfId="16815" xr:uid="{C5E908CC-704A-4752-B985-E0AC02C1FF8A}"/>
    <cellStyle name="SAPBEXHLevel1X 4 2 3" xfId="16816" xr:uid="{294CCB25-54C4-4B24-8BB3-57654B9D144A}"/>
    <cellStyle name="SAPBEXHLevel1X 4 2 3 2" xfId="16817" xr:uid="{2791EE3D-905A-45D2-A100-10C908304E9F}"/>
    <cellStyle name="SAPBEXHLevel1X 4 2 4" xfId="16818" xr:uid="{E4B83C32-723D-46E4-A79D-66E5188275FD}"/>
    <cellStyle name="SAPBEXHLevel1X 4 2 4 2" xfId="16819" xr:uid="{A6DFECCC-E4A9-45C3-AE55-FE99A0045A4E}"/>
    <cellStyle name="SAPBEXHLevel1X 4 2 5" xfId="16820" xr:uid="{4E8B491D-DB2D-4214-9122-17C5491EB473}"/>
    <cellStyle name="SAPBEXHLevel1X 4 2 5 2" xfId="16821" xr:uid="{B18BAF27-F44E-4783-8963-39AFA0810369}"/>
    <cellStyle name="SAPBEXHLevel1X 4 2 6" xfId="16822" xr:uid="{0E2574AF-A319-4AF9-A4B6-1E88021EA842}"/>
    <cellStyle name="SAPBEXHLevel1X 4 2 6 2" xfId="16823" xr:uid="{E12C8D7C-B1D0-4F99-9554-61DC66959B64}"/>
    <cellStyle name="SAPBEXHLevel1X 4 2 7" xfId="16824" xr:uid="{266051B0-A335-4E01-9D6E-7420A8B2B15D}"/>
    <cellStyle name="SAPBEXHLevel1X 4 2 7 2" xfId="16825" xr:uid="{166A5687-BEE0-4726-8030-15414811F54E}"/>
    <cellStyle name="SAPBEXHLevel1X 4 2 8" xfId="16826" xr:uid="{39529CC3-67BD-4E9B-916A-3A226E303AB9}"/>
    <cellStyle name="SAPBEXHLevel1X 4 2 8 2" xfId="16827" xr:uid="{52518C0B-8662-4F92-B304-42D3F0E2838A}"/>
    <cellStyle name="SAPBEXHLevel1X 4 2 9" xfId="16828" xr:uid="{2C53B9FA-AC47-47CF-BD65-4189FEA4A6D3}"/>
    <cellStyle name="SAPBEXHLevel1X 4 2 9 2" xfId="16829" xr:uid="{CD003EF1-CE0C-4AA1-A517-994F6842BDDC}"/>
    <cellStyle name="SAPBEXHLevel1X 4 3" xfId="16830" xr:uid="{D87B0D22-EAC3-4EF3-8520-3359FCF891BF}"/>
    <cellStyle name="SAPBEXHLevel1X 4 3 10" xfId="16831" xr:uid="{28F35DF1-F470-48E3-A5DE-B959D13BD33C}"/>
    <cellStyle name="SAPBEXHLevel1X 4 3 10 2" xfId="16832" xr:uid="{4980E0DC-EDDA-4FD0-BFA0-2F1D5826006A}"/>
    <cellStyle name="SAPBEXHLevel1X 4 3 11" xfId="16833" xr:uid="{7C9F4174-CAE5-4AE0-94AB-97C2FED7A34E}"/>
    <cellStyle name="SAPBEXHLevel1X 4 3 11 2" xfId="16834" xr:uid="{C6F118AB-50F1-4DA5-99DD-7904A1FA6986}"/>
    <cellStyle name="SAPBEXHLevel1X 4 3 12" xfId="16835" xr:uid="{1C859102-19EB-4F3F-9DE6-2AD470DB9D88}"/>
    <cellStyle name="SAPBEXHLevel1X 4 3 12 2" xfId="16836" xr:uid="{DBAA03BC-BCD8-43B4-911D-E23B0E3EC1DC}"/>
    <cellStyle name="SAPBEXHLevel1X 4 3 13" xfId="16837" xr:uid="{7D6BDB3B-EFBB-4E1B-9896-E7232ABC23A9}"/>
    <cellStyle name="SAPBEXHLevel1X 4 3 13 2" xfId="16838" xr:uid="{99403FBD-1259-485F-BF06-C9055D3C62C7}"/>
    <cellStyle name="SAPBEXHLevel1X 4 3 14" xfId="16839" xr:uid="{A2C9D935-384F-41D5-9F61-4036B9893E2D}"/>
    <cellStyle name="SAPBEXHLevel1X 4 3 14 2" xfId="16840" xr:uid="{858E3249-75BC-4FF2-9650-D15033FE2CF1}"/>
    <cellStyle name="SAPBEXHLevel1X 4 3 15" xfId="16841" xr:uid="{8FFB3454-4291-4FB1-8C5A-C610A0932DA0}"/>
    <cellStyle name="SAPBEXHLevel1X 4 3 15 2" xfId="16842" xr:uid="{C56B4947-6AD8-4FA1-9555-5883569E88F3}"/>
    <cellStyle name="SAPBEXHLevel1X 4 3 16" xfId="16843" xr:uid="{5CBCB50D-6360-478D-9FF4-C5073935CF04}"/>
    <cellStyle name="SAPBEXHLevel1X 4 3 2" xfId="16844" xr:uid="{CA63B25F-E4FD-4ED1-8FB3-97592DB6CF3E}"/>
    <cellStyle name="SAPBEXHLevel1X 4 3 2 2" xfId="16845" xr:uid="{EC2275B6-DA40-4B68-AB67-7094AB4FA3C9}"/>
    <cellStyle name="SAPBEXHLevel1X 4 3 3" xfId="16846" xr:uid="{480E4A8F-8341-4749-AACE-992D350F59C2}"/>
    <cellStyle name="SAPBEXHLevel1X 4 3 3 2" xfId="16847" xr:uid="{D748BB80-E16D-4A7D-A0B6-402846D313BB}"/>
    <cellStyle name="SAPBEXHLevel1X 4 3 4" xfId="16848" xr:uid="{9FE71B95-AEF2-4952-AB88-A2D7A0EEAE33}"/>
    <cellStyle name="SAPBEXHLevel1X 4 3 4 2" xfId="16849" xr:uid="{50D5AE78-989C-4DE1-8D23-21D585AE3D87}"/>
    <cellStyle name="SAPBEXHLevel1X 4 3 5" xfId="16850" xr:uid="{98D9D7D8-8330-4D14-841C-7CECE89B4D2C}"/>
    <cellStyle name="SAPBEXHLevel1X 4 3 5 2" xfId="16851" xr:uid="{4F455C74-11C8-449F-9801-F1978C9487EB}"/>
    <cellStyle name="SAPBEXHLevel1X 4 3 6" xfId="16852" xr:uid="{CEDCE83F-E622-4AA3-8DD8-5D4EAC9060A7}"/>
    <cellStyle name="SAPBEXHLevel1X 4 3 6 2" xfId="16853" xr:uid="{6F9AEB2C-25EC-406D-90C0-D9B84ADFEF56}"/>
    <cellStyle name="SAPBEXHLevel1X 4 3 7" xfId="16854" xr:uid="{641B3F40-400C-41F4-8A82-385E350F759B}"/>
    <cellStyle name="SAPBEXHLevel1X 4 3 7 2" xfId="16855" xr:uid="{ED3CECF5-DAAD-474D-9314-02AA4642D36E}"/>
    <cellStyle name="SAPBEXHLevel1X 4 3 8" xfId="16856" xr:uid="{1EF8F92E-4E1C-4C3A-AD43-60E10E702FE0}"/>
    <cellStyle name="SAPBEXHLevel1X 4 3 8 2" xfId="16857" xr:uid="{4102C858-1976-40D9-98C6-17DE4C383A51}"/>
    <cellStyle name="SAPBEXHLevel1X 4 3 9" xfId="16858" xr:uid="{14F3BE37-2B57-46FB-AC72-CDBDA97B2013}"/>
    <cellStyle name="SAPBEXHLevel1X 4 3 9 2" xfId="16859" xr:uid="{24E96FC4-FB69-4A0B-B559-C50E7B637090}"/>
    <cellStyle name="SAPBEXHLevel1X 4 4" xfId="16860" xr:uid="{201C3BCF-D741-4F04-A549-720FC5636615}"/>
    <cellStyle name="SAPBEXHLevel1X 4 4 2" xfId="16861" xr:uid="{64360021-FC33-4EFD-968F-4B45B596DBF1}"/>
    <cellStyle name="SAPBEXHLevel1X 4 5" xfId="16862" xr:uid="{D9E1E2DA-2E51-4437-9978-A05ED3BFC0F4}"/>
    <cellStyle name="SAPBEXHLevel1X 4 5 2" xfId="16863" xr:uid="{19F8C4EE-787D-4874-B904-9B84B3C40E08}"/>
    <cellStyle name="SAPBEXHLevel1X 4 6" xfId="16864" xr:uid="{46C578AB-E897-4954-A8D6-76360E974C39}"/>
    <cellStyle name="SAPBEXHLevel1X 4 6 2" xfId="16865" xr:uid="{7BEBCBED-5041-4C1D-86C3-255943564E60}"/>
    <cellStyle name="SAPBEXHLevel1X 4 7" xfId="16866" xr:uid="{FF1D81FB-ED56-4C2B-97CE-A710656B8F3C}"/>
    <cellStyle name="SAPBEXHLevel1X 4 7 2" xfId="16867" xr:uid="{6A5D7457-0A7E-4461-AD9D-E5E94EE5A05D}"/>
    <cellStyle name="SAPBEXHLevel1X 4 8" xfId="16868" xr:uid="{BD2587AE-ECBA-49E6-9B1C-0C9B1CC29CFE}"/>
    <cellStyle name="SAPBEXHLevel1X 4 8 2" xfId="16869" xr:uid="{9D64A2EE-0235-4BE5-AF3B-C93CC0E6E4A2}"/>
    <cellStyle name="SAPBEXHLevel1X 4 9" xfId="16870" xr:uid="{4D9791D9-142A-4522-BC3F-154ED1DF2F57}"/>
    <cellStyle name="SAPBEXHLevel1X 4 9 2" xfId="16871" xr:uid="{B118BB68-CCF4-49F4-B95F-8B962F4C0836}"/>
    <cellStyle name="SAPBEXHLevel1X 5" xfId="16872" xr:uid="{BF6CE369-4111-4E48-ADEB-56E377BCDEDB}"/>
    <cellStyle name="SAPBEXHLevel1X 5 10" xfId="16873" xr:uid="{0851FF22-E85A-48AB-AB8F-379D97AD1FFB}"/>
    <cellStyle name="SAPBEXHLevel1X 5 10 2" xfId="16874" xr:uid="{A26F62FB-ECC8-4FFF-9E56-3708B2DE1216}"/>
    <cellStyle name="SAPBEXHLevel1X 5 11" xfId="16875" xr:uid="{D7B698F8-FC06-475D-91F9-B2640ADCBACC}"/>
    <cellStyle name="SAPBEXHLevel1X 5 11 2" xfId="16876" xr:uid="{67024D89-BB33-463D-91D0-F5CD49EDACA0}"/>
    <cellStyle name="SAPBEXHLevel1X 5 12" xfId="16877" xr:uid="{8E9251EA-3951-40DB-9C79-66EA766881BE}"/>
    <cellStyle name="SAPBEXHLevel1X 5 12 2" xfId="16878" xr:uid="{E2E9AA1F-4372-4519-8CEA-62AC77F0729F}"/>
    <cellStyle name="SAPBEXHLevel1X 5 13" xfId="16879" xr:uid="{85E1F10D-286F-4636-9742-27A2ED95A330}"/>
    <cellStyle name="SAPBEXHLevel1X 5 13 2" xfId="16880" xr:uid="{D075816A-674B-499F-9EA1-1EE45E0ACAF1}"/>
    <cellStyle name="SAPBEXHLevel1X 5 14" xfId="16881" xr:uid="{7749216C-6CC4-4BD2-A9CE-91531CE7A87C}"/>
    <cellStyle name="SAPBEXHLevel1X 5 14 2" xfId="16882" xr:uid="{D0BDB3DA-FE02-4AD9-A3D0-7A573563A7B7}"/>
    <cellStyle name="SAPBEXHLevel1X 5 15" xfId="16883" xr:uid="{E553F50A-AC30-4053-B9C6-D3A058A54DEA}"/>
    <cellStyle name="SAPBEXHLevel1X 5 15 2" xfId="16884" xr:uid="{183A13CD-BB64-4324-BC74-C8BD1224837E}"/>
    <cellStyle name="SAPBEXHLevel1X 5 16" xfId="16885" xr:uid="{ECFB5D4F-9DCA-414F-A4F5-7316FC937619}"/>
    <cellStyle name="SAPBEXHLevel1X 5 16 2" xfId="16886" xr:uid="{0A126953-A5D8-43DD-951A-3F3AAC7E01D4}"/>
    <cellStyle name="SAPBEXHLevel1X 5 17" xfId="16887" xr:uid="{02200F35-403C-41F6-8946-08F07F34D3D9}"/>
    <cellStyle name="SAPBEXHLevel1X 5 17 2" xfId="16888" xr:uid="{59B4F708-33B5-4CB4-8B4C-11F7AACE4EA5}"/>
    <cellStyle name="SAPBEXHLevel1X 5 18" xfId="16889" xr:uid="{04BB76F8-FEB2-4220-8CEB-94C5853C251F}"/>
    <cellStyle name="SAPBEXHLevel1X 5 2" xfId="16890" xr:uid="{9607DB9B-3D94-4DD4-BCAC-78B283E190AA}"/>
    <cellStyle name="SAPBEXHLevel1X 5 2 10" xfId="16891" xr:uid="{ABCE3D9E-7635-4896-939D-12A25248ADBD}"/>
    <cellStyle name="SAPBEXHLevel1X 5 2 10 2" xfId="16892" xr:uid="{41AF9DAC-9054-4E74-88F6-0A81A0C1A9C4}"/>
    <cellStyle name="SAPBEXHLevel1X 5 2 11" xfId="16893" xr:uid="{71805DF5-AB34-423E-A1AA-CCF622765759}"/>
    <cellStyle name="SAPBEXHLevel1X 5 2 11 2" xfId="16894" xr:uid="{E6655BE3-07B3-4D09-9C6A-8544F8F0B4C4}"/>
    <cellStyle name="SAPBEXHLevel1X 5 2 12" xfId="16895" xr:uid="{0926964F-DAD7-4F88-AE47-C039FD81A584}"/>
    <cellStyle name="SAPBEXHLevel1X 5 2 12 2" xfId="16896" xr:uid="{493D3410-0B55-4995-AC9C-AD430DCC0C94}"/>
    <cellStyle name="SAPBEXHLevel1X 5 2 13" xfId="16897" xr:uid="{221CBF6F-DA5A-4F1E-85C4-5C4A3FA450F0}"/>
    <cellStyle name="SAPBEXHLevel1X 5 2 13 2" xfId="16898" xr:uid="{4FA6F5EC-8F9C-46D2-9D7C-B1000B52EFED}"/>
    <cellStyle name="SAPBEXHLevel1X 5 2 14" xfId="16899" xr:uid="{A9B9DA95-5F37-4A0C-800A-545575C8D6DE}"/>
    <cellStyle name="SAPBEXHLevel1X 5 2 14 2" xfId="16900" xr:uid="{2E0300A3-849C-4A3D-BE90-1A4561EB4437}"/>
    <cellStyle name="SAPBEXHLevel1X 5 2 15" xfId="16901" xr:uid="{28C7B337-A019-4A6B-ACA2-6903CD634367}"/>
    <cellStyle name="SAPBEXHLevel1X 5 2 15 2" xfId="16902" xr:uid="{ED784B37-3CEC-48FB-A1FE-E08193B8A15C}"/>
    <cellStyle name="SAPBEXHLevel1X 5 2 16" xfId="16903" xr:uid="{3209E146-7815-4DCE-9B93-EEC90587FA9F}"/>
    <cellStyle name="SAPBEXHLevel1X 5 2 2" xfId="16904" xr:uid="{BC286B63-6478-4CD9-9F60-62124B2CD97D}"/>
    <cellStyle name="SAPBEXHLevel1X 5 2 2 2" xfId="16905" xr:uid="{DCD76A9D-11AD-46DA-8195-35A314C79BCE}"/>
    <cellStyle name="SAPBEXHLevel1X 5 2 3" xfId="16906" xr:uid="{1258659B-FFD9-44F1-B5A0-2E219C57D602}"/>
    <cellStyle name="SAPBEXHLevel1X 5 2 3 2" xfId="16907" xr:uid="{4AB32042-89C3-44C1-A675-BED192770D9A}"/>
    <cellStyle name="SAPBEXHLevel1X 5 2 4" xfId="16908" xr:uid="{1FC90B1B-6C7B-41A8-ABF8-4CCDF0AEA1B1}"/>
    <cellStyle name="SAPBEXHLevel1X 5 2 4 2" xfId="16909" xr:uid="{3C9CD760-9000-43DC-B317-EEF001C67584}"/>
    <cellStyle name="SAPBEXHLevel1X 5 2 5" xfId="16910" xr:uid="{8686A44D-7BAC-4A87-B771-17A6E319E68C}"/>
    <cellStyle name="SAPBEXHLevel1X 5 2 5 2" xfId="16911" xr:uid="{32978C13-4484-4ECB-8675-77762A449695}"/>
    <cellStyle name="SAPBEXHLevel1X 5 2 6" xfId="16912" xr:uid="{740E0E01-CDC9-43F1-A272-2178D9BE40B4}"/>
    <cellStyle name="SAPBEXHLevel1X 5 2 6 2" xfId="16913" xr:uid="{B190D1FB-BF87-4C4F-9355-2CC7FDA80700}"/>
    <cellStyle name="SAPBEXHLevel1X 5 2 7" xfId="16914" xr:uid="{2A2D6CDD-A1D7-4C70-93ED-F2F7EE065DAB}"/>
    <cellStyle name="SAPBEXHLevel1X 5 2 7 2" xfId="16915" xr:uid="{9E6E1E4F-D2F1-450B-A5C0-5A1BB0156599}"/>
    <cellStyle name="SAPBEXHLevel1X 5 2 8" xfId="16916" xr:uid="{254BDA41-BDD3-499C-A250-85B87444CEDC}"/>
    <cellStyle name="SAPBEXHLevel1X 5 2 8 2" xfId="16917" xr:uid="{B32893CE-82BA-4B25-B19C-22422FDACE7F}"/>
    <cellStyle name="SAPBEXHLevel1X 5 2 9" xfId="16918" xr:uid="{B2CCC194-7DEE-4AC5-BC17-478AF0CE5267}"/>
    <cellStyle name="SAPBEXHLevel1X 5 2 9 2" xfId="16919" xr:uid="{013DAD9A-16CC-43D4-AD63-40AC6745EF71}"/>
    <cellStyle name="SAPBEXHLevel1X 5 3" xfId="16920" xr:uid="{D4A65EFA-18F4-499E-BB26-A920A7F678E1}"/>
    <cellStyle name="SAPBEXHLevel1X 5 3 10" xfId="16921" xr:uid="{7E14EB47-052E-4FB9-BC06-1671FCA7E982}"/>
    <cellStyle name="SAPBEXHLevel1X 5 3 10 2" xfId="16922" xr:uid="{B3E251A1-E869-4862-9592-E2440E331C0D}"/>
    <cellStyle name="SAPBEXHLevel1X 5 3 11" xfId="16923" xr:uid="{D1BEA3AF-E5E1-439F-8DD4-B1B94C6EB573}"/>
    <cellStyle name="SAPBEXHLevel1X 5 3 11 2" xfId="16924" xr:uid="{CA8F7E30-BE70-4C2F-AABF-7B7357CAA9B2}"/>
    <cellStyle name="SAPBEXHLevel1X 5 3 12" xfId="16925" xr:uid="{4CBF8630-C459-4B2E-9694-580CA150C7CE}"/>
    <cellStyle name="SAPBEXHLevel1X 5 3 12 2" xfId="16926" xr:uid="{FE84BE71-BDD9-48AC-8877-18423FA58AAA}"/>
    <cellStyle name="SAPBEXHLevel1X 5 3 13" xfId="16927" xr:uid="{6B81F56A-0242-4BCD-81DB-1777B068C796}"/>
    <cellStyle name="SAPBEXHLevel1X 5 3 13 2" xfId="16928" xr:uid="{BD767D28-1465-49BB-B8B5-199D109C2307}"/>
    <cellStyle name="SAPBEXHLevel1X 5 3 14" xfId="16929" xr:uid="{7AD4B8AE-48E5-4A61-A423-BFBED3130A63}"/>
    <cellStyle name="SAPBEXHLevel1X 5 3 14 2" xfId="16930" xr:uid="{25F1AFC4-4F73-4305-8200-11D844324363}"/>
    <cellStyle name="SAPBEXHLevel1X 5 3 15" xfId="16931" xr:uid="{DD9A98C4-1DBB-4DCC-95DE-607AD8422784}"/>
    <cellStyle name="SAPBEXHLevel1X 5 3 15 2" xfId="16932" xr:uid="{FEF8C5CF-FE71-43F3-A89F-88F37E40E1D4}"/>
    <cellStyle name="SAPBEXHLevel1X 5 3 16" xfId="16933" xr:uid="{1D7FC9F5-BCAB-4AD4-BD62-D3F40130C156}"/>
    <cellStyle name="SAPBEXHLevel1X 5 3 2" xfId="16934" xr:uid="{FFC952FE-0098-433E-A2D5-B10295F0692F}"/>
    <cellStyle name="SAPBEXHLevel1X 5 3 2 2" xfId="16935" xr:uid="{E22D66C1-1DBC-4694-BA77-2652183B0941}"/>
    <cellStyle name="SAPBEXHLevel1X 5 3 3" xfId="16936" xr:uid="{0A9601F0-25A5-48A9-BCAA-048AB5C35729}"/>
    <cellStyle name="SAPBEXHLevel1X 5 3 3 2" xfId="16937" xr:uid="{BC286230-90A5-4BE2-B85F-84A82BDD30FB}"/>
    <cellStyle name="SAPBEXHLevel1X 5 3 4" xfId="16938" xr:uid="{D9D768B3-D657-4E37-A8B0-EF607C20A1CB}"/>
    <cellStyle name="SAPBEXHLevel1X 5 3 4 2" xfId="16939" xr:uid="{CE27F92F-0325-4B11-8D05-B193E374B7C7}"/>
    <cellStyle name="SAPBEXHLevel1X 5 3 5" xfId="16940" xr:uid="{8043230E-0967-470B-93C2-9B7F6B18479F}"/>
    <cellStyle name="SAPBEXHLevel1X 5 3 5 2" xfId="16941" xr:uid="{0CA58B4F-4D47-4949-AC71-6697AED30971}"/>
    <cellStyle name="SAPBEXHLevel1X 5 3 6" xfId="16942" xr:uid="{55492B40-B987-4177-A2BE-F0CA44BCDEBE}"/>
    <cellStyle name="SAPBEXHLevel1X 5 3 6 2" xfId="16943" xr:uid="{EBB11929-DFD4-4ACE-8FAE-37A269C92D46}"/>
    <cellStyle name="SAPBEXHLevel1X 5 3 7" xfId="16944" xr:uid="{E13A78BE-4077-41CA-9E75-B2C1381EEB77}"/>
    <cellStyle name="SAPBEXHLevel1X 5 3 7 2" xfId="16945" xr:uid="{57D1673D-C88D-4437-971C-7046C9ECF73B}"/>
    <cellStyle name="SAPBEXHLevel1X 5 3 8" xfId="16946" xr:uid="{80C78CA1-6689-4FEE-A64D-3B48E71B6FA4}"/>
    <cellStyle name="SAPBEXHLevel1X 5 3 8 2" xfId="16947" xr:uid="{E2ECD2F9-B603-4BEA-9743-3706A69CC4D2}"/>
    <cellStyle name="SAPBEXHLevel1X 5 3 9" xfId="16948" xr:uid="{B34CB242-0CC1-43A6-9543-EDC292541129}"/>
    <cellStyle name="SAPBEXHLevel1X 5 3 9 2" xfId="16949" xr:uid="{409441DF-D23E-414E-9279-E088C6FC85B8}"/>
    <cellStyle name="SAPBEXHLevel1X 5 4" xfId="16950" xr:uid="{C6AF76A4-F6DA-4506-ABCA-AEDE49A03EDA}"/>
    <cellStyle name="SAPBEXHLevel1X 5 4 2" xfId="16951" xr:uid="{6567C9DB-445B-49C8-8DE4-2596E39D5458}"/>
    <cellStyle name="SAPBEXHLevel1X 5 5" xfId="16952" xr:uid="{BB8E94B8-61C6-46C4-86C1-0D6CD20C834C}"/>
    <cellStyle name="SAPBEXHLevel1X 5 5 2" xfId="16953" xr:uid="{11DC1BD1-6371-45C0-9A0E-4D90DB4EA839}"/>
    <cellStyle name="SAPBEXHLevel1X 5 6" xfId="16954" xr:uid="{83B1F45E-3B37-466C-B4E6-06DE01D1AD20}"/>
    <cellStyle name="SAPBEXHLevel1X 5 6 2" xfId="16955" xr:uid="{8D584FE2-D880-4FEC-A8B7-BD647C3E4180}"/>
    <cellStyle name="SAPBEXHLevel1X 5 7" xfId="16956" xr:uid="{A5D22990-4759-486C-9544-AFA63985B8D9}"/>
    <cellStyle name="SAPBEXHLevel1X 5 7 2" xfId="16957" xr:uid="{D3676A1F-8A18-430F-A396-A56A2CBE1EC0}"/>
    <cellStyle name="SAPBEXHLevel1X 5 8" xfId="16958" xr:uid="{2D7DFE04-DC3C-4D72-8B37-26E3BE2326E8}"/>
    <cellStyle name="SAPBEXHLevel1X 5 8 2" xfId="16959" xr:uid="{171C83B2-3A9B-48EE-A88F-BBE2AFC894FE}"/>
    <cellStyle name="SAPBEXHLevel1X 5 9" xfId="16960" xr:uid="{A930E0BB-B204-43CF-9A07-5AEC2BB7AB56}"/>
    <cellStyle name="SAPBEXHLevel1X 5 9 2" xfId="16961" xr:uid="{3741B6AC-BF02-4F98-B3A1-97319632EFEA}"/>
    <cellStyle name="SAPBEXHLevel1X 6" xfId="16962" xr:uid="{865B8CBE-9168-4BBD-A720-C947361A40E6}"/>
    <cellStyle name="SAPBEXHLevel1X 6 10" xfId="16963" xr:uid="{49BF6A82-BDF9-4667-BF58-EA0484EA792D}"/>
    <cellStyle name="SAPBEXHLevel1X 6 10 2" xfId="16964" xr:uid="{6F6541A1-8C7D-4DFA-A94D-8B8AB712BB33}"/>
    <cellStyle name="SAPBEXHLevel1X 6 11" xfId="16965" xr:uid="{6C25BB02-DFE1-4858-AF73-BC409855AA4B}"/>
    <cellStyle name="SAPBEXHLevel1X 6 11 2" xfId="16966" xr:uid="{5014B284-2492-42C6-AA9E-030DF987B6C7}"/>
    <cellStyle name="SAPBEXHLevel1X 6 12" xfId="16967" xr:uid="{1E0F5C4B-3267-434B-ABDE-6FDC568B3078}"/>
    <cellStyle name="SAPBEXHLevel1X 6 12 2" xfId="16968" xr:uid="{A78CCCE3-F325-4BC1-AC1D-E4E39C42E1A6}"/>
    <cellStyle name="SAPBEXHLevel1X 6 13" xfId="16969" xr:uid="{37F10F48-8C00-430F-8037-2D6667A8ECF0}"/>
    <cellStyle name="SAPBEXHLevel1X 6 13 2" xfId="16970" xr:uid="{D4E59AB8-61F0-4BE4-B086-572BDA3E7C1A}"/>
    <cellStyle name="SAPBEXHLevel1X 6 14" xfId="16971" xr:uid="{A0CBF47D-97A5-4B3E-8454-5C457A660722}"/>
    <cellStyle name="SAPBEXHLevel1X 6 14 2" xfId="16972" xr:uid="{756F571C-C197-4CB3-908F-04DE458A0988}"/>
    <cellStyle name="SAPBEXHLevel1X 6 15" xfId="16973" xr:uid="{CA8289ED-794B-4AF3-88C9-A9A09BD597E3}"/>
    <cellStyle name="SAPBEXHLevel1X 6 15 2" xfId="16974" xr:uid="{E9B0E515-2CBD-4C41-8E0F-F0047945D6CF}"/>
    <cellStyle name="SAPBEXHLevel1X 6 16" xfId="16975" xr:uid="{C00A180A-CE0D-4176-90B2-2EE3A6E872F0}"/>
    <cellStyle name="SAPBEXHLevel1X 6 2" xfId="16976" xr:uid="{F54D26C5-EDEA-4F44-BD74-3BCB2C7C4B0D}"/>
    <cellStyle name="SAPBEXHLevel1X 6 2 2" xfId="16977" xr:uid="{54005DD8-A345-464C-A460-9E0077A217A6}"/>
    <cellStyle name="SAPBEXHLevel1X 6 3" xfId="16978" xr:uid="{3D6B3A80-C75A-46D7-9263-7FF8B89F372C}"/>
    <cellStyle name="SAPBEXHLevel1X 6 3 2" xfId="16979" xr:uid="{55536596-6D7B-4263-B04B-5490D66CC02E}"/>
    <cellStyle name="SAPBEXHLevel1X 6 4" xfId="16980" xr:uid="{64371228-73ED-4BDB-BF0D-64E9943A7532}"/>
    <cellStyle name="SAPBEXHLevel1X 6 4 2" xfId="16981" xr:uid="{24F7FFEE-32C8-4F6E-9C39-746503168F31}"/>
    <cellStyle name="SAPBEXHLevel1X 6 5" xfId="16982" xr:uid="{7CAA48B9-9E24-4455-B59B-E4F8B13C6C31}"/>
    <cellStyle name="SAPBEXHLevel1X 6 5 2" xfId="16983" xr:uid="{2B405FAD-A73A-4C2C-B08C-010D42FEC6BA}"/>
    <cellStyle name="SAPBEXHLevel1X 6 6" xfId="16984" xr:uid="{A3E6F90C-569B-461E-BC66-B514FB2FA300}"/>
    <cellStyle name="SAPBEXHLevel1X 6 6 2" xfId="16985" xr:uid="{5E555890-94D8-4E3A-91D0-EEA8BA062BDA}"/>
    <cellStyle name="SAPBEXHLevel1X 6 7" xfId="16986" xr:uid="{5FCD5FF5-76AF-4CB9-AB97-0E370770347F}"/>
    <cellStyle name="SAPBEXHLevel1X 6 7 2" xfId="16987" xr:uid="{9AA4F868-5C5B-43D2-9ABB-71924DACADB0}"/>
    <cellStyle name="SAPBEXHLevel1X 6 8" xfId="16988" xr:uid="{AC0DF3FC-84D8-4432-984A-18B5BC225F09}"/>
    <cellStyle name="SAPBEXHLevel1X 6 8 2" xfId="16989" xr:uid="{9529F76E-966F-4B1C-99C9-F326D3E65EDD}"/>
    <cellStyle name="SAPBEXHLevel1X 6 9" xfId="16990" xr:uid="{BC95F09B-D741-4912-B638-C1DB843E302E}"/>
    <cellStyle name="SAPBEXHLevel1X 6 9 2" xfId="16991" xr:uid="{0D631F0C-DF23-4BB5-8C23-BAD274FC4725}"/>
    <cellStyle name="SAPBEXHLevel1X 7" xfId="16992" xr:uid="{8F083DDD-FEA3-4C43-8AC9-A89F111ED2C5}"/>
    <cellStyle name="SAPBEXHLevel1X 7 2" xfId="16993" xr:uid="{7CC58E01-360C-449A-B1A9-A625537D6FBE}"/>
    <cellStyle name="SAPBEXHLevel1X 8" xfId="16994" xr:uid="{E31057E5-1A4C-4C0C-B30C-1FB0CC1181F7}"/>
    <cellStyle name="SAPBEXHLevel1X 8 2" xfId="16995" xr:uid="{605CC617-C892-4F89-9E11-D142CC376BA2}"/>
    <cellStyle name="SAPBEXHLevel1X 9" xfId="16996" xr:uid="{5FA0246D-8363-4DB3-BBE1-7B053E173D44}"/>
    <cellStyle name="SAPBEXHLevel1X 9 2" xfId="16997" xr:uid="{C166CEF7-6191-4628-9BE4-FE7E51A6C574}"/>
    <cellStyle name="SAPBEXHLevel1X_T1 ANSP" xfId="16458" xr:uid="{2C4F3849-899D-4102-8458-DF44FE8954ED}"/>
    <cellStyle name="SAPBEXHLevel2" xfId="750" xr:uid="{00000000-0005-0000-0000-000097050000}"/>
    <cellStyle name="SAPBEXHLevel2 10" xfId="16999" xr:uid="{5BD0DD0D-1C4F-48C1-8095-CF92E8749FFC}"/>
    <cellStyle name="SAPBEXHLevel2 10 2" xfId="17000" xr:uid="{2FBE848B-9C78-45F7-9B14-1B6844583DC2}"/>
    <cellStyle name="SAPBEXHLevel2 11" xfId="17001" xr:uid="{447EB79D-3C78-45CF-9F49-BBF6C037D7EB}"/>
    <cellStyle name="SAPBEXHLevel2 11 2" xfId="17002" xr:uid="{522D3995-64C9-4E34-8A18-67A62C6EBBE7}"/>
    <cellStyle name="SAPBEXHLevel2 12" xfId="17003" xr:uid="{53F9AE5E-4F46-44B2-A7D4-1A4A96C04CAC}"/>
    <cellStyle name="SAPBEXHLevel2 12 2" xfId="17004" xr:uid="{3A71936D-9194-49A6-8F95-E6E612DB35DF}"/>
    <cellStyle name="SAPBEXHLevel2 13" xfId="17005" xr:uid="{522C2471-0205-4A58-9908-C917732C8604}"/>
    <cellStyle name="SAPBEXHLevel2 13 2" xfId="17006" xr:uid="{DFC8A2A7-6AF8-4A00-8C46-02B7FD817BBF}"/>
    <cellStyle name="SAPBEXHLevel2 14" xfId="17007" xr:uid="{CE31D61B-F431-4F27-8654-F2FD2590BA66}"/>
    <cellStyle name="SAPBEXHLevel2 14 2" xfId="17008" xr:uid="{FB2EFA48-EC83-4A08-A61F-10126053D5FE}"/>
    <cellStyle name="SAPBEXHLevel2 15" xfId="17009" xr:uid="{21B9C2E5-B952-4611-A78F-1F8B920101E4}"/>
    <cellStyle name="SAPBEXHLevel2 15 2" xfId="17010" xr:uid="{E344958B-567B-41EE-BCDE-B7F03E33F28C}"/>
    <cellStyle name="SAPBEXHLevel2 16" xfId="17011" xr:uid="{ADD2E0E7-A3A9-430F-99AA-4435D889202A}"/>
    <cellStyle name="SAPBEXHLevel2 16 2" xfId="17012" xr:uid="{B8ACF1F6-9228-4E72-93CB-8F5170B0E0E5}"/>
    <cellStyle name="SAPBEXHLevel2 17" xfId="17013" xr:uid="{915C9A72-00A6-4C67-9645-F4A4EA844536}"/>
    <cellStyle name="SAPBEXHLevel2 17 2" xfId="17014" xr:uid="{0BDC237E-47FA-4E1A-BD8F-C7A2531A2C91}"/>
    <cellStyle name="SAPBEXHLevel2 18" xfId="17015" xr:uid="{9DC64DB3-89E4-4CE3-9D07-4B38874D1102}"/>
    <cellStyle name="SAPBEXHLevel2 18 2" xfId="17016" xr:uid="{1BC6B7C2-F8C9-4BEB-9E98-DEF8E9845F17}"/>
    <cellStyle name="SAPBEXHLevel2 19" xfId="17017" xr:uid="{3B90AFE2-FE51-4485-ACE1-8311056065E5}"/>
    <cellStyle name="SAPBEXHLevel2 19 2" xfId="17018" xr:uid="{BB0CDBF1-E514-45AA-95A8-4627E11DF425}"/>
    <cellStyle name="SAPBEXHLevel2 2" xfId="1564" xr:uid="{00000000-0005-0000-0000-000098050000}"/>
    <cellStyle name="SAPBEXHLevel2 2 10" xfId="17020" xr:uid="{F8354317-F217-4D71-8F71-72D43391390F}"/>
    <cellStyle name="SAPBEXHLevel2 2 10 2" xfId="17021" xr:uid="{3CAF171F-41A1-4468-A58D-9DA66CF908B7}"/>
    <cellStyle name="SAPBEXHLevel2 2 11" xfId="17022" xr:uid="{28509D5F-205D-466C-A0AB-4B76831E8B1C}"/>
    <cellStyle name="SAPBEXHLevel2 2 11 2" xfId="17023" xr:uid="{8E582E84-DF5C-4FBA-9DD6-E4411A7E934D}"/>
    <cellStyle name="SAPBEXHLevel2 2 12" xfId="17024" xr:uid="{F3B739D4-8C55-41F0-B176-B9B3C27092CE}"/>
    <cellStyle name="SAPBEXHLevel2 2 12 2" xfId="17025" xr:uid="{482FB2D5-4614-4009-9D57-1D9ED880496F}"/>
    <cellStyle name="SAPBEXHLevel2 2 13" xfId="17026" xr:uid="{2EB5E4FA-F24C-48A2-ADA3-5EF4DE6BE1E1}"/>
    <cellStyle name="SAPBEXHLevel2 2 13 2" xfId="17027" xr:uid="{325BAC21-E73A-4DC6-9DD1-AE7E4A7E4014}"/>
    <cellStyle name="SAPBEXHLevel2 2 14" xfId="17028" xr:uid="{13ECCCB5-9EDD-4699-93F0-9CCFA76E8205}"/>
    <cellStyle name="SAPBEXHLevel2 2 14 2" xfId="17029" xr:uid="{1D4C950F-6E45-4D42-8EDF-57BEA74A34E9}"/>
    <cellStyle name="SAPBEXHLevel2 2 15" xfId="17030" xr:uid="{CC931A94-3700-4083-A449-0197053A191D}"/>
    <cellStyle name="SAPBEXHLevel2 2 15 2" xfId="17031" xr:uid="{D3CB88C4-7BB4-4061-93AD-0F744B521F4E}"/>
    <cellStyle name="SAPBEXHLevel2 2 16" xfId="17032" xr:uid="{FDFC8BFA-0850-4CE6-AD8F-3B439C7A97C3}"/>
    <cellStyle name="SAPBEXHLevel2 2 16 2" xfId="17033" xr:uid="{DFB0EE0C-60A0-4E13-9875-386870D478B9}"/>
    <cellStyle name="SAPBEXHLevel2 2 17" xfId="17034" xr:uid="{319135D2-2552-4BF9-8D76-4ED00C95F9A6}"/>
    <cellStyle name="SAPBEXHLevel2 2 17 2" xfId="17035" xr:uid="{19AFE850-67AC-49C6-B0CB-0F3F354C1F95}"/>
    <cellStyle name="SAPBEXHLevel2 2 18" xfId="17036" xr:uid="{5934D002-81C1-4195-BF08-F142EA4C5DB3}"/>
    <cellStyle name="SAPBEXHLevel2 2 18 2" xfId="17037" xr:uid="{E7AD656D-C116-41E3-8976-E298D9276862}"/>
    <cellStyle name="SAPBEXHLevel2 2 2" xfId="17038" xr:uid="{F038A0BE-DCE2-48F4-A7DC-414CE0BE1596}"/>
    <cellStyle name="SAPBEXHLevel2 2 2 10" xfId="17039" xr:uid="{660C709C-9D56-4543-830B-744B4A02825F}"/>
    <cellStyle name="SAPBEXHLevel2 2 2 10 2" xfId="17040" xr:uid="{6BFF9221-34F7-49D8-95D0-B43FBA28D5AC}"/>
    <cellStyle name="SAPBEXHLevel2 2 2 11" xfId="17041" xr:uid="{9FC6C394-53F1-42C2-B6D1-A392BFF74A66}"/>
    <cellStyle name="SAPBEXHLevel2 2 2 11 2" xfId="17042" xr:uid="{06EAF93C-0247-4F26-B759-BFB862DFEE95}"/>
    <cellStyle name="SAPBEXHLevel2 2 2 12" xfId="17043" xr:uid="{4FA888E7-D945-4E25-9FE4-C62B5350E8B5}"/>
    <cellStyle name="SAPBEXHLevel2 2 2 12 2" xfId="17044" xr:uid="{7422C4B9-085D-42BB-AF0D-733D2275D396}"/>
    <cellStyle name="SAPBEXHLevel2 2 2 13" xfId="17045" xr:uid="{00FDC64B-685C-4233-AAF5-9BFC152CABE5}"/>
    <cellStyle name="SAPBEXHLevel2 2 2 13 2" xfId="17046" xr:uid="{656B85C6-948C-4417-A9C6-2C4EAE589D1A}"/>
    <cellStyle name="SAPBEXHLevel2 2 2 14" xfId="17047" xr:uid="{BBE1E3C1-2F4B-4674-B1E7-1171A45A5BD1}"/>
    <cellStyle name="SAPBEXHLevel2 2 2 14 2" xfId="17048" xr:uid="{359FF724-B289-43C3-BEB8-2950B6EAD761}"/>
    <cellStyle name="SAPBEXHLevel2 2 2 15" xfId="17049" xr:uid="{3386B747-8008-40F7-A3CB-DC0CEEC3FCE4}"/>
    <cellStyle name="SAPBEXHLevel2 2 2 15 2" xfId="17050" xr:uid="{03C98F7A-BF8D-44D3-A86C-9B98C3D80079}"/>
    <cellStyle name="SAPBEXHLevel2 2 2 16" xfId="17051" xr:uid="{550F89BB-66DE-43DB-902B-E23224513A19}"/>
    <cellStyle name="SAPBEXHLevel2 2 2 16 2" xfId="17052" xr:uid="{DE510343-E416-481D-A486-30D9579FE0F2}"/>
    <cellStyle name="SAPBEXHLevel2 2 2 17" xfId="17053" xr:uid="{20FEC631-727E-471D-92DE-A1982C9EAAB4}"/>
    <cellStyle name="SAPBEXHLevel2 2 2 17 2" xfId="17054" xr:uid="{44F8CD42-BDD1-41EC-B128-E7E1F507BF86}"/>
    <cellStyle name="SAPBEXHLevel2 2 2 2" xfId="17055" xr:uid="{01F299BC-600D-4721-9DD6-E5390263B70B}"/>
    <cellStyle name="SAPBEXHLevel2 2 2 2 10" xfId="17056" xr:uid="{D2A037B9-9321-4958-8C1D-060C7E2FDD63}"/>
    <cellStyle name="SAPBEXHLevel2 2 2 2 10 2" xfId="17057" xr:uid="{32FD6342-6B79-4541-B040-16E26F5F5B11}"/>
    <cellStyle name="SAPBEXHLevel2 2 2 2 11" xfId="17058" xr:uid="{7A2766A0-9792-4F75-87B0-504590CE4703}"/>
    <cellStyle name="SAPBEXHLevel2 2 2 2 11 2" xfId="17059" xr:uid="{D1FEDAE2-5012-45DB-9F9D-26E24CFD1960}"/>
    <cellStyle name="SAPBEXHLevel2 2 2 2 12" xfId="17060" xr:uid="{0227518D-845A-4EFC-9A78-DB1278FC1CFA}"/>
    <cellStyle name="SAPBEXHLevel2 2 2 2 12 2" xfId="17061" xr:uid="{B683D761-4D39-4BC2-BEA6-990B3A056A77}"/>
    <cellStyle name="SAPBEXHLevel2 2 2 2 13" xfId="17062" xr:uid="{298A7BBE-737B-4F0A-AB78-C95ECEA246AF}"/>
    <cellStyle name="SAPBEXHLevel2 2 2 2 13 2" xfId="17063" xr:uid="{5B624F98-71CC-4FB6-8ACB-D9AEAA1B68DB}"/>
    <cellStyle name="SAPBEXHLevel2 2 2 2 14" xfId="17064" xr:uid="{51E08269-3C3D-4A5E-BA85-7821D77F0917}"/>
    <cellStyle name="SAPBEXHLevel2 2 2 2 14 2" xfId="17065" xr:uid="{BE44AFB3-18BC-4E98-BCFD-86B9CCEC43EB}"/>
    <cellStyle name="SAPBEXHLevel2 2 2 2 15" xfId="17066" xr:uid="{9643A8E3-E272-48C5-9B53-D80560607F6A}"/>
    <cellStyle name="SAPBEXHLevel2 2 2 2 15 2" xfId="17067" xr:uid="{4447BE10-1407-447C-966D-67B1821F841C}"/>
    <cellStyle name="SAPBEXHLevel2 2 2 2 2" xfId="17068" xr:uid="{D9076C8E-F749-43AA-BE95-8A61428120A3}"/>
    <cellStyle name="SAPBEXHLevel2 2 2 2 2 2" xfId="17069" xr:uid="{F0251A01-2B85-4025-B982-D8BEAC1A5E51}"/>
    <cellStyle name="SAPBEXHLevel2 2 2 2 3" xfId="17070" xr:uid="{7FAF8D33-71C4-4A22-B290-4FDC740DE0BF}"/>
    <cellStyle name="SAPBEXHLevel2 2 2 2 3 2" xfId="17071" xr:uid="{7F04323B-F3AD-477D-BE72-FD253A215FD5}"/>
    <cellStyle name="SAPBEXHLevel2 2 2 2 4" xfId="17072" xr:uid="{693C9175-D194-4FFD-BC83-0D75A6E3F0F2}"/>
    <cellStyle name="SAPBEXHLevel2 2 2 2 4 2" xfId="17073" xr:uid="{A226B9C7-D0C0-48E1-AA99-C76F01836BDF}"/>
    <cellStyle name="SAPBEXHLevel2 2 2 2 5" xfId="17074" xr:uid="{39D6DDFE-3791-4A8C-92EF-0DF1D1742075}"/>
    <cellStyle name="SAPBEXHLevel2 2 2 2 5 2" xfId="17075" xr:uid="{EF485D1F-828B-43AF-A9B6-83272BD35CA0}"/>
    <cellStyle name="SAPBEXHLevel2 2 2 2 6" xfId="17076" xr:uid="{1EDA5917-997C-4A17-A268-5F018BC8DD51}"/>
    <cellStyle name="SAPBEXHLevel2 2 2 2 6 2" xfId="17077" xr:uid="{F5CB95DB-7C6B-4BC4-B032-48CF5869087C}"/>
    <cellStyle name="SAPBEXHLevel2 2 2 2 7" xfId="17078" xr:uid="{C440925C-3EF5-44FB-A385-F8808A324824}"/>
    <cellStyle name="SAPBEXHLevel2 2 2 2 7 2" xfId="17079" xr:uid="{31EF807F-4AB8-4986-A522-5E2B5540D580}"/>
    <cellStyle name="SAPBEXHLevel2 2 2 2 8" xfId="17080" xr:uid="{CCE0C386-9C74-4461-8EA4-07E08D200F41}"/>
    <cellStyle name="SAPBEXHLevel2 2 2 2 8 2" xfId="17081" xr:uid="{59C1B9AD-ED9F-44B1-B788-A2F797788257}"/>
    <cellStyle name="SAPBEXHLevel2 2 2 2 9" xfId="17082" xr:uid="{24641C29-F636-45CA-91F1-AFB64859AEA4}"/>
    <cellStyle name="SAPBEXHLevel2 2 2 2 9 2" xfId="17083" xr:uid="{095F683F-3230-424E-8A3B-8C994E1F5858}"/>
    <cellStyle name="SAPBEXHLevel2 2 2 3" xfId="17084" xr:uid="{05933F96-56E6-4333-AB83-98D0EE57BC7A}"/>
    <cellStyle name="SAPBEXHLevel2 2 2 3 10" xfId="17085" xr:uid="{AE4D1EDB-79E4-41BE-938D-807A1485EC61}"/>
    <cellStyle name="SAPBEXHLevel2 2 2 3 10 2" xfId="17086" xr:uid="{AC0ED762-A455-45F1-ABDD-704A897089BD}"/>
    <cellStyle name="SAPBEXHLevel2 2 2 3 11" xfId="17087" xr:uid="{336D24E9-BE99-4696-AC0F-8BAFE9F85636}"/>
    <cellStyle name="SAPBEXHLevel2 2 2 3 11 2" xfId="17088" xr:uid="{4EF06D10-80C2-49E1-900A-6C91201BEF79}"/>
    <cellStyle name="SAPBEXHLevel2 2 2 3 12" xfId="17089" xr:uid="{32E92BCD-9C9D-459C-B922-EC172863754F}"/>
    <cellStyle name="SAPBEXHLevel2 2 2 3 12 2" xfId="17090" xr:uid="{990085B1-18B5-4E20-883A-795AC8D7E20F}"/>
    <cellStyle name="SAPBEXHLevel2 2 2 3 13" xfId="17091" xr:uid="{D1E4EEEC-C13F-40BA-ACBC-DFE4BD137563}"/>
    <cellStyle name="SAPBEXHLevel2 2 2 3 13 2" xfId="17092" xr:uid="{96562B71-CD8F-4BDD-8F47-29EB3904D1D2}"/>
    <cellStyle name="SAPBEXHLevel2 2 2 3 14" xfId="17093" xr:uid="{67168BB8-5C17-4601-9B30-CCDBD99A0B2D}"/>
    <cellStyle name="SAPBEXHLevel2 2 2 3 14 2" xfId="17094" xr:uid="{F76B0E12-70B7-4EFD-98DE-9FEC2CDF7494}"/>
    <cellStyle name="SAPBEXHLevel2 2 2 3 15" xfId="17095" xr:uid="{A73C2FDC-24E5-49BB-9AA9-89FFA969A845}"/>
    <cellStyle name="SAPBEXHLevel2 2 2 3 15 2" xfId="17096" xr:uid="{EEFB68A0-DFB6-4F6B-B351-F353D06EA9AD}"/>
    <cellStyle name="SAPBEXHLevel2 2 2 3 2" xfId="17097" xr:uid="{DF204A36-09D6-4CB8-9F1D-E589F650A7EC}"/>
    <cellStyle name="SAPBEXHLevel2 2 2 3 2 2" xfId="17098" xr:uid="{AD41A0BA-A924-44DC-8C83-4301F72D29F6}"/>
    <cellStyle name="SAPBEXHLevel2 2 2 3 3" xfId="17099" xr:uid="{768BA2D1-976D-4BEB-8F69-DE80D5B8D54A}"/>
    <cellStyle name="SAPBEXHLevel2 2 2 3 3 2" xfId="17100" xr:uid="{48767C17-78A4-4F4F-83CF-0BF937C13276}"/>
    <cellStyle name="SAPBEXHLevel2 2 2 3 4" xfId="17101" xr:uid="{8F03DBC8-9923-40F7-852D-93F7507BC810}"/>
    <cellStyle name="SAPBEXHLevel2 2 2 3 4 2" xfId="17102" xr:uid="{292CFAD4-12CA-43AA-92CA-918DDCEF90B0}"/>
    <cellStyle name="SAPBEXHLevel2 2 2 3 5" xfId="17103" xr:uid="{70212B61-8F33-4F93-B58B-C6EA4E55F40A}"/>
    <cellStyle name="SAPBEXHLevel2 2 2 3 5 2" xfId="17104" xr:uid="{66189D3C-99A2-4138-9CAA-7D945041D5EC}"/>
    <cellStyle name="SAPBEXHLevel2 2 2 3 6" xfId="17105" xr:uid="{7AC9B19F-3276-4E15-BD2A-B5E88BF8B191}"/>
    <cellStyle name="SAPBEXHLevel2 2 2 3 6 2" xfId="17106" xr:uid="{A4FD9BD1-D030-46A1-B130-D62D4AA49244}"/>
    <cellStyle name="SAPBEXHLevel2 2 2 3 7" xfId="17107" xr:uid="{AFDF9B37-611E-405A-B5C5-5B2F2362F3C3}"/>
    <cellStyle name="SAPBEXHLevel2 2 2 3 7 2" xfId="17108" xr:uid="{8B88DE97-0E30-440A-B647-A258DA5A0B10}"/>
    <cellStyle name="SAPBEXHLevel2 2 2 3 8" xfId="17109" xr:uid="{E9FFBA61-37E7-4C9E-B988-4E7ED5DF0C29}"/>
    <cellStyle name="SAPBEXHLevel2 2 2 3 8 2" xfId="17110" xr:uid="{398A7A08-EA1B-448D-91F0-A91D2922CC0A}"/>
    <cellStyle name="SAPBEXHLevel2 2 2 3 9" xfId="17111" xr:uid="{6EB4ED0B-59DE-4A66-82EC-F5ACAC481D14}"/>
    <cellStyle name="SAPBEXHLevel2 2 2 3 9 2" xfId="17112" xr:uid="{F017580A-C616-4626-9269-5FDA3CD1A698}"/>
    <cellStyle name="SAPBEXHLevel2 2 2 4" xfId="17113" xr:uid="{44E234AA-8D6E-4806-A1ED-A157143C7781}"/>
    <cellStyle name="SAPBEXHLevel2 2 2 4 2" xfId="17114" xr:uid="{5DC43028-1BBB-4220-BA23-1ABDA834466D}"/>
    <cellStyle name="SAPBEXHLevel2 2 2 5" xfId="17115" xr:uid="{0567DE16-1417-4C3E-A586-D67C8E680E14}"/>
    <cellStyle name="SAPBEXHLevel2 2 2 5 2" xfId="17116" xr:uid="{8BA0CFC6-EE8F-42CB-A3D4-FED050B15ED8}"/>
    <cellStyle name="SAPBEXHLevel2 2 2 6" xfId="17117" xr:uid="{C13CC8C6-5815-4ECD-8310-C4324BFD5343}"/>
    <cellStyle name="SAPBEXHLevel2 2 2 6 2" xfId="17118" xr:uid="{1B657087-1F01-47B2-8BDC-28B3C81B625F}"/>
    <cellStyle name="SAPBEXHLevel2 2 2 7" xfId="17119" xr:uid="{ABC68E7B-8235-469E-82B8-4F456B06AFF2}"/>
    <cellStyle name="SAPBEXHLevel2 2 2 7 2" xfId="17120" xr:uid="{B057D374-F84D-4875-B36B-C963186F3A98}"/>
    <cellStyle name="SAPBEXHLevel2 2 2 8" xfId="17121" xr:uid="{2FD97B01-B931-4592-909E-82FB25ED9D5C}"/>
    <cellStyle name="SAPBEXHLevel2 2 2 8 2" xfId="17122" xr:uid="{3CADD5C2-D09A-41A5-9118-1D77126E57DD}"/>
    <cellStyle name="SAPBEXHLevel2 2 2 9" xfId="17123" xr:uid="{FCC3F0F9-530C-4A9A-9790-EE149234883F}"/>
    <cellStyle name="SAPBEXHLevel2 2 2 9 2" xfId="17124" xr:uid="{855E5F91-573D-485D-B12C-3DBD4E199CEF}"/>
    <cellStyle name="SAPBEXHLevel2 2 3" xfId="17125" xr:uid="{A4142A0F-ED4F-4F39-8154-9913A1E4CCA5}"/>
    <cellStyle name="SAPBEXHLevel2 2 3 10" xfId="17126" xr:uid="{CF1FAE5F-89B3-4E6A-8F56-76CD4F45E1A9}"/>
    <cellStyle name="SAPBEXHLevel2 2 3 10 2" xfId="17127" xr:uid="{35475F4F-E755-41FE-95B9-943C7DF8B7CC}"/>
    <cellStyle name="SAPBEXHLevel2 2 3 11" xfId="17128" xr:uid="{0264D716-861B-46EC-9D0F-6A78902D5499}"/>
    <cellStyle name="SAPBEXHLevel2 2 3 11 2" xfId="17129" xr:uid="{F2D1DC2E-C419-43BF-9B1B-670DAFF63AF0}"/>
    <cellStyle name="SAPBEXHLevel2 2 3 12" xfId="17130" xr:uid="{9DC853A7-8BE2-4FBD-9840-CAD0128C3141}"/>
    <cellStyle name="SAPBEXHLevel2 2 3 12 2" xfId="17131" xr:uid="{A1B1433C-71D6-4948-9E34-BF824D67E9CD}"/>
    <cellStyle name="SAPBEXHLevel2 2 3 13" xfId="17132" xr:uid="{20349F79-2C4B-48B4-8F6F-263BA733297B}"/>
    <cellStyle name="SAPBEXHLevel2 2 3 13 2" xfId="17133" xr:uid="{CAFED027-9B1E-4E4F-9E66-74D97C17B79E}"/>
    <cellStyle name="SAPBEXHLevel2 2 3 14" xfId="17134" xr:uid="{0918F510-A222-42C4-B9B1-9239D635C182}"/>
    <cellStyle name="SAPBEXHLevel2 2 3 14 2" xfId="17135" xr:uid="{D128C8BC-6D02-4861-9A5C-7155AACDCBA3}"/>
    <cellStyle name="SAPBEXHLevel2 2 3 15" xfId="17136" xr:uid="{D4C0600D-D323-46E7-AE7A-1E563A2B8EA1}"/>
    <cellStyle name="SAPBEXHLevel2 2 3 15 2" xfId="17137" xr:uid="{44E7281C-01D2-49E2-930F-1812A3C33BE7}"/>
    <cellStyle name="SAPBEXHLevel2 2 3 16" xfId="17138" xr:uid="{6E2C1814-B081-4EA9-942B-AD2ABB009059}"/>
    <cellStyle name="SAPBEXHLevel2 2 3 16 2" xfId="17139" xr:uid="{7EEC3F23-D4CD-4ACF-915E-88FCADEE246F}"/>
    <cellStyle name="SAPBEXHLevel2 2 3 17" xfId="17140" xr:uid="{AEA10D98-4DE1-42ED-A167-85D9CDC68DB6}"/>
    <cellStyle name="SAPBEXHLevel2 2 3 17 2" xfId="17141" xr:uid="{ABFC58D5-2CB5-42C8-A539-F3B5F051617C}"/>
    <cellStyle name="SAPBEXHLevel2 2 3 2" xfId="17142" xr:uid="{A80D3DBB-F30E-463D-9F63-7028965D6047}"/>
    <cellStyle name="SAPBEXHLevel2 2 3 2 10" xfId="17143" xr:uid="{373CF212-C748-42B7-B88F-0A98471C58FB}"/>
    <cellStyle name="SAPBEXHLevel2 2 3 2 10 2" xfId="17144" xr:uid="{B20911E0-CE4B-4714-8A84-AC47A9445D9E}"/>
    <cellStyle name="SAPBEXHLevel2 2 3 2 11" xfId="17145" xr:uid="{D40746F1-C912-4F62-B2FD-F649E1A43079}"/>
    <cellStyle name="SAPBEXHLevel2 2 3 2 11 2" xfId="17146" xr:uid="{0B26239D-B19B-432C-9B18-B32C307EDFCB}"/>
    <cellStyle name="SAPBEXHLevel2 2 3 2 12" xfId="17147" xr:uid="{8B863E9E-D40F-44CA-9953-14C4607C46CD}"/>
    <cellStyle name="SAPBEXHLevel2 2 3 2 12 2" xfId="17148" xr:uid="{3E4B521B-5E6B-4DBA-8036-090B65A8603D}"/>
    <cellStyle name="SAPBEXHLevel2 2 3 2 13" xfId="17149" xr:uid="{E6A6B1F2-542D-4A1C-B008-E3D6146D398A}"/>
    <cellStyle name="SAPBEXHLevel2 2 3 2 13 2" xfId="17150" xr:uid="{5F5D5A42-410D-4D67-83C7-D02980443F28}"/>
    <cellStyle name="SAPBEXHLevel2 2 3 2 14" xfId="17151" xr:uid="{30B7511A-36C0-411D-A779-77FED016C9B9}"/>
    <cellStyle name="SAPBEXHLevel2 2 3 2 14 2" xfId="17152" xr:uid="{8C5DF645-FEB2-45D8-ADB3-07ECD341D962}"/>
    <cellStyle name="SAPBEXHLevel2 2 3 2 15" xfId="17153" xr:uid="{988C5453-1FD4-4FAA-8282-0E4954780582}"/>
    <cellStyle name="SAPBEXHLevel2 2 3 2 15 2" xfId="17154" xr:uid="{EA0193E1-133D-4C76-84BE-75C388CB9913}"/>
    <cellStyle name="SAPBEXHLevel2 2 3 2 2" xfId="17155" xr:uid="{8DD31A1F-921F-48FB-8CA6-D227A857972D}"/>
    <cellStyle name="SAPBEXHLevel2 2 3 2 2 2" xfId="17156" xr:uid="{849E0B52-0395-4436-8A15-3F0E8D606170}"/>
    <cellStyle name="SAPBEXHLevel2 2 3 2 3" xfId="17157" xr:uid="{7CEB75A1-E1B5-4FB0-8295-FF8120978263}"/>
    <cellStyle name="SAPBEXHLevel2 2 3 2 3 2" xfId="17158" xr:uid="{772B2A7B-CB34-40E4-A421-6BAE97834EA0}"/>
    <cellStyle name="SAPBEXHLevel2 2 3 2 4" xfId="17159" xr:uid="{25C6222B-2693-4ADD-B4E0-EFB7C8962FB8}"/>
    <cellStyle name="SAPBEXHLevel2 2 3 2 4 2" xfId="17160" xr:uid="{6FD99AA2-B56A-4A5F-A285-F7E08AC6A1BE}"/>
    <cellStyle name="SAPBEXHLevel2 2 3 2 5" xfId="17161" xr:uid="{CEAD3A72-20E1-4E72-BFA8-1F6D5E628716}"/>
    <cellStyle name="SAPBEXHLevel2 2 3 2 5 2" xfId="17162" xr:uid="{D517E678-1AB8-4BB5-841F-D5C0E7AA299F}"/>
    <cellStyle name="SAPBEXHLevel2 2 3 2 6" xfId="17163" xr:uid="{77004ACF-14A4-4F23-8008-C892C3642D74}"/>
    <cellStyle name="SAPBEXHLevel2 2 3 2 6 2" xfId="17164" xr:uid="{32846746-2135-4544-8080-9DC177CB3496}"/>
    <cellStyle name="SAPBEXHLevel2 2 3 2 7" xfId="17165" xr:uid="{1D6D8B64-C2ED-405F-970D-65AC1FBC6297}"/>
    <cellStyle name="SAPBEXHLevel2 2 3 2 7 2" xfId="17166" xr:uid="{CAA4822A-DE06-4DA3-B7F9-048AA8253FCF}"/>
    <cellStyle name="SAPBEXHLevel2 2 3 2 8" xfId="17167" xr:uid="{5D13E829-15C4-4F2B-8C88-5253DF0E05AF}"/>
    <cellStyle name="SAPBEXHLevel2 2 3 2 8 2" xfId="17168" xr:uid="{06BFED9D-59A8-40AC-9BA9-9529A68CC037}"/>
    <cellStyle name="SAPBEXHLevel2 2 3 2 9" xfId="17169" xr:uid="{E81053C8-62D0-4C7D-8900-ED3C9F6382A8}"/>
    <cellStyle name="SAPBEXHLevel2 2 3 2 9 2" xfId="17170" xr:uid="{0D982ACF-C281-43D4-ABB4-F5FB20C974AB}"/>
    <cellStyle name="SAPBEXHLevel2 2 3 3" xfId="17171" xr:uid="{81CEE6C5-D073-41AB-829D-D79FE82061E7}"/>
    <cellStyle name="SAPBEXHLevel2 2 3 3 10" xfId="17172" xr:uid="{4041809E-0899-4BAB-B25A-0BAC1470B0B6}"/>
    <cellStyle name="SAPBEXHLevel2 2 3 3 10 2" xfId="17173" xr:uid="{8B14B1FE-8862-4C44-B712-621357118B69}"/>
    <cellStyle name="SAPBEXHLevel2 2 3 3 11" xfId="17174" xr:uid="{0C4A7198-4E21-4CB9-9891-F4B107803117}"/>
    <cellStyle name="SAPBEXHLevel2 2 3 3 11 2" xfId="17175" xr:uid="{D95DF059-7E70-4FDC-9AD6-691DFF62A72C}"/>
    <cellStyle name="SAPBEXHLevel2 2 3 3 12" xfId="17176" xr:uid="{471792A8-E465-4A4A-AB80-9EE31DB0B702}"/>
    <cellStyle name="SAPBEXHLevel2 2 3 3 12 2" xfId="17177" xr:uid="{680C7332-CA85-4BBF-8698-9225197064E8}"/>
    <cellStyle name="SAPBEXHLevel2 2 3 3 13" xfId="17178" xr:uid="{6BE7BFFA-B0E9-4167-B07F-CA21E26C1973}"/>
    <cellStyle name="SAPBEXHLevel2 2 3 3 13 2" xfId="17179" xr:uid="{4EC4A3CC-F03E-40F6-859F-C9DB2D84CF52}"/>
    <cellStyle name="SAPBEXHLevel2 2 3 3 14" xfId="17180" xr:uid="{D32CAD41-91A2-44AA-AFA2-048ADB07B731}"/>
    <cellStyle name="SAPBEXHLevel2 2 3 3 14 2" xfId="17181" xr:uid="{42273CF9-EBCB-45D7-9D55-CF91D534DF06}"/>
    <cellStyle name="SAPBEXHLevel2 2 3 3 15" xfId="17182" xr:uid="{D2BECB71-7688-4703-8366-E41AC74600CA}"/>
    <cellStyle name="SAPBEXHLevel2 2 3 3 15 2" xfId="17183" xr:uid="{975A6100-C1D0-4E29-AD35-2881AAE31CF4}"/>
    <cellStyle name="SAPBEXHLevel2 2 3 3 2" xfId="17184" xr:uid="{F8AB38CF-80D6-4DC6-8BB9-4247DFB39A21}"/>
    <cellStyle name="SAPBEXHLevel2 2 3 3 2 2" xfId="17185" xr:uid="{34C1857F-2863-446C-8B56-BA1AFEEFE7C1}"/>
    <cellStyle name="SAPBEXHLevel2 2 3 3 3" xfId="17186" xr:uid="{6F667902-CFA9-4D72-9641-78F9A84412E3}"/>
    <cellStyle name="SAPBEXHLevel2 2 3 3 3 2" xfId="17187" xr:uid="{99E06F4D-54AE-4D68-B736-4060B688D74D}"/>
    <cellStyle name="SAPBEXHLevel2 2 3 3 4" xfId="17188" xr:uid="{3A59C36E-48E8-4A49-9FAA-AC237F381395}"/>
    <cellStyle name="SAPBEXHLevel2 2 3 3 4 2" xfId="17189" xr:uid="{289BA27F-1488-4685-A2C1-F384A9671A8D}"/>
    <cellStyle name="SAPBEXHLevel2 2 3 3 5" xfId="17190" xr:uid="{6478DAEB-D45E-4ED1-BA74-C2D24DFFCE8B}"/>
    <cellStyle name="SAPBEXHLevel2 2 3 3 5 2" xfId="17191" xr:uid="{DBF71064-52F9-4B5B-8949-61C1AD2B226D}"/>
    <cellStyle name="SAPBEXHLevel2 2 3 3 6" xfId="17192" xr:uid="{53D51D94-E8FE-42A6-B53C-925FA523918B}"/>
    <cellStyle name="SAPBEXHLevel2 2 3 3 6 2" xfId="17193" xr:uid="{8D0ED9D5-F1F9-48AA-831E-595B4271EE62}"/>
    <cellStyle name="SAPBEXHLevel2 2 3 3 7" xfId="17194" xr:uid="{C17282E4-9CD5-4463-9564-50A6893AB9A0}"/>
    <cellStyle name="SAPBEXHLevel2 2 3 3 7 2" xfId="17195" xr:uid="{E86C8C23-B7EF-4A05-B174-AC7D7715478C}"/>
    <cellStyle name="SAPBEXHLevel2 2 3 3 8" xfId="17196" xr:uid="{1FD847C1-9E86-41F1-ABDB-4CEF4E866BAF}"/>
    <cellStyle name="SAPBEXHLevel2 2 3 3 8 2" xfId="17197" xr:uid="{0DEA33D6-6952-4FC2-9346-C879FB5D82DF}"/>
    <cellStyle name="SAPBEXHLevel2 2 3 3 9" xfId="17198" xr:uid="{757460C3-7663-497F-8096-66F8420A368A}"/>
    <cellStyle name="SAPBEXHLevel2 2 3 3 9 2" xfId="17199" xr:uid="{61CD0F0A-7A4D-479B-845D-2BBFF7DBCA99}"/>
    <cellStyle name="SAPBEXHLevel2 2 3 4" xfId="17200" xr:uid="{BF08AB0C-4BA0-4DF5-9BE2-50D9EF8125BF}"/>
    <cellStyle name="SAPBEXHLevel2 2 3 4 2" xfId="17201" xr:uid="{FB8C7DE9-660B-4C16-84D2-2E96EEEDEB50}"/>
    <cellStyle name="SAPBEXHLevel2 2 3 5" xfId="17202" xr:uid="{B6B9CF6A-F7C9-49D6-98AA-7E5CAFC699CA}"/>
    <cellStyle name="SAPBEXHLevel2 2 3 5 2" xfId="17203" xr:uid="{3C1A4CCC-971B-4AAD-BDDE-8AAEE0E779A4}"/>
    <cellStyle name="SAPBEXHLevel2 2 3 6" xfId="17204" xr:uid="{FE3AC8B0-8520-49D2-83BA-9D16014A08B7}"/>
    <cellStyle name="SAPBEXHLevel2 2 3 6 2" xfId="17205" xr:uid="{5A64EAE5-330F-405E-B25D-7EDCA970D2D4}"/>
    <cellStyle name="SAPBEXHLevel2 2 3 7" xfId="17206" xr:uid="{E0FC58E8-F0B2-41B7-A85C-92093F7754B6}"/>
    <cellStyle name="SAPBEXHLevel2 2 3 7 2" xfId="17207" xr:uid="{88DC5552-450B-418C-9B84-53E4B5E10D8B}"/>
    <cellStyle name="SAPBEXHLevel2 2 3 8" xfId="17208" xr:uid="{B91ED797-193F-430B-BB2A-A266A562CBA9}"/>
    <cellStyle name="SAPBEXHLevel2 2 3 8 2" xfId="17209" xr:uid="{31918649-66B6-4114-9395-1CB4A2612092}"/>
    <cellStyle name="SAPBEXHLevel2 2 3 9" xfId="17210" xr:uid="{0C672243-7C9E-4C0D-B13E-C679DD03571C}"/>
    <cellStyle name="SAPBEXHLevel2 2 3 9 2" xfId="17211" xr:uid="{097027AE-CD2E-48BF-95D3-BCC84EB73AFA}"/>
    <cellStyle name="SAPBEXHLevel2 2 4" xfId="17212" xr:uid="{06B1DB72-C3F4-422E-84E6-B69B0144E9DB}"/>
    <cellStyle name="SAPBEXHLevel2 2 4 10" xfId="17213" xr:uid="{82D0E768-9195-4665-957B-B01C266E3D35}"/>
    <cellStyle name="SAPBEXHLevel2 2 4 10 2" xfId="17214" xr:uid="{8769F997-81E1-476E-B6D0-404B612BC024}"/>
    <cellStyle name="SAPBEXHLevel2 2 4 11" xfId="17215" xr:uid="{AAB13FC4-C6E7-4EE4-A243-BD09B7CF1E9B}"/>
    <cellStyle name="SAPBEXHLevel2 2 4 11 2" xfId="17216" xr:uid="{A458F6B8-B13B-481B-8C5F-0A2296FF7588}"/>
    <cellStyle name="SAPBEXHLevel2 2 4 12" xfId="17217" xr:uid="{C1E45FEA-0A18-4D5B-96B0-B7FE35F4971B}"/>
    <cellStyle name="SAPBEXHLevel2 2 4 12 2" xfId="17218" xr:uid="{F1D61428-91A8-4B5D-802C-1EAA940EACBB}"/>
    <cellStyle name="SAPBEXHLevel2 2 4 13" xfId="17219" xr:uid="{8CB0041F-98CA-404B-849D-0133BE81DDAA}"/>
    <cellStyle name="SAPBEXHLevel2 2 4 13 2" xfId="17220" xr:uid="{9C357082-01E3-44A3-9301-5A68E708C333}"/>
    <cellStyle name="SAPBEXHLevel2 2 4 14" xfId="17221" xr:uid="{455A973F-5C6D-4F47-8188-5C1C1A8FCCD4}"/>
    <cellStyle name="SAPBEXHLevel2 2 4 14 2" xfId="17222" xr:uid="{AC179F60-0CB5-4F6F-A4E2-4688969260BF}"/>
    <cellStyle name="SAPBEXHLevel2 2 4 15" xfId="17223" xr:uid="{772AD7B4-4956-4A6E-901D-FEFDD42989B8}"/>
    <cellStyle name="SAPBEXHLevel2 2 4 15 2" xfId="17224" xr:uid="{E492F692-47BB-40AF-8ACD-0A2606A389D9}"/>
    <cellStyle name="SAPBEXHLevel2 2 4 16" xfId="17225" xr:uid="{3AAB1034-5C09-4401-95DF-0387D7147C18}"/>
    <cellStyle name="SAPBEXHLevel2 2 4 16 2" xfId="17226" xr:uid="{4EC1DBD7-A62C-4204-82A2-CF1239D4E1B5}"/>
    <cellStyle name="SAPBEXHLevel2 2 4 17" xfId="17227" xr:uid="{321609DB-E7FA-4613-8742-7482D088065B}"/>
    <cellStyle name="SAPBEXHLevel2 2 4 17 2" xfId="17228" xr:uid="{89B203B6-5609-4268-A845-9009D86FD132}"/>
    <cellStyle name="SAPBEXHLevel2 2 4 2" xfId="17229" xr:uid="{A1A7F2FE-9EDB-4950-9F40-E0B5E0CAA3CC}"/>
    <cellStyle name="SAPBEXHLevel2 2 4 2 10" xfId="17230" xr:uid="{82C32550-C920-42E2-BA7D-55876DBCD48C}"/>
    <cellStyle name="SAPBEXHLevel2 2 4 2 10 2" xfId="17231" xr:uid="{CD0C522A-2A46-4611-96D9-9676F584AAF4}"/>
    <cellStyle name="SAPBEXHLevel2 2 4 2 11" xfId="17232" xr:uid="{C5AB881F-868C-4D32-9764-D3C99C0CA350}"/>
    <cellStyle name="SAPBEXHLevel2 2 4 2 11 2" xfId="17233" xr:uid="{FA3C5E73-25E0-4560-9C0A-10DD71B48978}"/>
    <cellStyle name="SAPBEXHLevel2 2 4 2 12" xfId="17234" xr:uid="{8969ECFD-EE40-4788-B00C-D3997297191B}"/>
    <cellStyle name="SAPBEXHLevel2 2 4 2 12 2" xfId="17235" xr:uid="{F1DBFBAD-245B-4C96-BDE3-92AAC88540DD}"/>
    <cellStyle name="SAPBEXHLevel2 2 4 2 13" xfId="17236" xr:uid="{7F76C51D-C175-4C57-9443-F430C29192BE}"/>
    <cellStyle name="SAPBEXHLevel2 2 4 2 13 2" xfId="17237" xr:uid="{F42115BF-F5AD-48E0-876B-7A35FE178873}"/>
    <cellStyle name="SAPBEXHLevel2 2 4 2 14" xfId="17238" xr:uid="{225BB9F4-A058-4B6B-9B13-2FFFC50EEB5B}"/>
    <cellStyle name="SAPBEXHLevel2 2 4 2 14 2" xfId="17239" xr:uid="{90B72BED-4A2B-4888-A1D8-30002E2AED8F}"/>
    <cellStyle name="SAPBEXHLevel2 2 4 2 15" xfId="17240" xr:uid="{8A3904DA-6BE4-41F8-98F5-4A1B0F01BC1B}"/>
    <cellStyle name="SAPBEXHLevel2 2 4 2 15 2" xfId="17241" xr:uid="{7447E2A2-CA72-49F3-947B-19ED75E08D18}"/>
    <cellStyle name="SAPBEXHLevel2 2 4 2 2" xfId="17242" xr:uid="{282AE653-582A-4DD7-925E-B5E9AC46C785}"/>
    <cellStyle name="SAPBEXHLevel2 2 4 2 2 2" xfId="17243" xr:uid="{50243B6F-78D7-47B4-8E62-6FBFCB058522}"/>
    <cellStyle name="SAPBEXHLevel2 2 4 2 3" xfId="17244" xr:uid="{5E4002DB-A03D-4A62-B4CD-D06919878A17}"/>
    <cellStyle name="SAPBEXHLevel2 2 4 2 3 2" xfId="17245" xr:uid="{335A0D25-88CC-4B2E-A2BA-1458B2E19710}"/>
    <cellStyle name="SAPBEXHLevel2 2 4 2 4" xfId="17246" xr:uid="{048AA6F0-87E2-489C-8CD4-DE20CCEB00F5}"/>
    <cellStyle name="SAPBEXHLevel2 2 4 2 4 2" xfId="17247" xr:uid="{55015671-7939-4536-A49D-58E5E446B6DA}"/>
    <cellStyle name="SAPBEXHLevel2 2 4 2 5" xfId="17248" xr:uid="{D7EA8D84-79F6-432A-9D1D-B91D86F0A72C}"/>
    <cellStyle name="SAPBEXHLevel2 2 4 2 5 2" xfId="17249" xr:uid="{1DCA6B82-4114-4176-A7E3-D00465CAEFB4}"/>
    <cellStyle name="SAPBEXHLevel2 2 4 2 6" xfId="17250" xr:uid="{EDE0468C-75BD-46D6-9658-2662F7BF4122}"/>
    <cellStyle name="SAPBEXHLevel2 2 4 2 6 2" xfId="17251" xr:uid="{6937C2B9-C048-4E37-BECC-2A7B0F78CCCA}"/>
    <cellStyle name="SAPBEXHLevel2 2 4 2 7" xfId="17252" xr:uid="{F4D77EAC-C213-4DB8-A912-F24A40D9CE40}"/>
    <cellStyle name="SAPBEXHLevel2 2 4 2 7 2" xfId="17253" xr:uid="{7E58BFDE-04D1-43CC-9D19-07C226817316}"/>
    <cellStyle name="SAPBEXHLevel2 2 4 2 8" xfId="17254" xr:uid="{E1EFD7A0-BD11-4D06-8A9D-BC43F49A99C5}"/>
    <cellStyle name="SAPBEXHLevel2 2 4 2 8 2" xfId="17255" xr:uid="{6B7C09F9-8D56-45D1-8B68-F0610963E053}"/>
    <cellStyle name="SAPBEXHLevel2 2 4 2 9" xfId="17256" xr:uid="{9020ADFB-05FA-44F3-9371-B044F93497E7}"/>
    <cellStyle name="SAPBEXHLevel2 2 4 2 9 2" xfId="17257" xr:uid="{7D528CDE-0DB4-46B7-A432-17058837ADEF}"/>
    <cellStyle name="SAPBEXHLevel2 2 4 3" xfId="17258" xr:uid="{A3EF5F18-2459-4B79-9E7A-D3CD62E5F157}"/>
    <cellStyle name="SAPBEXHLevel2 2 4 3 10" xfId="17259" xr:uid="{05DA5F56-304B-4C12-B338-64A86016249F}"/>
    <cellStyle name="SAPBEXHLevel2 2 4 3 10 2" xfId="17260" xr:uid="{E69E2188-9C64-4187-99F7-47AE6E639352}"/>
    <cellStyle name="SAPBEXHLevel2 2 4 3 11" xfId="17261" xr:uid="{07FE5DA7-12AF-4E19-A420-8128DB341197}"/>
    <cellStyle name="SAPBEXHLevel2 2 4 3 11 2" xfId="17262" xr:uid="{7B150010-9318-41B3-BC1E-5B3E7353C2A4}"/>
    <cellStyle name="SAPBEXHLevel2 2 4 3 12" xfId="17263" xr:uid="{D74A5395-8C69-45A2-9C2A-F61FD2480F71}"/>
    <cellStyle name="SAPBEXHLevel2 2 4 3 12 2" xfId="17264" xr:uid="{D6321135-BF54-44BF-86BE-B4392D8D9C64}"/>
    <cellStyle name="SAPBEXHLevel2 2 4 3 13" xfId="17265" xr:uid="{27B56C3C-FD33-41B5-BDB2-7EA5C3805A9F}"/>
    <cellStyle name="SAPBEXHLevel2 2 4 3 13 2" xfId="17266" xr:uid="{39489AB3-B50B-41A4-A6BF-EAEF50919AEA}"/>
    <cellStyle name="SAPBEXHLevel2 2 4 3 14" xfId="17267" xr:uid="{3D4E876D-D4A8-4555-8433-93B5D489FE06}"/>
    <cellStyle name="SAPBEXHLevel2 2 4 3 14 2" xfId="17268" xr:uid="{94059896-400C-4D3E-8150-26440B3539F3}"/>
    <cellStyle name="SAPBEXHLevel2 2 4 3 15" xfId="17269" xr:uid="{CF48BC19-B667-41A2-8E00-D21F2553C549}"/>
    <cellStyle name="SAPBEXHLevel2 2 4 3 15 2" xfId="17270" xr:uid="{6B250198-F1FB-4D66-B02B-092675C786C0}"/>
    <cellStyle name="SAPBEXHLevel2 2 4 3 2" xfId="17271" xr:uid="{E87F8649-6B65-48D3-914D-1055AA55A3D6}"/>
    <cellStyle name="SAPBEXHLevel2 2 4 3 2 2" xfId="17272" xr:uid="{E621FA2D-2475-43C7-87CC-1471DCF48456}"/>
    <cellStyle name="SAPBEXHLevel2 2 4 3 3" xfId="17273" xr:uid="{E1529903-086B-4645-A3C7-2B3910CAA1FB}"/>
    <cellStyle name="SAPBEXHLevel2 2 4 3 3 2" xfId="17274" xr:uid="{DBDF3E28-447F-402A-8C0C-F3D91DA8BFA9}"/>
    <cellStyle name="SAPBEXHLevel2 2 4 3 4" xfId="17275" xr:uid="{CCA16497-F6D4-43EA-A7EA-A728E94AD9E0}"/>
    <cellStyle name="SAPBEXHLevel2 2 4 3 4 2" xfId="17276" xr:uid="{5E61040A-914A-4ACC-BB98-86B99D131672}"/>
    <cellStyle name="SAPBEXHLevel2 2 4 3 5" xfId="17277" xr:uid="{DB9D1A2A-E7CF-46F9-96EC-06332BE3601D}"/>
    <cellStyle name="SAPBEXHLevel2 2 4 3 5 2" xfId="17278" xr:uid="{2A5B0D04-DD34-4F5C-BCDC-0D3302668996}"/>
    <cellStyle name="SAPBEXHLevel2 2 4 3 6" xfId="17279" xr:uid="{D26E94B4-97F5-439C-932D-2CA79FAF393F}"/>
    <cellStyle name="SAPBEXHLevel2 2 4 3 6 2" xfId="17280" xr:uid="{C3621C93-B404-4CA2-9D9F-4B4B001EB588}"/>
    <cellStyle name="SAPBEXHLevel2 2 4 3 7" xfId="17281" xr:uid="{6CD34774-8EAA-4DEB-BECA-20D1453E24C7}"/>
    <cellStyle name="SAPBEXHLevel2 2 4 3 7 2" xfId="17282" xr:uid="{D23EBA48-D317-4A7A-8CA1-6CDE0A50F6B7}"/>
    <cellStyle name="SAPBEXHLevel2 2 4 3 8" xfId="17283" xr:uid="{9A7B578D-FC03-4CFC-A539-C4D8484FE437}"/>
    <cellStyle name="SAPBEXHLevel2 2 4 3 8 2" xfId="17284" xr:uid="{1454841A-8D0A-4C58-9CA9-1C8D6DA3DA3F}"/>
    <cellStyle name="SAPBEXHLevel2 2 4 3 9" xfId="17285" xr:uid="{1A735C0E-FCBF-448C-8CAB-9CC7E1ABAA6A}"/>
    <cellStyle name="SAPBEXHLevel2 2 4 3 9 2" xfId="17286" xr:uid="{DA174641-9A18-41CF-B080-45DA5960032C}"/>
    <cellStyle name="SAPBEXHLevel2 2 4 4" xfId="17287" xr:uid="{9E2F500A-7F3D-4529-8D88-C19E00FA8495}"/>
    <cellStyle name="SAPBEXHLevel2 2 4 4 2" xfId="17288" xr:uid="{BCBF0A8D-847A-4CC5-8E96-5B94AE395734}"/>
    <cellStyle name="SAPBEXHLevel2 2 4 5" xfId="17289" xr:uid="{2EA31D85-0A6C-4364-AF73-C4361D2C7517}"/>
    <cellStyle name="SAPBEXHLevel2 2 4 5 2" xfId="17290" xr:uid="{6D08F6ED-69A3-43A1-97BB-EE5038E41B92}"/>
    <cellStyle name="SAPBEXHLevel2 2 4 6" xfId="17291" xr:uid="{1BD7037E-CD93-4E58-84C1-5AF639D0000F}"/>
    <cellStyle name="SAPBEXHLevel2 2 4 6 2" xfId="17292" xr:uid="{BCEEC487-58EA-4683-9013-4753DA482495}"/>
    <cellStyle name="SAPBEXHLevel2 2 4 7" xfId="17293" xr:uid="{FEB5A95F-8CB6-4DCB-A3CD-CF2C5721E317}"/>
    <cellStyle name="SAPBEXHLevel2 2 4 7 2" xfId="17294" xr:uid="{2297A64B-C553-4CF3-AB34-A8AD12E012E8}"/>
    <cellStyle name="SAPBEXHLevel2 2 4 8" xfId="17295" xr:uid="{4CDB5C22-0929-47A1-86A7-E31F2B486AB6}"/>
    <cellStyle name="SAPBEXHLevel2 2 4 8 2" xfId="17296" xr:uid="{DE8C5AA8-6900-4B85-B1EF-5E2BC3EF8E7C}"/>
    <cellStyle name="SAPBEXHLevel2 2 4 9" xfId="17297" xr:uid="{59E77396-104E-4077-BF60-F9CA60F0EA1F}"/>
    <cellStyle name="SAPBEXHLevel2 2 4 9 2" xfId="17298" xr:uid="{09B7325C-3A6D-44DE-8735-CBCECB398FBE}"/>
    <cellStyle name="SAPBEXHLevel2 2 5" xfId="17299" xr:uid="{F356BF7B-3856-4884-8A2D-1AAB84EEB24D}"/>
    <cellStyle name="SAPBEXHLevel2 2 5 2" xfId="17300" xr:uid="{48ABFE90-3328-4B42-A1AA-2642369E1C4F}"/>
    <cellStyle name="SAPBEXHLevel2 2 6" xfId="17301" xr:uid="{39BB5EFF-0F36-42D3-8BBC-DB4F52F5DD03}"/>
    <cellStyle name="SAPBEXHLevel2 2 6 2" xfId="17302" xr:uid="{31EDC247-4DFE-43E7-9A1C-8B50727E34A3}"/>
    <cellStyle name="SAPBEXHLevel2 2 7" xfId="17303" xr:uid="{C697B7EF-3529-452D-9D33-D101E409D1D4}"/>
    <cellStyle name="SAPBEXHLevel2 2 7 2" xfId="17304" xr:uid="{EB53429E-D0F9-49EF-B26B-C61A31E62D8B}"/>
    <cellStyle name="SAPBEXHLevel2 2 8" xfId="17305" xr:uid="{69C4CE67-4B4B-452C-8FCF-21A372204685}"/>
    <cellStyle name="SAPBEXHLevel2 2 8 2" xfId="17306" xr:uid="{283CBE4D-49C4-4C61-9548-7E11F7DF050C}"/>
    <cellStyle name="SAPBEXHLevel2 2 9" xfId="17307" xr:uid="{030D0B87-714F-441F-BB3E-4989ED0FFFFE}"/>
    <cellStyle name="SAPBEXHLevel2 2 9 2" xfId="17308" xr:uid="{9DDAD3B6-8380-4C24-A105-509214AC1DA0}"/>
    <cellStyle name="SAPBEXHLevel2 2_T1 ANSP" xfId="17019" xr:uid="{1A07DDD4-7AE3-4902-9BB2-BF046833C013}"/>
    <cellStyle name="SAPBEXHLevel2 20" xfId="17309" xr:uid="{8F477F57-983D-4E84-96EA-FE059C1B2A45}"/>
    <cellStyle name="SAPBEXHLevel2 20 2" xfId="17310" xr:uid="{F3C67506-C362-4461-BBDA-F43AE0271FD7}"/>
    <cellStyle name="SAPBEXHLevel2 21" xfId="17311" xr:uid="{7ACAE11C-5E54-491F-8760-478B652074CC}"/>
    <cellStyle name="SAPBEXHLevel2 3" xfId="1522" xr:uid="{00000000-0005-0000-0000-000099050000}"/>
    <cellStyle name="SAPBEXHLevel2 3 10" xfId="17313" xr:uid="{9F61E332-829F-4FAD-B72D-A328ED3200F3}"/>
    <cellStyle name="SAPBEXHLevel2 3 10 2" xfId="17314" xr:uid="{E50AF44F-5F03-4C9E-B006-D361F0AC038F}"/>
    <cellStyle name="SAPBEXHLevel2 3 11" xfId="17315" xr:uid="{08C1AF30-AA6E-4052-9F9C-0BD5BF8EE0C7}"/>
    <cellStyle name="SAPBEXHLevel2 3 11 2" xfId="17316" xr:uid="{59AC8D21-8DA5-49B3-B639-8F92B1EE9CDC}"/>
    <cellStyle name="SAPBEXHLevel2 3 12" xfId="17317" xr:uid="{4D5B9EFD-6AFC-4037-9839-071566E81E8F}"/>
    <cellStyle name="SAPBEXHLevel2 3 12 2" xfId="17318" xr:uid="{C9F4B1AF-DCF6-489D-89E2-B9644198370C}"/>
    <cellStyle name="SAPBEXHLevel2 3 13" xfId="17319" xr:uid="{FB3DF06F-1FD8-47A6-83CA-2B1F29A69CE2}"/>
    <cellStyle name="SAPBEXHLevel2 3 13 2" xfId="17320" xr:uid="{65E46520-DB29-4472-BA4B-641525B0AE09}"/>
    <cellStyle name="SAPBEXHLevel2 3 14" xfId="17321" xr:uid="{40E8B70E-9CEE-4AAE-9E22-7F06556D7CEA}"/>
    <cellStyle name="SAPBEXHLevel2 3 14 2" xfId="17322" xr:uid="{D82409F5-8191-41E7-9E01-FC9325176917}"/>
    <cellStyle name="SAPBEXHLevel2 3 15" xfId="17323" xr:uid="{D7ED6262-D8E1-4C2B-BDB6-657C0E3E735A}"/>
    <cellStyle name="SAPBEXHLevel2 3 15 2" xfId="17324" xr:uid="{54C70F5E-7A43-4F2C-B766-FAC20E3F4C8B}"/>
    <cellStyle name="SAPBEXHLevel2 3 16" xfId="17325" xr:uid="{37ADBB87-E6D5-40A8-816B-5CF8BD3F812E}"/>
    <cellStyle name="SAPBEXHLevel2 3 16 2" xfId="17326" xr:uid="{35F0296F-0C15-43B3-B3BC-3DEC98734B77}"/>
    <cellStyle name="SAPBEXHLevel2 3 17" xfId="17327" xr:uid="{ADD33E5A-374F-482A-82D9-AE249A65A85F}"/>
    <cellStyle name="SAPBEXHLevel2 3 17 2" xfId="17328" xr:uid="{A7060FA3-294B-4396-8DFD-E6A6A6D7AEED}"/>
    <cellStyle name="SAPBEXHLevel2 3 18" xfId="17329" xr:uid="{F46A5255-8D25-47ED-908F-F36F6F78F438}"/>
    <cellStyle name="SAPBEXHLevel2 3 2" xfId="17330" xr:uid="{2A2DA1D6-CA54-4F15-ACD6-617C47315ED8}"/>
    <cellStyle name="SAPBEXHLevel2 3 2 10" xfId="17331" xr:uid="{E891F55B-C4E0-4A81-A9D2-191E9BE62229}"/>
    <cellStyle name="SAPBEXHLevel2 3 2 10 2" xfId="17332" xr:uid="{C6DDAF7E-F3E5-4F21-BF08-04C04D623F94}"/>
    <cellStyle name="SAPBEXHLevel2 3 2 11" xfId="17333" xr:uid="{C2332A2C-9B24-4128-9F87-FA29AF5CA964}"/>
    <cellStyle name="SAPBEXHLevel2 3 2 11 2" xfId="17334" xr:uid="{906E3800-17D0-467A-A7FD-667E1825085F}"/>
    <cellStyle name="SAPBEXHLevel2 3 2 12" xfId="17335" xr:uid="{A9C87023-F750-4777-B620-4D41638F702D}"/>
    <cellStyle name="SAPBEXHLevel2 3 2 12 2" xfId="17336" xr:uid="{5D13B62B-E731-43E0-A05E-53E0A90655F9}"/>
    <cellStyle name="SAPBEXHLevel2 3 2 13" xfId="17337" xr:uid="{4B741671-D1CD-40AA-82FA-845361340770}"/>
    <cellStyle name="SAPBEXHLevel2 3 2 13 2" xfId="17338" xr:uid="{B60B470B-26F0-4267-B06E-1EA3476178DA}"/>
    <cellStyle name="SAPBEXHLevel2 3 2 14" xfId="17339" xr:uid="{D8679B2E-ADD1-4F6F-A3F0-74F1A40376F2}"/>
    <cellStyle name="SAPBEXHLevel2 3 2 14 2" xfId="17340" xr:uid="{01F31F04-08ED-471F-972E-F1CB932FFE5A}"/>
    <cellStyle name="SAPBEXHLevel2 3 2 15" xfId="17341" xr:uid="{D9A7FFEB-8028-415F-9F22-D73A0838EFF6}"/>
    <cellStyle name="SAPBEXHLevel2 3 2 15 2" xfId="17342" xr:uid="{FD911F2C-1FEB-42E2-8C01-BEA8D107A271}"/>
    <cellStyle name="SAPBEXHLevel2 3 2 16" xfId="17343" xr:uid="{B69932DF-B28C-43F2-93BF-2B7E0045EF1E}"/>
    <cellStyle name="SAPBEXHLevel2 3 2 2" xfId="17344" xr:uid="{CBDFFD2C-E03F-4944-92E2-F631264FBCDD}"/>
    <cellStyle name="SAPBEXHLevel2 3 2 2 2" xfId="17345" xr:uid="{FDF1C94D-22E0-4109-A93A-495632A08DE0}"/>
    <cellStyle name="SAPBEXHLevel2 3 2 3" xfId="17346" xr:uid="{A6A92B0E-D9DF-43C4-A1C4-94A3B5730356}"/>
    <cellStyle name="SAPBEXHLevel2 3 2 3 2" xfId="17347" xr:uid="{7BF14B9B-7233-4C9F-97E9-D84E7D0EDD5B}"/>
    <cellStyle name="SAPBEXHLevel2 3 2 4" xfId="17348" xr:uid="{0F4E1B57-0504-439F-A817-953C24BD4A39}"/>
    <cellStyle name="SAPBEXHLevel2 3 2 4 2" xfId="17349" xr:uid="{6E278925-9E6F-46D5-AC73-1A2897347D3B}"/>
    <cellStyle name="SAPBEXHLevel2 3 2 5" xfId="17350" xr:uid="{B5427EB3-6CA8-4EDB-8BC6-58970400FF81}"/>
    <cellStyle name="SAPBEXHLevel2 3 2 5 2" xfId="17351" xr:uid="{8D8C1642-A168-4723-925A-25ACF822DDD4}"/>
    <cellStyle name="SAPBEXHLevel2 3 2 6" xfId="17352" xr:uid="{7E5777A3-0FDC-4F7B-A387-E10D3FD668CA}"/>
    <cellStyle name="SAPBEXHLevel2 3 2 6 2" xfId="17353" xr:uid="{4E6AC6D8-4013-4B30-A248-6765E4322BD2}"/>
    <cellStyle name="SAPBEXHLevel2 3 2 7" xfId="17354" xr:uid="{8F9B1AF0-3334-4F2F-8724-F7886C6F15AF}"/>
    <cellStyle name="SAPBEXHLevel2 3 2 7 2" xfId="17355" xr:uid="{DC4C375D-1128-45D4-9ECC-DF68E0963CF0}"/>
    <cellStyle name="SAPBEXHLevel2 3 2 8" xfId="17356" xr:uid="{EA96B7A7-83DB-47B1-8AFA-D692FBFF5167}"/>
    <cellStyle name="SAPBEXHLevel2 3 2 8 2" xfId="17357" xr:uid="{04885271-953B-4109-9BA3-5A9DCF129878}"/>
    <cellStyle name="SAPBEXHLevel2 3 2 9" xfId="17358" xr:uid="{11E9AB97-5858-4A6D-9E32-7598A0F1C135}"/>
    <cellStyle name="SAPBEXHLevel2 3 2 9 2" xfId="17359" xr:uid="{46FC61A8-8555-4C8C-A212-3175BC380FCB}"/>
    <cellStyle name="SAPBEXHLevel2 3 3" xfId="17360" xr:uid="{1C9D55E1-CC02-4BDA-A643-C14E786E4919}"/>
    <cellStyle name="SAPBEXHLevel2 3 3 10" xfId="17361" xr:uid="{634EA902-DBFE-4DE9-96D3-679089FB7D17}"/>
    <cellStyle name="SAPBEXHLevel2 3 3 10 2" xfId="17362" xr:uid="{D9A103BD-398B-4E57-B5DE-69034E00F77E}"/>
    <cellStyle name="SAPBEXHLevel2 3 3 11" xfId="17363" xr:uid="{D5CB52F7-E3F0-4D7B-927B-25933C8A9DC0}"/>
    <cellStyle name="SAPBEXHLevel2 3 3 11 2" xfId="17364" xr:uid="{756381F7-FC1D-4208-89D0-3E30C22098C3}"/>
    <cellStyle name="SAPBEXHLevel2 3 3 12" xfId="17365" xr:uid="{0E1AEAD2-5D85-40A5-915E-3DE85A2B1444}"/>
    <cellStyle name="SAPBEXHLevel2 3 3 12 2" xfId="17366" xr:uid="{F3FA33CA-E707-46C2-9ACF-E216F541270B}"/>
    <cellStyle name="SAPBEXHLevel2 3 3 13" xfId="17367" xr:uid="{144CB0C3-C246-4B13-9793-AEBA751850FD}"/>
    <cellStyle name="SAPBEXHLevel2 3 3 13 2" xfId="17368" xr:uid="{5222798D-9C9E-4CF6-955D-EC8B69D0ABB3}"/>
    <cellStyle name="SAPBEXHLevel2 3 3 14" xfId="17369" xr:uid="{29F28D27-20AC-455F-9D16-3B17EC376F1D}"/>
    <cellStyle name="SAPBEXHLevel2 3 3 14 2" xfId="17370" xr:uid="{040B0B13-0E5B-4680-ACB7-22C30EF7E7D7}"/>
    <cellStyle name="SAPBEXHLevel2 3 3 15" xfId="17371" xr:uid="{2522375A-025A-4108-9B54-D46E4FAEF42F}"/>
    <cellStyle name="SAPBEXHLevel2 3 3 15 2" xfId="17372" xr:uid="{69C1E9D3-A6F3-4F2C-A07A-A6606575F8B3}"/>
    <cellStyle name="SAPBEXHLevel2 3 3 16" xfId="17373" xr:uid="{AA1916DD-4E60-4EE6-93A2-6106ECFFF115}"/>
    <cellStyle name="SAPBEXHLevel2 3 3 2" xfId="17374" xr:uid="{CAD3A50C-6146-4EF9-9C73-E9150009EB0A}"/>
    <cellStyle name="SAPBEXHLevel2 3 3 2 2" xfId="17375" xr:uid="{FD7DC45B-0100-4780-B1CB-A0C2C621C439}"/>
    <cellStyle name="SAPBEXHLevel2 3 3 3" xfId="17376" xr:uid="{EB489F3E-8FAA-44D8-898A-703852E23317}"/>
    <cellStyle name="SAPBEXHLevel2 3 3 3 2" xfId="17377" xr:uid="{E1B8E74B-70DC-41E3-AF39-8898746D0825}"/>
    <cellStyle name="SAPBEXHLevel2 3 3 4" xfId="17378" xr:uid="{E8ADEFF8-E89A-4726-A426-AE27E5B75179}"/>
    <cellStyle name="SAPBEXHLevel2 3 3 4 2" xfId="17379" xr:uid="{F1168502-0C8F-46C5-9C2B-680B7D5A447B}"/>
    <cellStyle name="SAPBEXHLevel2 3 3 5" xfId="17380" xr:uid="{EEDFC277-7907-4391-BE17-2363601C17CB}"/>
    <cellStyle name="SAPBEXHLevel2 3 3 5 2" xfId="17381" xr:uid="{83BD594E-1A39-4EDC-8A9B-2FB01A6F9DD7}"/>
    <cellStyle name="SAPBEXHLevel2 3 3 6" xfId="17382" xr:uid="{FFBC04C0-04A8-4612-8693-11C100B48E84}"/>
    <cellStyle name="SAPBEXHLevel2 3 3 6 2" xfId="17383" xr:uid="{EFE91874-78F4-40E3-8337-8265BCD2C0E3}"/>
    <cellStyle name="SAPBEXHLevel2 3 3 7" xfId="17384" xr:uid="{6FDD0FA1-C347-454D-A925-54B89EEFF78F}"/>
    <cellStyle name="SAPBEXHLevel2 3 3 7 2" xfId="17385" xr:uid="{61B2721E-3B9A-40D6-B595-7BD3CCA6C7A2}"/>
    <cellStyle name="SAPBEXHLevel2 3 3 8" xfId="17386" xr:uid="{DEEC8596-FA20-434B-92D2-D394B0AE4292}"/>
    <cellStyle name="SAPBEXHLevel2 3 3 8 2" xfId="17387" xr:uid="{A68A793D-FD79-437A-B7BF-C7E00311670B}"/>
    <cellStyle name="SAPBEXHLevel2 3 3 9" xfId="17388" xr:uid="{7CC14B7D-1A95-4716-B8BC-208752A82365}"/>
    <cellStyle name="SAPBEXHLevel2 3 3 9 2" xfId="17389" xr:uid="{0F68B1E4-E916-4D38-A774-7D3C98C96B8F}"/>
    <cellStyle name="SAPBEXHLevel2 3 4" xfId="17390" xr:uid="{15F5B684-B306-4474-B4E9-8034ACB5D3A6}"/>
    <cellStyle name="SAPBEXHLevel2 3 4 2" xfId="17391" xr:uid="{15896E99-00D4-43E6-BD5A-14F03ECBDE7D}"/>
    <cellStyle name="SAPBEXHLevel2 3 5" xfId="17392" xr:uid="{2182680D-7AD7-4035-BC0E-BF26C26CC762}"/>
    <cellStyle name="SAPBEXHLevel2 3 5 2" xfId="17393" xr:uid="{74B2B2A7-AEB5-4582-8906-7E4F85A918C4}"/>
    <cellStyle name="SAPBEXHLevel2 3 6" xfId="17394" xr:uid="{515E96A6-8D31-44EA-9CB1-79E8C2CE4667}"/>
    <cellStyle name="SAPBEXHLevel2 3 6 2" xfId="17395" xr:uid="{44F851EF-BA0F-41B1-AEC5-3982C367FAF2}"/>
    <cellStyle name="SAPBEXHLevel2 3 7" xfId="17396" xr:uid="{47808C7A-8CB1-4BEB-85E9-15DB3A694DED}"/>
    <cellStyle name="SAPBEXHLevel2 3 7 2" xfId="17397" xr:uid="{3B6ABB4E-5349-4100-8BC8-A8756246A227}"/>
    <cellStyle name="SAPBEXHLevel2 3 8" xfId="17398" xr:uid="{45CF2D42-C5D3-496C-99A2-3F771966862C}"/>
    <cellStyle name="SAPBEXHLevel2 3 8 2" xfId="17399" xr:uid="{DCF682BD-5AB9-4FA1-A351-B0FF32B623F5}"/>
    <cellStyle name="SAPBEXHLevel2 3 9" xfId="17400" xr:uid="{D0E35B65-D690-4DA3-A4C1-0A8E83B9F1A7}"/>
    <cellStyle name="SAPBEXHLevel2 3 9 2" xfId="17401" xr:uid="{384017EF-DCE4-4A92-94A8-7AC8F94B67B7}"/>
    <cellStyle name="SAPBEXHLevel2 3_T1 ANSP" xfId="17312" xr:uid="{5D5DAAE1-3902-4F3C-9285-5CD3AA25C9D9}"/>
    <cellStyle name="SAPBEXHLevel2 4" xfId="17402" xr:uid="{85553883-053A-4FCE-955F-3423C29E38BD}"/>
    <cellStyle name="SAPBEXHLevel2 4 10" xfId="17403" xr:uid="{6EBC30A7-B525-4517-A494-32FAD99F7B3F}"/>
    <cellStyle name="SAPBEXHLevel2 4 10 2" xfId="17404" xr:uid="{7D241F62-1F2E-4003-A52D-F91693B71BC2}"/>
    <cellStyle name="SAPBEXHLevel2 4 11" xfId="17405" xr:uid="{61C15598-4E8F-4C4B-8B4B-B7D0EC282E2F}"/>
    <cellStyle name="SAPBEXHLevel2 4 11 2" xfId="17406" xr:uid="{B19F19D9-08B8-4DAF-A739-51BBA0EBC9D6}"/>
    <cellStyle name="SAPBEXHLevel2 4 12" xfId="17407" xr:uid="{DD97797C-1778-4DC1-8E25-9F32AAF0CC25}"/>
    <cellStyle name="SAPBEXHLevel2 4 12 2" xfId="17408" xr:uid="{85382171-FBB0-430C-8653-F1BDBE9E04B8}"/>
    <cellStyle name="SAPBEXHLevel2 4 13" xfId="17409" xr:uid="{B9F72CEB-D2D3-4201-9E6E-60BA001D77F5}"/>
    <cellStyle name="SAPBEXHLevel2 4 13 2" xfId="17410" xr:uid="{953A125F-35DE-4838-8C8C-B9F116BFF499}"/>
    <cellStyle name="SAPBEXHLevel2 4 14" xfId="17411" xr:uid="{12505FB2-EDE6-448F-944E-9A62AC6FC59D}"/>
    <cellStyle name="SAPBEXHLevel2 4 14 2" xfId="17412" xr:uid="{27E07938-B6F9-45FB-A492-7A135AD46FEB}"/>
    <cellStyle name="SAPBEXHLevel2 4 15" xfId="17413" xr:uid="{4DA90F18-47E8-49BD-B95D-266A8D18DFDF}"/>
    <cellStyle name="SAPBEXHLevel2 4 15 2" xfId="17414" xr:uid="{AC587B16-C611-4504-A149-5FDD4F8266F0}"/>
    <cellStyle name="SAPBEXHLevel2 4 16" xfId="17415" xr:uid="{D03EFAF4-15B4-4D8E-A939-9A11AAE158A7}"/>
    <cellStyle name="SAPBEXHLevel2 4 16 2" xfId="17416" xr:uid="{355FD112-CB3B-4353-B825-AD952BA1E3FF}"/>
    <cellStyle name="SAPBEXHLevel2 4 17" xfId="17417" xr:uid="{E87CC138-A83D-482E-BD7B-62AA33B613EF}"/>
    <cellStyle name="SAPBEXHLevel2 4 17 2" xfId="17418" xr:uid="{DAEAA3A9-AF35-455C-BB09-7BE804367FB0}"/>
    <cellStyle name="SAPBEXHLevel2 4 18" xfId="17419" xr:uid="{E204F906-764E-4E82-BF6E-342F22814921}"/>
    <cellStyle name="SAPBEXHLevel2 4 2" xfId="17420" xr:uid="{C751D42A-733E-4527-88BE-B5A6A6CAFA4D}"/>
    <cellStyle name="SAPBEXHLevel2 4 2 10" xfId="17421" xr:uid="{62E3F218-92B4-4C18-BD4A-BE614242E259}"/>
    <cellStyle name="SAPBEXHLevel2 4 2 10 2" xfId="17422" xr:uid="{0907F4AD-001F-4495-9A6D-0A3EEF6BEADB}"/>
    <cellStyle name="SAPBEXHLevel2 4 2 11" xfId="17423" xr:uid="{33A84DE8-63B0-4FC1-A2BB-176FB0AF1EAB}"/>
    <cellStyle name="SAPBEXHLevel2 4 2 11 2" xfId="17424" xr:uid="{7766040F-CA22-4A39-A998-C566A919B7B2}"/>
    <cellStyle name="SAPBEXHLevel2 4 2 12" xfId="17425" xr:uid="{C95D55FB-F3F5-4C11-93E6-A1DFD21E4983}"/>
    <cellStyle name="SAPBEXHLevel2 4 2 12 2" xfId="17426" xr:uid="{FA873F40-F6F7-4B7D-AA68-74EA63C9C963}"/>
    <cellStyle name="SAPBEXHLevel2 4 2 13" xfId="17427" xr:uid="{35B70FC0-38DB-47EC-A5BA-CE5018A1C47F}"/>
    <cellStyle name="SAPBEXHLevel2 4 2 13 2" xfId="17428" xr:uid="{1EE62DDE-18FD-42FD-999D-E200CB5BA05D}"/>
    <cellStyle name="SAPBEXHLevel2 4 2 14" xfId="17429" xr:uid="{F037C7BD-E922-4753-8E5C-F20430175720}"/>
    <cellStyle name="SAPBEXHLevel2 4 2 14 2" xfId="17430" xr:uid="{67C88774-CD0F-4105-AE76-DA4369188172}"/>
    <cellStyle name="SAPBEXHLevel2 4 2 15" xfId="17431" xr:uid="{4F93094D-5D01-4802-B626-226696F18A57}"/>
    <cellStyle name="SAPBEXHLevel2 4 2 15 2" xfId="17432" xr:uid="{2758F233-30A2-4356-BB25-C7A12EA3CB79}"/>
    <cellStyle name="SAPBEXHLevel2 4 2 16" xfId="17433" xr:uid="{F433EC43-BC56-49C6-BD78-282272CE19D9}"/>
    <cellStyle name="SAPBEXHLevel2 4 2 2" xfId="17434" xr:uid="{81E36CB7-5A0B-4800-9371-C9E2EF644874}"/>
    <cellStyle name="SAPBEXHLevel2 4 2 2 2" xfId="17435" xr:uid="{7DF13596-EFB8-48C8-ADC3-D872A864179E}"/>
    <cellStyle name="SAPBEXHLevel2 4 2 3" xfId="17436" xr:uid="{4E54D3AB-57D3-449E-9CD1-54DF49FBB735}"/>
    <cellStyle name="SAPBEXHLevel2 4 2 3 2" xfId="17437" xr:uid="{A95C38B3-AF30-4A78-AA10-F6C0372FDA24}"/>
    <cellStyle name="SAPBEXHLevel2 4 2 4" xfId="17438" xr:uid="{2F36B941-7AD7-473D-920B-FE75C1586F4A}"/>
    <cellStyle name="SAPBEXHLevel2 4 2 4 2" xfId="17439" xr:uid="{83005BA9-A0F6-4E1B-97B3-674D7F464E4C}"/>
    <cellStyle name="SAPBEXHLevel2 4 2 5" xfId="17440" xr:uid="{BE07499B-1888-468B-B34B-694EF823EE82}"/>
    <cellStyle name="SAPBEXHLevel2 4 2 5 2" xfId="17441" xr:uid="{D6940816-60E8-40AE-8FC0-8F3611CD38F8}"/>
    <cellStyle name="SAPBEXHLevel2 4 2 6" xfId="17442" xr:uid="{3F49F09C-34AC-4484-B91E-0E62661A15F4}"/>
    <cellStyle name="SAPBEXHLevel2 4 2 6 2" xfId="17443" xr:uid="{208D8348-E59F-4663-A35E-FA16237F7968}"/>
    <cellStyle name="SAPBEXHLevel2 4 2 7" xfId="17444" xr:uid="{DEAAAF38-7B4F-408F-99AC-748F425CBD22}"/>
    <cellStyle name="SAPBEXHLevel2 4 2 7 2" xfId="17445" xr:uid="{ADDE9483-CA0D-4604-B955-D9B2AD012395}"/>
    <cellStyle name="SAPBEXHLevel2 4 2 8" xfId="17446" xr:uid="{1FE01E02-B64D-4742-A181-347E1D61EC2A}"/>
    <cellStyle name="SAPBEXHLevel2 4 2 8 2" xfId="17447" xr:uid="{7C7E765D-A9E1-4867-9F42-1404B528E631}"/>
    <cellStyle name="SAPBEXHLevel2 4 2 9" xfId="17448" xr:uid="{FA90725A-83FB-4398-B30D-22C3826F0B39}"/>
    <cellStyle name="SAPBEXHLevel2 4 2 9 2" xfId="17449" xr:uid="{DB0F6AE5-E57D-400F-AD82-B70810B75EBA}"/>
    <cellStyle name="SAPBEXHLevel2 4 3" xfId="17450" xr:uid="{F708B09C-A9B5-42FB-B7D1-F68B71B4C346}"/>
    <cellStyle name="SAPBEXHLevel2 4 3 10" xfId="17451" xr:uid="{99FB9C9D-C853-40C7-88C6-3B21CAE431F0}"/>
    <cellStyle name="SAPBEXHLevel2 4 3 10 2" xfId="17452" xr:uid="{C962C1BA-3337-4972-A2E9-F7A4213F7D11}"/>
    <cellStyle name="SAPBEXHLevel2 4 3 11" xfId="17453" xr:uid="{231DB838-7371-482D-8089-51B624766A28}"/>
    <cellStyle name="SAPBEXHLevel2 4 3 11 2" xfId="17454" xr:uid="{9E568DEB-A664-4631-9C85-63CCD2606330}"/>
    <cellStyle name="SAPBEXHLevel2 4 3 12" xfId="17455" xr:uid="{881E37FA-F8F4-4EA6-B5BF-E7D0F9172E6F}"/>
    <cellStyle name="SAPBEXHLevel2 4 3 12 2" xfId="17456" xr:uid="{03192D4B-4AD8-4C95-8B3C-586CD199DDEB}"/>
    <cellStyle name="SAPBEXHLevel2 4 3 13" xfId="17457" xr:uid="{7A950BBA-4CA3-47A9-AE2C-00C3C8181817}"/>
    <cellStyle name="SAPBEXHLevel2 4 3 13 2" xfId="17458" xr:uid="{925AB660-FFC1-4B21-86BD-449DEA384976}"/>
    <cellStyle name="SAPBEXHLevel2 4 3 14" xfId="17459" xr:uid="{89CE427C-866D-4E70-A651-DB303523B864}"/>
    <cellStyle name="SAPBEXHLevel2 4 3 14 2" xfId="17460" xr:uid="{1A4B8B76-4665-45A4-AB12-D3A841C822A0}"/>
    <cellStyle name="SAPBEXHLevel2 4 3 15" xfId="17461" xr:uid="{1133AD61-2C0C-4106-9D79-AFDD0114FFBD}"/>
    <cellStyle name="SAPBEXHLevel2 4 3 15 2" xfId="17462" xr:uid="{8B27F802-31E8-48E1-BD33-849FC1AE016A}"/>
    <cellStyle name="SAPBEXHLevel2 4 3 16" xfId="17463" xr:uid="{A6C28284-0766-4D46-93C0-C3943F08B48B}"/>
    <cellStyle name="SAPBEXHLevel2 4 3 2" xfId="17464" xr:uid="{50B8D763-62D8-43A2-B3A5-1ACDC96A4500}"/>
    <cellStyle name="SAPBEXHLevel2 4 3 2 2" xfId="17465" xr:uid="{30ECA676-9CE0-4E0F-AE3D-483EE70633A0}"/>
    <cellStyle name="SAPBEXHLevel2 4 3 3" xfId="17466" xr:uid="{8058136C-3A7D-4A17-9952-341933AFC5F6}"/>
    <cellStyle name="SAPBEXHLevel2 4 3 3 2" xfId="17467" xr:uid="{230C1372-05EB-4784-8B2D-EC656FB5EB60}"/>
    <cellStyle name="SAPBEXHLevel2 4 3 4" xfId="17468" xr:uid="{1DCE3DAA-1F8F-4473-B740-1BF4334D7328}"/>
    <cellStyle name="SAPBEXHLevel2 4 3 4 2" xfId="17469" xr:uid="{05E3526C-AE27-4493-95BC-0688722F8898}"/>
    <cellStyle name="SAPBEXHLevel2 4 3 5" xfId="17470" xr:uid="{84044CDB-B286-4EA0-8856-871128A63BE8}"/>
    <cellStyle name="SAPBEXHLevel2 4 3 5 2" xfId="17471" xr:uid="{6E518332-E60B-4D45-A113-167FDFD0B586}"/>
    <cellStyle name="SAPBEXHLevel2 4 3 6" xfId="17472" xr:uid="{4AA287E4-1DDB-41CA-9932-DADB09F3F7CD}"/>
    <cellStyle name="SAPBEXHLevel2 4 3 6 2" xfId="17473" xr:uid="{53EC6556-161A-484C-8E89-4D3328E82B99}"/>
    <cellStyle name="SAPBEXHLevel2 4 3 7" xfId="17474" xr:uid="{AFE9D84C-C2EA-4B53-8A8F-EC1FD0546DDB}"/>
    <cellStyle name="SAPBEXHLevel2 4 3 7 2" xfId="17475" xr:uid="{9090EE9B-DAB5-4DEA-8885-D72285E8E812}"/>
    <cellStyle name="SAPBEXHLevel2 4 3 8" xfId="17476" xr:uid="{A3FB91CF-6F4B-4837-9391-EA30C7F8499D}"/>
    <cellStyle name="SAPBEXHLevel2 4 3 8 2" xfId="17477" xr:uid="{8A4FC5DB-459D-4AAD-9EF8-B2E687CA0C89}"/>
    <cellStyle name="SAPBEXHLevel2 4 3 9" xfId="17478" xr:uid="{A34EE7E6-DC0C-4C1D-881A-4DB03503FDFF}"/>
    <cellStyle name="SAPBEXHLevel2 4 3 9 2" xfId="17479" xr:uid="{28B49240-1710-44F4-BB71-283A52DDE63F}"/>
    <cellStyle name="SAPBEXHLevel2 4 4" xfId="17480" xr:uid="{9828D3F6-3A1B-41BE-AAA4-F4F889596795}"/>
    <cellStyle name="SAPBEXHLevel2 4 4 2" xfId="17481" xr:uid="{4F8877FE-E52B-41B3-B50A-03D2E171F783}"/>
    <cellStyle name="SAPBEXHLevel2 4 5" xfId="17482" xr:uid="{A185FF98-B62F-4B94-BCBA-8B73A3429D26}"/>
    <cellStyle name="SAPBEXHLevel2 4 5 2" xfId="17483" xr:uid="{4D4FD0D7-9740-4229-BF86-F5C52143EB63}"/>
    <cellStyle name="SAPBEXHLevel2 4 6" xfId="17484" xr:uid="{97A53B21-2061-4E92-AAD5-4B776AFE4811}"/>
    <cellStyle name="SAPBEXHLevel2 4 6 2" xfId="17485" xr:uid="{29B1CE4C-B31A-4B49-8926-1ECA5CB9F5FB}"/>
    <cellStyle name="SAPBEXHLevel2 4 7" xfId="17486" xr:uid="{4BFD7383-B0AB-4E1A-A47F-80B229C0D76A}"/>
    <cellStyle name="SAPBEXHLevel2 4 7 2" xfId="17487" xr:uid="{A775B56B-7CAA-41C8-99A9-1C78D5EC2233}"/>
    <cellStyle name="SAPBEXHLevel2 4 8" xfId="17488" xr:uid="{A8438978-3BE4-46F7-AD53-8274FADCF40E}"/>
    <cellStyle name="SAPBEXHLevel2 4 8 2" xfId="17489" xr:uid="{93EAF5D3-CB83-433B-ACD1-8EA3EE8C406F}"/>
    <cellStyle name="SAPBEXHLevel2 4 9" xfId="17490" xr:uid="{94537727-C95C-4795-A77D-CA973DACEA56}"/>
    <cellStyle name="SAPBEXHLevel2 4 9 2" xfId="17491" xr:uid="{F55C9843-3F3F-4599-B6A2-D787AC7B8E6A}"/>
    <cellStyle name="SAPBEXHLevel2 5" xfId="17492" xr:uid="{E7F7D4CD-2A0F-497E-827D-709C4C6D2DB2}"/>
    <cellStyle name="SAPBEXHLevel2 5 10" xfId="17493" xr:uid="{AFAA78A0-280B-46E7-A7B4-3D65A027E5BB}"/>
    <cellStyle name="SAPBEXHLevel2 5 10 2" xfId="17494" xr:uid="{5562B13E-651C-4962-9683-6F10B6A32E23}"/>
    <cellStyle name="SAPBEXHLevel2 5 11" xfId="17495" xr:uid="{CBE18D56-D879-48D4-ADA2-D71551DCCBC7}"/>
    <cellStyle name="SAPBEXHLevel2 5 11 2" xfId="17496" xr:uid="{C0EDC10D-BC22-49A9-8E3A-BFC495DC2B9E}"/>
    <cellStyle name="SAPBEXHLevel2 5 12" xfId="17497" xr:uid="{5209EFF3-C5BC-4F61-AB04-29690A4A88FA}"/>
    <cellStyle name="SAPBEXHLevel2 5 12 2" xfId="17498" xr:uid="{5883B3EB-A4E3-4775-BA4B-F1E4B1220B09}"/>
    <cellStyle name="SAPBEXHLevel2 5 13" xfId="17499" xr:uid="{897D80E2-78AB-4F6F-904E-40F17E66EF86}"/>
    <cellStyle name="SAPBEXHLevel2 5 13 2" xfId="17500" xr:uid="{54FF5314-5184-4B27-93E6-C5D80B01A2D8}"/>
    <cellStyle name="SAPBEXHLevel2 5 14" xfId="17501" xr:uid="{A5F0B6D8-2003-42B5-9951-471DC1035772}"/>
    <cellStyle name="SAPBEXHLevel2 5 14 2" xfId="17502" xr:uid="{7504CE95-1B30-4575-B134-6DECDC4B80F6}"/>
    <cellStyle name="SAPBEXHLevel2 5 15" xfId="17503" xr:uid="{9F605313-4059-4F4B-9876-0AC171E2DEFD}"/>
    <cellStyle name="SAPBEXHLevel2 5 15 2" xfId="17504" xr:uid="{FF9E8FC7-E40E-4F2B-8B04-8810488623EF}"/>
    <cellStyle name="SAPBEXHLevel2 5 16" xfId="17505" xr:uid="{8493F349-DD90-4BCC-A656-E066E9150E78}"/>
    <cellStyle name="SAPBEXHLevel2 5 16 2" xfId="17506" xr:uid="{B5350C90-7AC1-4304-A6A2-A62BA86772AD}"/>
    <cellStyle name="SAPBEXHLevel2 5 17" xfId="17507" xr:uid="{9E2E7344-398D-4B7F-BD05-6A86C31CE24B}"/>
    <cellStyle name="SAPBEXHLevel2 5 17 2" xfId="17508" xr:uid="{5D8D5299-0E62-4BB9-9DD3-5133CCD562C0}"/>
    <cellStyle name="SAPBEXHLevel2 5 18" xfId="17509" xr:uid="{8780767A-3229-49E1-AEB2-CB3D81067E7D}"/>
    <cellStyle name="SAPBEXHLevel2 5 2" xfId="17510" xr:uid="{01D722BA-75B6-4A7C-81EE-BB7AD0354274}"/>
    <cellStyle name="SAPBEXHLevel2 5 2 10" xfId="17511" xr:uid="{4309369A-E259-40AA-ADF7-2C46942B1D1C}"/>
    <cellStyle name="SAPBEXHLevel2 5 2 10 2" xfId="17512" xr:uid="{8F846EF6-6407-4B57-89B8-61CDE7EA86BF}"/>
    <cellStyle name="SAPBEXHLevel2 5 2 11" xfId="17513" xr:uid="{FEAB2D52-FC5F-47E7-B9A4-CBFA3737A65A}"/>
    <cellStyle name="SAPBEXHLevel2 5 2 11 2" xfId="17514" xr:uid="{C5658BA5-5C9D-46CF-A10B-2EF56B02A374}"/>
    <cellStyle name="SAPBEXHLevel2 5 2 12" xfId="17515" xr:uid="{D1FAD952-0596-4393-9BDB-551A9AF52CBE}"/>
    <cellStyle name="SAPBEXHLevel2 5 2 12 2" xfId="17516" xr:uid="{6E789693-9F2E-4394-9A3D-C2F37E4E55B8}"/>
    <cellStyle name="SAPBEXHLevel2 5 2 13" xfId="17517" xr:uid="{9462C95B-3F66-493D-897E-EF05C08D8339}"/>
    <cellStyle name="SAPBEXHLevel2 5 2 13 2" xfId="17518" xr:uid="{E19B64A3-10AF-4F16-B1DC-924439F2CCBB}"/>
    <cellStyle name="SAPBEXHLevel2 5 2 14" xfId="17519" xr:uid="{6E883710-DE7E-42AE-B91A-E55112F57B90}"/>
    <cellStyle name="SAPBEXHLevel2 5 2 14 2" xfId="17520" xr:uid="{F3B6184C-5441-4E40-8086-8EEC12EE396A}"/>
    <cellStyle name="SAPBEXHLevel2 5 2 15" xfId="17521" xr:uid="{B20B5E39-5C09-41C8-BFFB-CC81C7E0E06B}"/>
    <cellStyle name="SAPBEXHLevel2 5 2 15 2" xfId="17522" xr:uid="{5161862C-3AF5-4EFE-BAE3-35C9C8921233}"/>
    <cellStyle name="SAPBEXHLevel2 5 2 16" xfId="17523" xr:uid="{07D80A76-31C3-4C70-A65A-1F12FD19CB73}"/>
    <cellStyle name="SAPBEXHLevel2 5 2 2" xfId="17524" xr:uid="{BC2F000E-8235-441E-9342-50ED68CB63D6}"/>
    <cellStyle name="SAPBEXHLevel2 5 2 2 2" xfId="17525" xr:uid="{6F91860B-FD5D-416D-BEB0-76C2E4A3A94E}"/>
    <cellStyle name="SAPBEXHLevel2 5 2 3" xfId="17526" xr:uid="{90137AA1-C2AF-4376-AF79-D836BA105086}"/>
    <cellStyle name="SAPBEXHLevel2 5 2 3 2" xfId="17527" xr:uid="{B8EF8694-15D9-4C1C-91DB-1E39B332CAAF}"/>
    <cellStyle name="SAPBEXHLevel2 5 2 4" xfId="17528" xr:uid="{216A347D-8B5D-44B6-9E1C-691A3B4C5AE1}"/>
    <cellStyle name="SAPBEXHLevel2 5 2 4 2" xfId="17529" xr:uid="{2551B750-B40B-4B31-8B46-CCF61A9EBF88}"/>
    <cellStyle name="SAPBEXHLevel2 5 2 5" xfId="17530" xr:uid="{4D49D05D-0CF7-41F5-8C2E-1A3FD093A09B}"/>
    <cellStyle name="SAPBEXHLevel2 5 2 5 2" xfId="17531" xr:uid="{7E99448C-7E09-4523-B38C-205F3B3471B0}"/>
    <cellStyle name="SAPBEXHLevel2 5 2 6" xfId="17532" xr:uid="{2AF3254A-BA0D-40F5-B225-AF0839D5AAEF}"/>
    <cellStyle name="SAPBEXHLevel2 5 2 6 2" xfId="17533" xr:uid="{21DADF80-FC66-4382-9D5B-F9C405C4DE56}"/>
    <cellStyle name="SAPBEXHLevel2 5 2 7" xfId="17534" xr:uid="{B6A40E61-1843-48A6-96EF-21A868A1153F}"/>
    <cellStyle name="SAPBEXHLevel2 5 2 7 2" xfId="17535" xr:uid="{BCBD7024-87E8-4970-AE76-ACCC4A3E87FD}"/>
    <cellStyle name="SAPBEXHLevel2 5 2 8" xfId="17536" xr:uid="{21DB21AD-F185-4686-804D-E74B91CA4995}"/>
    <cellStyle name="SAPBEXHLevel2 5 2 8 2" xfId="17537" xr:uid="{55766C4D-E9B1-4958-95EA-B45521242BE7}"/>
    <cellStyle name="SAPBEXHLevel2 5 2 9" xfId="17538" xr:uid="{439241BD-5146-4E7C-BCE7-3977B0112C5F}"/>
    <cellStyle name="SAPBEXHLevel2 5 2 9 2" xfId="17539" xr:uid="{D59908C9-EB2B-4326-BE9C-AC5E07429B6A}"/>
    <cellStyle name="SAPBEXHLevel2 5 3" xfId="17540" xr:uid="{DAC97A70-5B74-4D01-8D89-526B25FBB286}"/>
    <cellStyle name="SAPBEXHLevel2 5 3 10" xfId="17541" xr:uid="{F0606BF9-EF9D-4543-AD25-C11DFDBD929E}"/>
    <cellStyle name="SAPBEXHLevel2 5 3 10 2" xfId="17542" xr:uid="{61C3FE55-E5FE-410F-A66F-3E12757B248C}"/>
    <cellStyle name="SAPBEXHLevel2 5 3 11" xfId="17543" xr:uid="{5FDDDE8C-35BF-456E-8BF0-E0FF5C59E820}"/>
    <cellStyle name="SAPBEXHLevel2 5 3 11 2" xfId="17544" xr:uid="{2F98CFF8-9F8D-4D44-B6C3-84D120637AFB}"/>
    <cellStyle name="SAPBEXHLevel2 5 3 12" xfId="17545" xr:uid="{6A9A5E50-F145-42FA-9899-8B119C7920DA}"/>
    <cellStyle name="SAPBEXHLevel2 5 3 12 2" xfId="17546" xr:uid="{9739759A-BA43-4076-B9F7-466C7753F1F9}"/>
    <cellStyle name="SAPBEXHLevel2 5 3 13" xfId="17547" xr:uid="{B780BAB8-8EE1-4B38-A45C-A2F9682C44FB}"/>
    <cellStyle name="SAPBEXHLevel2 5 3 13 2" xfId="17548" xr:uid="{99725380-3F4D-443E-924F-F2A37AB02194}"/>
    <cellStyle name="SAPBEXHLevel2 5 3 14" xfId="17549" xr:uid="{053D4C30-02B1-4B8D-9BA7-922054F668D4}"/>
    <cellStyle name="SAPBEXHLevel2 5 3 14 2" xfId="17550" xr:uid="{C542E818-28C2-42AE-9C7C-04750F52C117}"/>
    <cellStyle name="SAPBEXHLevel2 5 3 15" xfId="17551" xr:uid="{71F929E8-0528-405D-AB41-08EDD937BD23}"/>
    <cellStyle name="SAPBEXHLevel2 5 3 15 2" xfId="17552" xr:uid="{9119370A-9921-4054-B5B6-8AE68B2CF85D}"/>
    <cellStyle name="SAPBEXHLevel2 5 3 16" xfId="17553" xr:uid="{77B99638-354F-4CDC-B402-4340DBC4561D}"/>
    <cellStyle name="SAPBEXHLevel2 5 3 2" xfId="17554" xr:uid="{61CF6093-24AB-4A50-9DA6-E18BE8BDE4CA}"/>
    <cellStyle name="SAPBEXHLevel2 5 3 2 2" xfId="17555" xr:uid="{70E5A0EC-20C0-4A2C-833C-C544169201F2}"/>
    <cellStyle name="SAPBEXHLevel2 5 3 3" xfId="17556" xr:uid="{26226F32-7DBA-46A8-809F-BA03BBF7E56B}"/>
    <cellStyle name="SAPBEXHLevel2 5 3 3 2" xfId="17557" xr:uid="{C85F1CC0-4DE0-4CA2-8F15-5B6B5B825B50}"/>
    <cellStyle name="SAPBEXHLevel2 5 3 4" xfId="17558" xr:uid="{05E04F64-CE52-4F95-82B7-016358F17D1C}"/>
    <cellStyle name="SAPBEXHLevel2 5 3 4 2" xfId="17559" xr:uid="{85D7BB34-33EF-4B64-8BB8-85BF73DB5712}"/>
    <cellStyle name="SAPBEXHLevel2 5 3 5" xfId="17560" xr:uid="{36A3832F-5D00-4815-9F4D-3F2CE8D75E63}"/>
    <cellStyle name="SAPBEXHLevel2 5 3 5 2" xfId="17561" xr:uid="{4E7CB6EA-69FA-48BF-923D-32AA6CDEB7C2}"/>
    <cellStyle name="SAPBEXHLevel2 5 3 6" xfId="17562" xr:uid="{161644D3-B7D3-4CAA-8478-130279B4B959}"/>
    <cellStyle name="SAPBEXHLevel2 5 3 6 2" xfId="17563" xr:uid="{3093238E-10CB-4F7E-BC26-441F8257C3B1}"/>
    <cellStyle name="SAPBEXHLevel2 5 3 7" xfId="17564" xr:uid="{6050D7F4-1D78-4180-BC8E-023434027135}"/>
    <cellStyle name="SAPBEXHLevel2 5 3 7 2" xfId="17565" xr:uid="{6BF995E5-01CA-48CA-A458-E8A75A8E64B0}"/>
    <cellStyle name="SAPBEXHLevel2 5 3 8" xfId="17566" xr:uid="{9F15B049-2A5B-453D-A9D1-0CCFD5887B38}"/>
    <cellStyle name="SAPBEXHLevel2 5 3 8 2" xfId="17567" xr:uid="{5A3B5DD6-597D-47D4-80E9-D21A44282F74}"/>
    <cellStyle name="SAPBEXHLevel2 5 3 9" xfId="17568" xr:uid="{87CAC56A-46E2-4619-9352-CF355F64C888}"/>
    <cellStyle name="SAPBEXHLevel2 5 3 9 2" xfId="17569" xr:uid="{263E19B3-D551-4EB0-B22D-4402668CFCF1}"/>
    <cellStyle name="SAPBEXHLevel2 5 4" xfId="17570" xr:uid="{16CADF7A-60A9-4133-BD09-0A0CB3398F93}"/>
    <cellStyle name="SAPBEXHLevel2 5 4 2" xfId="17571" xr:uid="{2E52CE6F-8986-4535-80D1-603EC5378F8B}"/>
    <cellStyle name="SAPBEXHLevel2 5 5" xfId="17572" xr:uid="{54F72C33-46A3-4913-8B79-A21AFC59436D}"/>
    <cellStyle name="SAPBEXHLevel2 5 5 2" xfId="17573" xr:uid="{578B9917-3135-4A16-ACB3-3EF08D7A373C}"/>
    <cellStyle name="SAPBEXHLevel2 5 6" xfId="17574" xr:uid="{1E48E4AE-7A4E-42B3-BE31-75EA1010ECCA}"/>
    <cellStyle name="SAPBEXHLevel2 5 6 2" xfId="17575" xr:uid="{D8CC9D2C-22B8-4D18-8485-D15A22080A3C}"/>
    <cellStyle name="SAPBEXHLevel2 5 7" xfId="17576" xr:uid="{AF457BA6-E5A9-4E06-A8F4-C31FEB528D25}"/>
    <cellStyle name="SAPBEXHLevel2 5 7 2" xfId="17577" xr:uid="{9C95508A-9B10-4909-87D0-8CD43E79798C}"/>
    <cellStyle name="SAPBEXHLevel2 5 8" xfId="17578" xr:uid="{4B60A165-6470-4C99-8540-545176075EA3}"/>
    <cellStyle name="SAPBEXHLevel2 5 8 2" xfId="17579" xr:uid="{6987B50B-5E80-4BC3-96A8-43FCFCD51B40}"/>
    <cellStyle name="SAPBEXHLevel2 5 9" xfId="17580" xr:uid="{7DEB8626-6F27-4D69-A343-C8B01423E4A4}"/>
    <cellStyle name="SAPBEXHLevel2 5 9 2" xfId="17581" xr:uid="{3CFD11BE-7F47-4023-AFA1-F4C8A29CA787}"/>
    <cellStyle name="SAPBEXHLevel2 6" xfId="17582" xr:uid="{FC504E2D-F354-4E04-8CBF-75C5E39427B3}"/>
    <cellStyle name="SAPBEXHLevel2 6 10" xfId="17583" xr:uid="{C47FAB16-2EDA-4BE3-BA02-D965E901A432}"/>
    <cellStyle name="SAPBEXHLevel2 6 10 2" xfId="17584" xr:uid="{5C7CC745-EF76-4B1B-8705-2FB27656EDE7}"/>
    <cellStyle name="SAPBEXHLevel2 6 11" xfId="17585" xr:uid="{465AB223-A425-43D1-AC31-996B8010DBE7}"/>
    <cellStyle name="SAPBEXHLevel2 6 11 2" xfId="17586" xr:uid="{1BF8419D-84A2-4B8B-9CCD-F8536E10B0DE}"/>
    <cellStyle name="SAPBEXHLevel2 6 12" xfId="17587" xr:uid="{270302F7-CAB2-4D90-81EA-8CBBC3109D9A}"/>
    <cellStyle name="SAPBEXHLevel2 6 12 2" xfId="17588" xr:uid="{7E316185-694F-4D5F-8433-B122F637233D}"/>
    <cellStyle name="SAPBEXHLevel2 6 13" xfId="17589" xr:uid="{08844059-F836-4AFB-A688-2B606003035B}"/>
    <cellStyle name="SAPBEXHLevel2 6 13 2" xfId="17590" xr:uid="{7FF0D342-864C-4735-ADAE-86A30ACBA963}"/>
    <cellStyle name="SAPBEXHLevel2 6 14" xfId="17591" xr:uid="{2459F95F-50BD-4D7C-ABB8-F02E142A1D5C}"/>
    <cellStyle name="SAPBEXHLevel2 6 14 2" xfId="17592" xr:uid="{787909BE-7D92-43B4-BA85-78BAC454386E}"/>
    <cellStyle name="SAPBEXHLevel2 6 15" xfId="17593" xr:uid="{88FA8F5A-AF58-4CE6-9E5D-495692A9F961}"/>
    <cellStyle name="SAPBEXHLevel2 6 15 2" xfId="17594" xr:uid="{59401D41-2CF2-439F-91E3-17286E68BC71}"/>
    <cellStyle name="SAPBEXHLevel2 6 16" xfId="17595" xr:uid="{A70F3C44-3F75-4821-ABB7-5E4123A907C5}"/>
    <cellStyle name="SAPBEXHLevel2 6 2" xfId="17596" xr:uid="{78CAF2F9-C5B2-4B8A-9276-C6BDE75AE012}"/>
    <cellStyle name="SAPBEXHLevel2 6 2 2" xfId="17597" xr:uid="{C8C1FA42-C64E-4368-BB4D-E42E190305DB}"/>
    <cellStyle name="SAPBEXHLevel2 6 3" xfId="17598" xr:uid="{8588A38F-8A1D-4FB9-8FF3-5B3CEDFB1BDE}"/>
    <cellStyle name="SAPBEXHLevel2 6 3 2" xfId="17599" xr:uid="{13A2A871-3DE4-4CC2-AE64-73A1D7BBE546}"/>
    <cellStyle name="SAPBEXHLevel2 6 4" xfId="17600" xr:uid="{6CA49016-A166-4C8D-878A-6398BC495A9F}"/>
    <cellStyle name="SAPBEXHLevel2 6 4 2" xfId="17601" xr:uid="{6F92E245-2C7C-48D1-ADD0-6967C97DF4D1}"/>
    <cellStyle name="SAPBEXHLevel2 6 5" xfId="17602" xr:uid="{68B0063E-F39D-48FE-ABD7-1951FC243C8D}"/>
    <cellStyle name="SAPBEXHLevel2 6 5 2" xfId="17603" xr:uid="{EF5C6BCB-B387-451E-B469-76F77EC7697E}"/>
    <cellStyle name="SAPBEXHLevel2 6 6" xfId="17604" xr:uid="{8EF7FF7A-B474-4275-96BB-AE7FC319B344}"/>
    <cellStyle name="SAPBEXHLevel2 6 6 2" xfId="17605" xr:uid="{225009DA-1EF4-4598-A6F6-D0DAAA95205C}"/>
    <cellStyle name="SAPBEXHLevel2 6 7" xfId="17606" xr:uid="{680A0A43-0143-40EA-A416-4F71F06B54E5}"/>
    <cellStyle name="SAPBEXHLevel2 6 7 2" xfId="17607" xr:uid="{39138C61-B300-46E4-8390-26C8EB5F67ED}"/>
    <cellStyle name="SAPBEXHLevel2 6 8" xfId="17608" xr:uid="{C7B28BC5-0535-40C7-B74C-DF5AAFECF2CB}"/>
    <cellStyle name="SAPBEXHLevel2 6 8 2" xfId="17609" xr:uid="{126ADAD3-FE8B-438D-927A-60BF976D65A0}"/>
    <cellStyle name="SAPBEXHLevel2 6 9" xfId="17610" xr:uid="{E76E5595-C6E1-442B-92C8-46EDA4B985EA}"/>
    <cellStyle name="SAPBEXHLevel2 6 9 2" xfId="17611" xr:uid="{C7FB7831-D281-41AC-9411-DE105C5CCD21}"/>
    <cellStyle name="SAPBEXHLevel2 7" xfId="17612" xr:uid="{6DBC08B7-88D3-4476-B6C9-6024B7645C87}"/>
    <cellStyle name="SAPBEXHLevel2 7 2" xfId="17613" xr:uid="{F03E53E4-CEBC-4722-B222-07F900B890D5}"/>
    <cellStyle name="SAPBEXHLevel2 8" xfId="17614" xr:uid="{57C1D3F7-3EDD-4258-AE5F-C962EC476643}"/>
    <cellStyle name="SAPBEXHLevel2 8 2" xfId="17615" xr:uid="{5B9D0707-46A5-4939-BDE1-EC8F88B0BFB3}"/>
    <cellStyle name="SAPBEXHLevel2 9" xfId="17616" xr:uid="{EBE6D24B-F22A-4199-A1A5-AD571CD4F4F0}"/>
    <cellStyle name="SAPBEXHLevel2 9 2" xfId="17617" xr:uid="{EF8245BE-4664-401E-97EE-1292F5DFD74D}"/>
    <cellStyle name="SAPBEXHLevel2_T1 ANSP" xfId="16998" xr:uid="{A6750C9C-3F3E-4A17-9050-269927DF0FF2}"/>
    <cellStyle name="SAPBEXHLevel2X" xfId="751" xr:uid="{00000000-0005-0000-0000-00009A050000}"/>
    <cellStyle name="SAPBEXHLevel2X 10" xfId="17619" xr:uid="{2CC35D98-C29F-44D9-A4D6-4ED3AA6781DB}"/>
    <cellStyle name="SAPBEXHLevel2X 10 2" xfId="17620" xr:uid="{694F3D3B-51FB-4673-B9C6-F81D50B7ED96}"/>
    <cellStyle name="SAPBEXHLevel2X 11" xfId="17621" xr:uid="{A0A6102B-E118-441E-80B3-18E67CCCC592}"/>
    <cellStyle name="SAPBEXHLevel2X 11 2" xfId="17622" xr:uid="{79EE9D55-C7A3-4D3E-A96C-59D5EE294534}"/>
    <cellStyle name="SAPBEXHLevel2X 12" xfId="17623" xr:uid="{74F3A122-9200-4EA1-8889-D0337DE879C1}"/>
    <cellStyle name="SAPBEXHLevel2X 12 2" xfId="17624" xr:uid="{2BBA60C0-63DB-48FF-9504-853AA1059769}"/>
    <cellStyle name="SAPBEXHLevel2X 13" xfId="17625" xr:uid="{FABC443E-EC96-4EDC-B24A-BD0E2F2880F4}"/>
    <cellStyle name="SAPBEXHLevel2X 13 2" xfId="17626" xr:uid="{C79D8921-C4C9-410F-9780-381DD9173220}"/>
    <cellStyle name="SAPBEXHLevel2X 14" xfId="17627" xr:uid="{4C560A3A-BB0F-4244-BE15-6B96DF76D8EA}"/>
    <cellStyle name="SAPBEXHLevel2X 14 2" xfId="17628" xr:uid="{96D93A88-6546-41F1-8C4D-80A0CA61C499}"/>
    <cellStyle name="SAPBEXHLevel2X 15" xfId="17629" xr:uid="{50A2EAC2-2508-44D9-83D4-741CF3D88B70}"/>
    <cellStyle name="SAPBEXHLevel2X 15 2" xfId="17630" xr:uid="{6EA3C435-04FF-4C1A-9274-5F07F12042FB}"/>
    <cellStyle name="SAPBEXHLevel2X 16" xfId="17631" xr:uid="{752720C7-D07E-4A6B-8FFC-520C50D85953}"/>
    <cellStyle name="SAPBEXHLevel2X 16 2" xfId="17632" xr:uid="{9B82F6C4-DB57-4C28-A59F-03D3BF864A96}"/>
    <cellStyle name="SAPBEXHLevel2X 17" xfId="17633" xr:uid="{BE2C744A-EE77-4DD2-B25F-78BB9D303823}"/>
    <cellStyle name="SAPBEXHLevel2X 17 2" xfId="17634" xr:uid="{0FD3BE0E-8400-4746-9CA6-F629C4978834}"/>
    <cellStyle name="SAPBEXHLevel2X 18" xfId="17635" xr:uid="{E443E858-2D24-4483-8D74-C7EFEF567E1B}"/>
    <cellStyle name="SAPBEXHLevel2X 18 2" xfId="17636" xr:uid="{FE3EABE6-0743-4678-BD4E-2F60367D55A6}"/>
    <cellStyle name="SAPBEXHLevel2X 19" xfId="17637" xr:uid="{1E6097F9-C935-436F-80AA-213AC2BE25A8}"/>
    <cellStyle name="SAPBEXHLevel2X 19 2" xfId="17638" xr:uid="{E246FAAC-C66C-49F8-B01E-F02BADF4982F}"/>
    <cellStyle name="SAPBEXHLevel2X 2" xfId="1565" xr:uid="{00000000-0005-0000-0000-00009B050000}"/>
    <cellStyle name="SAPBEXHLevel2X 2 10" xfId="17640" xr:uid="{8A7D9628-940A-4EB9-9D72-38F12DF7EA56}"/>
    <cellStyle name="SAPBEXHLevel2X 2 10 2" xfId="17641" xr:uid="{90A98387-6CC2-465A-9C5C-5825F20ACEDA}"/>
    <cellStyle name="SAPBEXHLevel2X 2 11" xfId="17642" xr:uid="{8FE9F985-4F9B-43E1-9B92-0D4114837BBF}"/>
    <cellStyle name="SAPBEXHLevel2X 2 11 2" xfId="17643" xr:uid="{889A8CE2-D38E-4D8A-BFB3-7BCE3057C9E9}"/>
    <cellStyle name="SAPBEXHLevel2X 2 12" xfId="17644" xr:uid="{9A332942-BC08-42C4-BB19-744531B9E92E}"/>
    <cellStyle name="SAPBEXHLevel2X 2 12 2" xfId="17645" xr:uid="{8144692F-01EF-4356-BBEA-9B26022131EF}"/>
    <cellStyle name="SAPBEXHLevel2X 2 13" xfId="17646" xr:uid="{90B22D2D-3487-4F38-BFEB-F062DA06755F}"/>
    <cellStyle name="SAPBEXHLevel2X 2 13 2" xfId="17647" xr:uid="{0291F491-8193-41C2-A69D-666AAF1DFE8B}"/>
    <cellStyle name="SAPBEXHLevel2X 2 14" xfId="17648" xr:uid="{7BA3F929-A8B9-4B47-9451-76C2D65DF363}"/>
    <cellStyle name="SAPBEXHLevel2X 2 14 2" xfId="17649" xr:uid="{B44D6A35-343E-4630-8970-F8FF266F6A9C}"/>
    <cellStyle name="SAPBEXHLevel2X 2 15" xfId="17650" xr:uid="{ACF29204-1B08-4051-A036-ADAE38F80EBC}"/>
    <cellStyle name="SAPBEXHLevel2X 2 15 2" xfId="17651" xr:uid="{42D357FE-C209-44B1-96FB-E4C3005DD73E}"/>
    <cellStyle name="SAPBEXHLevel2X 2 16" xfId="17652" xr:uid="{01692415-63C7-46F8-8AE4-B3FB1DBA926A}"/>
    <cellStyle name="SAPBEXHLevel2X 2 16 2" xfId="17653" xr:uid="{6A0FF46A-31D3-4DBD-BCC6-9D67B466D446}"/>
    <cellStyle name="SAPBEXHLevel2X 2 17" xfId="17654" xr:uid="{4139501A-8FE8-455B-98B3-A6CB0E9A15B5}"/>
    <cellStyle name="SAPBEXHLevel2X 2 17 2" xfId="17655" xr:uid="{71438C6B-5AE0-4019-96F8-400389DB8DA2}"/>
    <cellStyle name="SAPBEXHLevel2X 2 18" xfId="17656" xr:uid="{C29B3EB7-4B84-45A3-A7DA-9579184D14D0}"/>
    <cellStyle name="SAPBEXHLevel2X 2 2" xfId="17657" xr:uid="{2D95A773-F422-4165-9F41-17C7903F3B1D}"/>
    <cellStyle name="SAPBEXHLevel2X 2 2 10" xfId="17658" xr:uid="{D1857420-2BDA-46DB-9CCB-FDBBA51E6DAB}"/>
    <cellStyle name="SAPBEXHLevel2X 2 2 10 2" xfId="17659" xr:uid="{5A764A11-5308-4FF6-A9B9-D93BC80D2438}"/>
    <cellStyle name="SAPBEXHLevel2X 2 2 11" xfId="17660" xr:uid="{AE680FFE-A72E-462A-A408-AA19031EAEEA}"/>
    <cellStyle name="SAPBEXHLevel2X 2 2 11 2" xfId="17661" xr:uid="{E35201B3-1A0A-4718-8A00-269E43A3247E}"/>
    <cellStyle name="SAPBEXHLevel2X 2 2 12" xfId="17662" xr:uid="{50597ACF-0332-4510-B5AD-3C3924F13485}"/>
    <cellStyle name="SAPBEXHLevel2X 2 2 12 2" xfId="17663" xr:uid="{B20F7F7F-34DA-4D34-9348-7B4251A982A0}"/>
    <cellStyle name="SAPBEXHLevel2X 2 2 13" xfId="17664" xr:uid="{25AE281E-59B9-466C-B740-1109CCDE0C4F}"/>
    <cellStyle name="SAPBEXHLevel2X 2 2 13 2" xfId="17665" xr:uid="{CE9A55A4-237F-423C-AB89-5786D15A4F0E}"/>
    <cellStyle name="SAPBEXHLevel2X 2 2 14" xfId="17666" xr:uid="{43FB464D-F14C-4349-83B0-CCEB2F10CB29}"/>
    <cellStyle name="SAPBEXHLevel2X 2 2 14 2" xfId="17667" xr:uid="{1636E200-ADEA-415C-881A-9870C5477E6D}"/>
    <cellStyle name="SAPBEXHLevel2X 2 2 15" xfId="17668" xr:uid="{322FE6D2-6BF4-419C-9A95-C00C8A913312}"/>
    <cellStyle name="SAPBEXHLevel2X 2 2 15 2" xfId="17669" xr:uid="{68C1D6C1-238F-4EDE-85A5-4431D023DE2D}"/>
    <cellStyle name="SAPBEXHLevel2X 2 2 16" xfId="17670" xr:uid="{89C7816A-6F02-40CD-BCE5-679748AF63CD}"/>
    <cellStyle name="SAPBEXHLevel2X 2 2 16 2" xfId="17671" xr:uid="{C7103901-FABA-46FF-A0AE-69AF16E19166}"/>
    <cellStyle name="SAPBEXHLevel2X 2 2 17" xfId="17672" xr:uid="{3384816B-F8E5-4D31-A849-B9CCC6BBC83D}"/>
    <cellStyle name="SAPBEXHLevel2X 2 2 17 2" xfId="17673" xr:uid="{BDEBA8F2-9D2B-47E4-9309-FED0F8966B28}"/>
    <cellStyle name="SAPBEXHLevel2X 2 2 18" xfId="17674" xr:uid="{D4160345-B33A-46D2-B460-43A8497496F0}"/>
    <cellStyle name="SAPBEXHLevel2X 2 2 2" xfId="17675" xr:uid="{2B0DF652-3291-40A4-8CD3-07A17D83C733}"/>
    <cellStyle name="SAPBEXHLevel2X 2 2 2 10" xfId="17676" xr:uid="{EAC787C4-4419-4AA9-9E1B-85C5CD35FE36}"/>
    <cellStyle name="SAPBEXHLevel2X 2 2 2 10 2" xfId="17677" xr:uid="{C07459C0-8B34-44E7-B269-3155AAD9F165}"/>
    <cellStyle name="SAPBEXHLevel2X 2 2 2 11" xfId="17678" xr:uid="{94300C30-EB52-4995-8F7C-78A1443C4657}"/>
    <cellStyle name="SAPBEXHLevel2X 2 2 2 11 2" xfId="17679" xr:uid="{DAEFFD86-81ED-4122-A6E3-C091AC081321}"/>
    <cellStyle name="SAPBEXHLevel2X 2 2 2 12" xfId="17680" xr:uid="{FC2F0B5E-490F-458A-AD1F-445AF935B013}"/>
    <cellStyle name="SAPBEXHLevel2X 2 2 2 12 2" xfId="17681" xr:uid="{C8A4AAED-FEAF-4F8F-8BB1-66B42FBE54C3}"/>
    <cellStyle name="SAPBEXHLevel2X 2 2 2 13" xfId="17682" xr:uid="{FDA3EE87-361A-4A6F-B17F-C30A7CC3234D}"/>
    <cellStyle name="SAPBEXHLevel2X 2 2 2 13 2" xfId="17683" xr:uid="{36F74ECA-1DF4-44F4-807E-10451A1DB548}"/>
    <cellStyle name="SAPBEXHLevel2X 2 2 2 14" xfId="17684" xr:uid="{0A5400D2-F1BB-400E-8F50-2FAEED367D0E}"/>
    <cellStyle name="SAPBEXHLevel2X 2 2 2 14 2" xfId="17685" xr:uid="{2FCAF786-59AC-4CB0-890F-BBC215DBAA01}"/>
    <cellStyle name="SAPBEXHLevel2X 2 2 2 15" xfId="17686" xr:uid="{060B1CFD-8786-47B8-B879-54BA5F851EB1}"/>
    <cellStyle name="SAPBEXHLevel2X 2 2 2 15 2" xfId="17687" xr:uid="{0954E7D2-E95A-4D35-A4B9-7ADE4B946FCE}"/>
    <cellStyle name="SAPBEXHLevel2X 2 2 2 16" xfId="17688" xr:uid="{EC409B01-CB00-418D-B0B3-31170B902058}"/>
    <cellStyle name="SAPBEXHLevel2X 2 2 2 2" xfId="17689" xr:uid="{CC250057-4351-4101-A503-D6A947830721}"/>
    <cellStyle name="SAPBEXHLevel2X 2 2 2 2 2" xfId="17690" xr:uid="{CB799976-F92A-4711-B2A1-A1EE66034147}"/>
    <cellStyle name="SAPBEXHLevel2X 2 2 2 3" xfId="17691" xr:uid="{4A72BD26-FD3D-4894-93BB-7052C27DE665}"/>
    <cellStyle name="SAPBEXHLevel2X 2 2 2 3 2" xfId="17692" xr:uid="{DDAB676B-7122-4084-B506-90AF73FAF259}"/>
    <cellStyle name="SAPBEXHLevel2X 2 2 2 4" xfId="17693" xr:uid="{01CF87C4-A316-408F-83FE-A9BEA21DF2F2}"/>
    <cellStyle name="SAPBEXHLevel2X 2 2 2 4 2" xfId="17694" xr:uid="{AA0639EB-B1CD-4A6B-86C5-7E0B9A2ABBC3}"/>
    <cellStyle name="SAPBEXHLevel2X 2 2 2 5" xfId="17695" xr:uid="{30A27218-AA7F-449A-980F-62FC5D306D9F}"/>
    <cellStyle name="SAPBEXHLevel2X 2 2 2 5 2" xfId="17696" xr:uid="{3FCCD558-3B9C-47B5-A770-DDD64DE334AE}"/>
    <cellStyle name="SAPBEXHLevel2X 2 2 2 6" xfId="17697" xr:uid="{634D3936-784D-4700-9588-DF3B40193E67}"/>
    <cellStyle name="SAPBEXHLevel2X 2 2 2 6 2" xfId="17698" xr:uid="{087B79BC-32C8-49F3-BA54-54762925A6EF}"/>
    <cellStyle name="SAPBEXHLevel2X 2 2 2 7" xfId="17699" xr:uid="{6E81AF94-62D3-42C7-9C7B-4152FEFB85F8}"/>
    <cellStyle name="SAPBEXHLevel2X 2 2 2 7 2" xfId="17700" xr:uid="{9E156892-7438-40A2-8E90-8A19FA623D6A}"/>
    <cellStyle name="SAPBEXHLevel2X 2 2 2 8" xfId="17701" xr:uid="{6CC2D82C-8AF4-42E3-923A-111536A5BFB9}"/>
    <cellStyle name="SAPBEXHLevel2X 2 2 2 8 2" xfId="17702" xr:uid="{0B11421E-AC3C-47B8-BFFA-254D8A1A027D}"/>
    <cellStyle name="SAPBEXHLevel2X 2 2 2 9" xfId="17703" xr:uid="{F0326DA3-BA09-41EE-BC0C-B3C12FFE4B27}"/>
    <cellStyle name="SAPBEXHLevel2X 2 2 2 9 2" xfId="17704" xr:uid="{ADF43A6B-7A36-4F32-A142-23AE31AE35BC}"/>
    <cellStyle name="SAPBEXHLevel2X 2 2 3" xfId="17705" xr:uid="{13282F87-69C0-4214-BC61-66E17C38D4F5}"/>
    <cellStyle name="SAPBEXHLevel2X 2 2 3 10" xfId="17706" xr:uid="{52CE88EF-4536-4DCE-BF2B-B6FDA567E8D1}"/>
    <cellStyle name="SAPBEXHLevel2X 2 2 3 10 2" xfId="17707" xr:uid="{1481B798-031F-4F5D-BD42-F421DADD3052}"/>
    <cellStyle name="SAPBEXHLevel2X 2 2 3 11" xfId="17708" xr:uid="{65BB2518-9B72-4A0E-B974-267D6549B86E}"/>
    <cellStyle name="SAPBEXHLevel2X 2 2 3 11 2" xfId="17709" xr:uid="{A7434BB2-6F7F-43F9-8C11-F36AA5C06793}"/>
    <cellStyle name="SAPBEXHLevel2X 2 2 3 12" xfId="17710" xr:uid="{C2AB6F5E-CDE2-4DBB-83B7-5F3429D38A1B}"/>
    <cellStyle name="SAPBEXHLevel2X 2 2 3 12 2" xfId="17711" xr:uid="{976EDF92-3C51-4369-A674-36FBBC4C8407}"/>
    <cellStyle name="SAPBEXHLevel2X 2 2 3 13" xfId="17712" xr:uid="{BCE73BD3-C533-4E47-B5AB-CA70F831E46C}"/>
    <cellStyle name="SAPBEXHLevel2X 2 2 3 13 2" xfId="17713" xr:uid="{B09CA343-8028-463C-8127-6B91F120C105}"/>
    <cellStyle name="SAPBEXHLevel2X 2 2 3 14" xfId="17714" xr:uid="{76B103CD-45F0-49F0-9A28-6B1AEFC0249E}"/>
    <cellStyle name="SAPBEXHLevel2X 2 2 3 14 2" xfId="17715" xr:uid="{714DCE45-2257-488C-827B-0A9130E86014}"/>
    <cellStyle name="SAPBEXHLevel2X 2 2 3 15" xfId="17716" xr:uid="{D6B34F09-B883-4F05-8CAC-925524DFB512}"/>
    <cellStyle name="SAPBEXHLevel2X 2 2 3 15 2" xfId="17717" xr:uid="{FCA083AD-463B-4176-BFA4-45B1443B1929}"/>
    <cellStyle name="SAPBEXHLevel2X 2 2 3 16" xfId="17718" xr:uid="{B33E9296-889C-405E-821E-53F6865B4D18}"/>
    <cellStyle name="SAPBEXHLevel2X 2 2 3 2" xfId="17719" xr:uid="{6AB995E1-9D53-4A2E-9E81-8891C090B3C3}"/>
    <cellStyle name="SAPBEXHLevel2X 2 2 3 2 2" xfId="17720" xr:uid="{6B2EB00A-BF19-45E0-B731-8DF688E94438}"/>
    <cellStyle name="SAPBEXHLevel2X 2 2 3 3" xfId="17721" xr:uid="{F8D329D9-BB4B-4DDE-860D-B2D37EB011EC}"/>
    <cellStyle name="SAPBEXHLevel2X 2 2 3 3 2" xfId="17722" xr:uid="{DA8F91CD-D05F-49CA-94B5-F581934B7680}"/>
    <cellStyle name="SAPBEXHLevel2X 2 2 3 4" xfId="17723" xr:uid="{E6B1E9FD-2C0C-4EA9-8CAC-395B8D560080}"/>
    <cellStyle name="SAPBEXHLevel2X 2 2 3 4 2" xfId="17724" xr:uid="{7403EC0A-A339-4375-9C14-03C0300D2507}"/>
    <cellStyle name="SAPBEXHLevel2X 2 2 3 5" xfId="17725" xr:uid="{D6E96F56-4136-4A89-825A-3CFEE0DB2790}"/>
    <cellStyle name="SAPBEXHLevel2X 2 2 3 5 2" xfId="17726" xr:uid="{22F335D5-80AC-49EB-BB1E-D15302F4B3F6}"/>
    <cellStyle name="SAPBEXHLevel2X 2 2 3 6" xfId="17727" xr:uid="{B5D8741A-897E-484C-8E28-452BF80BE994}"/>
    <cellStyle name="SAPBEXHLevel2X 2 2 3 6 2" xfId="17728" xr:uid="{82FEC6B0-7C6E-40E5-8C42-65E5019FF646}"/>
    <cellStyle name="SAPBEXHLevel2X 2 2 3 7" xfId="17729" xr:uid="{D1A24CE2-25E0-4801-9976-5167B59FC39D}"/>
    <cellStyle name="SAPBEXHLevel2X 2 2 3 7 2" xfId="17730" xr:uid="{4A181816-40E0-44F7-BDB8-2C41B174CB41}"/>
    <cellStyle name="SAPBEXHLevel2X 2 2 3 8" xfId="17731" xr:uid="{6BAE46EF-04C5-40EA-B694-68043EEE1EFF}"/>
    <cellStyle name="SAPBEXHLevel2X 2 2 3 8 2" xfId="17732" xr:uid="{DBA18AB9-19F1-429B-8D7F-1B29890DD9DB}"/>
    <cellStyle name="SAPBEXHLevel2X 2 2 3 9" xfId="17733" xr:uid="{79AFBC60-60B3-4C95-9158-A07E5F08BEC1}"/>
    <cellStyle name="SAPBEXHLevel2X 2 2 3 9 2" xfId="17734" xr:uid="{F5189D70-B54F-49C7-9C0A-5E561E786824}"/>
    <cellStyle name="SAPBEXHLevel2X 2 2 4" xfId="17735" xr:uid="{2379BBC5-35FD-475F-BA8E-8F69D3B1B3C3}"/>
    <cellStyle name="SAPBEXHLevel2X 2 2 4 2" xfId="17736" xr:uid="{195219DA-E3E5-420D-8082-08678ADBC7BD}"/>
    <cellStyle name="SAPBEXHLevel2X 2 2 5" xfId="17737" xr:uid="{BC05E4D2-C42A-45BC-944D-449532ABF520}"/>
    <cellStyle name="SAPBEXHLevel2X 2 2 5 2" xfId="17738" xr:uid="{1B4774EA-A773-4092-A5C9-47615564658E}"/>
    <cellStyle name="SAPBEXHLevel2X 2 2 6" xfId="17739" xr:uid="{60F881ED-4B5E-4B6B-ADA7-659C2BEA5A3D}"/>
    <cellStyle name="SAPBEXHLevel2X 2 2 6 2" xfId="17740" xr:uid="{CDD7AC49-FB2A-4523-B329-3854A40D325C}"/>
    <cellStyle name="SAPBEXHLevel2X 2 2 7" xfId="17741" xr:uid="{748D3ACE-DEB1-483C-82DB-BA5F2AF798FF}"/>
    <cellStyle name="SAPBEXHLevel2X 2 2 7 2" xfId="17742" xr:uid="{B50401D0-5F5E-46D2-850E-39195CE6B129}"/>
    <cellStyle name="SAPBEXHLevel2X 2 2 8" xfId="17743" xr:uid="{1D307643-8853-4AD6-AD52-718D7FBEFB58}"/>
    <cellStyle name="SAPBEXHLevel2X 2 2 8 2" xfId="17744" xr:uid="{8EF06F6A-FF9D-41F4-B26B-51DAC5331384}"/>
    <cellStyle name="SAPBEXHLevel2X 2 2 9" xfId="17745" xr:uid="{1BB1FEDE-4D31-47F6-A1EA-DC4177054C10}"/>
    <cellStyle name="SAPBEXHLevel2X 2 2 9 2" xfId="17746" xr:uid="{36AEEE3D-DE2E-4BEF-B3B6-7A10551A14B4}"/>
    <cellStyle name="SAPBEXHLevel2X 2 3" xfId="17747" xr:uid="{F025F82F-2928-4408-820C-14F69904091F}"/>
    <cellStyle name="SAPBEXHLevel2X 2 3 10" xfId="17748" xr:uid="{321BF8D7-ED69-4BD7-84DE-3B325BED6EFF}"/>
    <cellStyle name="SAPBEXHLevel2X 2 3 10 2" xfId="17749" xr:uid="{8A0E0966-3C98-4F33-AF8D-B25865BF6AF9}"/>
    <cellStyle name="SAPBEXHLevel2X 2 3 11" xfId="17750" xr:uid="{ABD64317-92AD-483F-BCBA-5E4565425719}"/>
    <cellStyle name="SAPBEXHLevel2X 2 3 11 2" xfId="17751" xr:uid="{068F222A-4060-4D8B-9986-EE1132A1AE2C}"/>
    <cellStyle name="SAPBEXHLevel2X 2 3 12" xfId="17752" xr:uid="{F4D74AD4-1310-4ADA-8599-FA73ACFFE398}"/>
    <cellStyle name="SAPBEXHLevel2X 2 3 12 2" xfId="17753" xr:uid="{C92E3E64-93A0-4286-9A53-6A5E4AF2CB3B}"/>
    <cellStyle name="SAPBEXHLevel2X 2 3 13" xfId="17754" xr:uid="{FD84AEC8-B68B-44DC-BF0A-757ECB49744B}"/>
    <cellStyle name="SAPBEXHLevel2X 2 3 13 2" xfId="17755" xr:uid="{4CF841A6-A195-45BF-8BA8-8D0A79D3327E}"/>
    <cellStyle name="SAPBEXHLevel2X 2 3 14" xfId="17756" xr:uid="{29E49598-C1CE-4E7C-A881-B9CF63EDD0BB}"/>
    <cellStyle name="SAPBEXHLevel2X 2 3 14 2" xfId="17757" xr:uid="{BF02D684-02CF-4488-87EC-2CB08F70380E}"/>
    <cellStyle name="SAPBEXHLevel2X 2 3 15" xfId="17758" xr:uid="{9C0169B8-DCD9-49C9-8311-695DF096FF35}"/>
    <cellStyle name="SAPBEXHLevel2X 2 3 15 2" xfId="17759" xr:uid="{AF8221B0-E71D-4688-993F-E7CD5C2F5102}"/>
    <cellStyle name="SAPBEXHLevel2X 2 3 16" xfId="17760" xr:uid="{883EB503-9C36-4CD1-8916-6D2C2AD0385C}"/>
    <cellStyle name="SAPBEXHLevel2X 2 3 16 2" xfId="17761" xr:uid="{E72E5D94-50C1-4C16-BA1E-00DA837CC159}"/>
    <cellStyle name="SAPBEXHLevel2X 2 3 17" xfId="17762" xr:uid="{B180B3E5-7399-4A47-83C3-1E210C62ACBC}"/>
    <cellStyle name="SAPBEXHLevel2X 2 3 17 2" xfId="17763" xr:uid="{5589FF48-62BB-4F0C-B15A-019DDBAC3023}"/>
    <cellStyle name="SAPBEXHLevel2X 2 3 18" xfId="17764" xr:uid="{BE203D3D-C241-4938-A887-0AE24FBBD6A5}"/>
    <cellStyle name="SAPBEXHLevel2X 2 3 2" xfId="17765" xr:uid="{59C93174-D770-42F1-B3F8-51A3B991E66F}"/>
    <cellStyle name="SAPBEXHLevel2X 2 3 2 10" xfId="17766" xr:uid="{BC85D9DA-14BD-4A8F-AD0C-C8FBC95194D1}"/>
    <cellStyle name="SAPBEXHLevel2X 2 3 2 10 2" xfId="17767" xr:uid="{C06066F6-55D5-4376-AB7B-06E168F10686}"/>
    <cellStyle name="SAPBEXHLevel2X 2 3 2 11" xfId="17768" xr:uid="{B7BE3C43-09D0-44D9-9B0B-49E307AA0328}"/>
    <cellStyle name="SAPBEXHLevel2X 2 3 2 11 2" xfId="17769" xr:uid="{8B5C8168-DBCF-43CA-95B2-CD3E05C5107E}"/>
    <cellStyle name="SAPBEXHLevel2X 2 3 2 12" xfId="17770" xr:uid="{BDD7A935-2CB0-4538-8B8F-99EA4D5467F3}"/>
    <cellStyle name="SAPBEXHLevel2X 2 3 2 12 2" xfId="17771" xr:uid="{8EDE13DE-8FEE-4D28-8E45-9C944BA7BC4B}"/>
    <cellStyle name="SAPBEXHLevel2X 2 3 2 13" xfId="17772" xr:uid="{A181396C-ED6D-4EB5-8809-B15979E2B575}"/>
    <cellStyle name="SAPBEXHLevel2X 2 3 2 13 2" xfId="17773" xr:uid="{BA637B9B-6D2F-4F6D-A385-1820F9F32213}"/>
    <cellStyle name="SAPBEXHLevel2X 2 3 2 14" xfId="17774" xr:uid="{B5C28152-966A-485E-B4F1-1388550D4BD5}"/>
    <cellStyle name="SAPBEXHLevel2X 2 3 2 14 2" xfId="17775" xr:uid="{DDDE6FF7-B546-42C1-9B8A-FBA6DE51BEC0}"/>
    <cellStyle name="SAPBEXHLevel2X 2 3 2 15" xfId="17776" xr:uid="{CB06D6D7-640B-4BFF-A81D-C0A6F4174FCB}"/>
    <cellStyle name="SAPBEXHLevel2X 2 3 2 15 2" xfId="17777" xr:uid="{8AE2C7FE-AFD3-4FD4-9026-F6EA37FA8B57}"/>
    <cellStyle name="SAPBEXHLevel2X 2 3 2 16" xfId="17778" xr:uid="{CE317447-40CE-49E7-8014-97CE65E66B22}"/>
    <cellStyle name="SAPBEXHLevel2X 2 3 2 2" xfId="17779" xr:uid="{36ED1072-7DDF-42A7-8D9A-E2034A741977}"/>
    <cellStyle name="SAPBEXHLevel2X 2 3 2 2 2" xfId="17780" xr:uid="{438C001D-FF3D-4F83-A337-DE201477FBE7}"/>
    <cellStyle name="SAPBEXHLevel2X 2 3 2 3" xfId="17781" xr:uid="{1756F037-29CD-4E07-B199-25FF344E3715}"/>
    <cellStyle name="SAPBEXHLevel2X 2 3 2 3 2" xfId="17782" xr:uid="{C3289DE7-31A0-457E-9DC3-8C6A140695A5}"/>
    <cellStyle name="SAPBEXHLevel2X 2 3 2 4" xfId="17783" xr:uid="{1EC0A921-EAE0-4716-9E69-5F5E2885D25D}"/>
    <cellStyle name="SAPBEXHLevel2X 2 3 2 4 2" xfId="17784" xr:uid="{84FEDCC0-BE26-48FD-A6E6-713745F60B8A}"/>
    <cellStyle name="SAPBEXHLevel2X 2 3 2 5" xfId="17785" xr:uid="{678E1D92-4920-490B-958E-60D9728EDB63}"/>
    <cellStyle name="SAPBEXHLevel2X 2 3 2 5 2" xfId="17786" xr:uid="{9EDB8174-A792-4B79-AFD7-142F18CDE197}"/>
    <cellStyle name="SAPBEXHLevel2X 2 3 2 6" xfId="17787" xr:uid="{42BD04F9-C91C-4A21-B1F5-FA4184F7DBEC}"/>
    <cellStyle name="SAPBEXHLevel2X 2 3 2 6 2" xfId="17788" xr:uid="{8250D879-7B13-4B36-B2DB-6D313CE03462}"/>
    <cellStyle name="SAPBEXHLevel2X 2 3 2 7" xfId="17789" xr:uid="{8523C77A-9F31-433E-8242-0715EC346887}"/>
    <cellStyle name="SAPBEXHLevel2X 2 3 2 7 2" xfId="17790" xr:uid="{8546CE84-0336-4AB9-91E8-671D9ED9FDD6}"/>
    <cellStyle name="SAPBEXHLevel2X 2 3 2 8" xfId="17791" xr:uid="{4B9A7BE2-FFA9-4A30-8A5E-9B6AF02A7DB4}"/>
    <cellStyle name="SAPBEXHLevel2X 2 3 2 8 2" xfId="17792" xr:uid="{B3C99038-F2C6-4860-A233-D93FD8DC0842}"/>
    <cellStyle name="SAPBEXHLevel2X 2 3 2 9" xfId="17793" xr:uid="{A54591BE-A578-4E6D-881B-2D36FD2E4C3E}"/>
    <cellStyle name="SAPBEXHLevel2X 2 3 2 9 2" xfId="17794" xr:uid="{C75ED967-6FED-4B72-ACF2-C73F7E49B640}"/>
    <cellStyle name="SAPBEXHLevel2X 2 3 3" xfId="17795" xr:uid="{80C98985-BC97-4B0E-9C75-23AE413333B1}"/>
    <cellStyle name="SAPBEXHLevel2X 2 3 3 10" xfId="17796" xr:uid="{8C8D3985-EC91-4DF4-84A1-24BCBFDF58D6}"/>
    <cellStyle name="SAPBEXHLevel2X 2 3 3 10 2" xfId="17797" xr:uid="{5EEC0AFD-A1B3-4812-9EBC-05F6724BA2DF}"/>
    <cellStyle name="SAPBEXHLevel2X 2 3 3 11" xfId="17798" xr:uid="{C2F42893-55A6-40A9-A353-8B778B7416DE}"/>
    <cellStyle name="SAPBEXHLevel2X 2 3 3 11 2" xfId="17799" xr:uid="{EA95067F-5FC8-4108-AB85-B85579244E9F}"/>
    <cellStyle name="SAPBEXHLevel2X 2 3 3 12" xfId="17800" xr:uid="{DE290BEB-3A5B-4A08-B39C-1C6E7D05E508}"/>
    <cellStyle name="SAPBEXHLevel2X 2 3 3 12 2" xfId="17801" xr:uid="{A23FFB95-F28B-4046-BF61-DFF17B23A252}"/>
    <cellStyle name="SAPBEXHLevel2X 2 3 3 13" xfId="17802" xr:uid="{6911434D-034B-4BF4-868D-4FF2A9BB7281}"/>
    <cellStyle name="SAPBEXHLevel2X 2 3 3 13 2" xfId="17803" xr:uid="{CDA03155-3395-4604-9B60-FF97122F03FB}"/>
    <cellStyle name="SAPBEXHLevel2X 2 3 3 14" xfId="17804" xr:uid="{C5FD6F1A-36AB-4734-BCD5-01D56A58D0F0}"/>
    <cellStyle name="SAPBEXHLevel2X 2 3 3 14 2" xfId="17805" xr:uid="{4C87D3EF-1D84-4903-AAD6-0255BA05DD8D}"/>
    <cellStyle name="SAPBEXHLevel2X 2 3 3 15" xfId="17806" xr:uid="{3571CC2D-374A-4E77-983C-DC1222EE1B3E}"/>
    <cellStyle name="SAPBEXHLevel2X 2 3 3 15 2" xfId="17807" xr:uid="{D55D5780-5554-438A-9101-2DC6CDBC5B84}"/>
    <cellStyle name="SAPBEXHLevel2X 2 3 3 16" xfId="17808" xr:uid="{5AF353BC-F53B-414E-8B0D-29EC873F34D3}"/>
    <cellStyle name="SAPBEXHLevel2X 2 3 3 2" xfId="17809" xr:uid="{B3E2CC71-A4F3-449E-B60C-15521DA7155A}"/>
    <cellStyle name="SAPBEXHLevel2X 2 3 3 2 2" xfId="17810" xr:uid="{775717DA-7562-483E-8AE1-40DD972C7B17}"/>
    <cellStyle name="SAPBEXHLevel2X 2 3 3 3" xfId="17811" xr:uid="{CE66665D-F0E4-44D8-97F0-20478F10CF91}"/>
    <cellStyle name="SAPBEXHLevel2X 2 3 3 3 2" xfId="17812" xr:uid="{DC8F899B-560D-4F4A-85EB-5D6C8F9F93D9}"/>
    <cellStyle name="SAPBEXHLevel2X 2 3 3 4" xfId="17813" xr:uid="{92A008E7-420E-48DE-8E58-746C82C03FF9}"/>
    <cellStyle name="SAPBEXHLevel2X 2 3 3 4 2" xfId="17814" xr:uid="{93BFE456-9A90-497E-A578-FE7D3E72D922}"/>
    <cellStyle name="SAPBEXHLevel2X 2 3 3 5" xfId="17815" xr:uid="{0508D086-0238-44C5-AC31-3D3AF78FEB77}"/>
    <cellStyle name="SAPBEXHLevel2X 2 3 3 5 2" xfId="17816" xr:uid="{9A45B9BB-4001-409A-BFD1-4B422E4CB26B}"/>
    <cellStyle name="SAPBEXHLevel2X 2 3 3 6" xfId="17817" xr:uid="{E93E8082-6A63-45C4-9AC1-812DAC51F14F}"/>
    <cellStyle name="SAPBEXHLevel2X 2 3 3 6 2" xfId="17818" xr:uid="{0070E6D2-529B-400A-8475-E39E71C71024}"/>
    <cellStyle name="SAPBEXHLevel2X 2 3 3 7" xfId="17819" xr:uid="{28F8AD28-99F6-4FCF-B21D-697E392DF888}"/>
    <cellStyle name="SAPBEXHLevel2X 2 3 3 7 2" xfId="17820" xr:uid="{43B40B3B-DD3B-4196-A208-9FC0A914400C}"/>
    <cellStyle name="SAPBEXHLevel2X 2 3 3 8" xfId="17821" xr:uid="{9901EBE1-E5AE-43AC-9E5F-B1D7FF77BDA6}"/>
    <cellStyle name="SAPBEXHLevel2X 2 3 3 8 2" xfId="17822" xr:uid="{6F8993C3-40AD-4787-94D4-03F9B70AB72F}"/>
    <cellStyle name="SAPBEXHLevel2X 2 3 3 9" xfId="17823" xr:uid="{A9E512DE-EAD6-44DF-B2B4-5A1CB281EC40}"/>
    <cellStyle name="SAPBEXHLevel2X 2 3 3 9 2" xfId="17824" xr:uid="{EF132DEF-FD1F-4444-B4D6-E8CB0240D1ED}"/>
    <cellStyle name="SAPBEXHLevel2X 2 3 4" xfId="17825" xr:uid="{33C91841-6F3E-4970-8C4F-6C03D4EBD5A1}"/>
    <cellStyle name="SAPBEXHLevel2X 2 3 4 2" xfId="17826" xr:uid="{8A3023D8-91BB-46B8-A13E-179AD48A93D3}"/>
    <cellStyle name="SAPBEXHLevel2X 2 3 5" xfId="17827" xr:uid="{6E08BC91-9C18-4E33-B39A-B44C1F927A20}"/>
    <cellStyle name="SAPBEXHLevel2X 2 3 5 2" xfId="17828" xr:uid="{17AD9E20-896E-4645-A26A-560EDC3466B2}"/>
    <cellStyle name="SAPBEXHLevel2X 2 3 6" xfId="17829" xr:uid="{7597F262-7A25-406E-9123-6CCD7A0F59D7}"/>
    <cellStyle name="SAPBEXHLevel2X 2 3 6 2" xfId="17830" xr:uid="{166027C3-7650-4F64-A7E1-BD51596DB25E}"/>
    <cellStyle name="SAPBEXHLevel2X 2 3 7" xfId="17831" xr:uid="{A30C5BED-8AB5-4662-8917-10403EBD4F4F}"/>
    <cellStyle name="SAPBEXHLevel2X 2 3 7 2" xfId="17832" xr:uid="{BC042A02-92CF-4014-B795-19D349E89FEC}"/>
    <cellStyle name="SAPBEXHLevel2X 2 3 8" xfId="17833" xr:uid="{3EC2DBF4-E42C-4AE6-8501-CAD04AECBFC1}"/>
    <cellStyle name="SAPBEXHLevel2X 2 3 8 2" xfId="17834" xr:uid="{2F7CD77D-058A-4697-B072-335C55187659}"/>
    <cellStyle name="SAPBEXHLevel2X 2 3 9" xfId="17835" xr:uid="{4F7CD029-1D3E-4C0D-AE29-79FFD10314AE}"/>
    <cellStyle name="SAPBEXHLevel2X 2 3 9 2" xfId="17836" xr:uid="{4130C728-60AB-496E-837F-643BD8741E67}"/>
    <cellStyle name="SAPBEXHLevel2X 2 4" xfId="17837" xr:uid="{FFF265B1-1168-4E43-8E04-7A6FC27E9D87}"/>
    <cellStyle name="SAPBEXHLevel2X 2 4 2" xfId="17838" xr:uid="{7D11D5B5-123A-4771-8276-FEA7BEAE3D7C}"/>
    <cellStyle name="SAPBEXHLevel2X 2 5" xfId="17839" xr:uid="{9E919560-1720-41FF-8828-282AA0DC5C73}"/>
    <cellStyle name="SAPBEXHLevel2X 2 5 2" xfId="17840" xr:uid="{3811651E-D688-4F6F-9E21-8C57F462C673}"/>
    <cellStyle name="SAPBEXHLevel2X 2 6" xfId="17841" xr:uid="{2CA63DE5-09B0-4C9D-8D4B-76ABE124B1E8}"/>
    <cellStyle name="SAPBEXHLevel2X 2 6 2" xfId="17842" xr:uid="{0397C9BC-2573-44D8-AC7F-83C192393EC2}"/>
    <cellStyle name="SAPBEXHLevel2X 2 7" xfId="17843" xr:uid="{F9E744DC-435C-4D96-98CD-21588B772747}"/>
    <cellStyle name="SAPBEXHLevel2X 2 7 2" xfId="17844" xr:uid="{94E293B8-5654-4CC5-B46D-E6B99B3008C3}"/>
    <cellStyle name="SAPBEXHLevel2X 2 8" xfId="17845" xr:uid="{6129AFA1-C33B-4DD0-A651-78BA84E8D0D5}"/>
    <cellStyle name="SAPBEXHLevel2X 2 8 2" xfId="17846" xr:uid="{90F5AB6F-2CB0-49E7-9033-462769DB4176}"/>
    <cellStyle name="SAPBEXHLevel2X 2 9" xfId="17847" xr:uid="{10C4B835-2BBE-4887-B2D9-F623CD841B74}"/>
    <cellStyle name="SAPBEXHLevel2X 2 9 2" xfId="17848" xr:uid="{55014D5A-EA2E-46BA-BCFA-2FF8AFC0EA13}"/>
    <cellStyle name="SAPBEXHLevel2X 2_T1 ANSP" xfId="17639" xr:uid="{07021355-16AF-4426-9F8B-6F6EDD7935E8}"/>
    <cellStyle name="SAPBEXHLevel2X 20" xfId="17849" xr:uid="{7AF00DF5-68F2-484B-8B84-11DCC7CF8255}"/>
    <cellStyle name="SAPBEXHLevel2X 20 2" xfId="17850" xr:uid="{F47EFC97-DA72-4CFA-A8C4-6D8EF372CE7D}"/>
    <cellStyle name="SAPBEXHLevel2X 21" xfId="17851" xr:uid="{776E6F39-5C62-4651-9093-AB751762233E}"/>
    <cellStyle name="SAPBEXHLevel2X 3" xfId="1523" xr:uid="{00000000-0005-0000-0000-00009C050000}"/>
    <cellStyle name="SAPBEXHLevel2X 3 10" xfId="17853" xr:uid="{5ECF1DDA-058A-47AF-9591-4CE9AC36184B}"/>
    <cellStyle name="SAPBEXHLevel2X 3 10 2" xfId="17854" xr:uid="{9A41DF63-3EF1-4204-9246-423FCF33A77D}"/>
    <cellStyle name="SAPBEXHLevel2X 3 11" xfId="17855" xr:uid="{34B61ABD-E4BB-4F79-BB4D-8924B1B54870}"/>
    <cellStyle name="SAPBEXHLevel2X 3 11 2" xfId="17856" xr:uid="{F0CAC69F-7FCD-4EA7-9A36-992B94AB0349}"/>
    <cellStyle name="SAPBEXHLevel2X 3 12" xfId="17857" xr:uid="{4EA7AEF4-3168-49CB-805A-6FE681912F94}"/>
    <cellStyle name="SAPBEXHLevel2X 3 12 2" xfId="17858" xr:uid="{872BBD92-AF8F-437E-A327-EE3CB3F77170}"/>
    <cellStyle name="SAPBEXHLevel2X 3 13" xfId="17859" xr:uid="{941C013D-891C-433B-9549-1BAA4C415A8F}"/>
    <cellStyle name="SAPBEXHLevel2X 3 13 2" xfId="17860" xr:uid="{ABEF160F-B8F8-4044-A9E3-5EC6FA9C56A5}"/>
    <cellStyle name="SAPBEXHLevel2X 3 14" xfId="17861" xr:uid="{066F81B9-A9C8-4C58-A833-6A7FA046CC3F}"/>
    <cellStyle name="SAPBEXHLevel2X 3 14 2" xfId="17862" xr:uid="{CAD84CFC-EE03-4D3C-A880-205AD3D5EE8A}"/>
    <cellStyle name="SAPBEXHLevel2X 3 15" xfId="17863" xr:uid="{DEB4B5F4-2857-4A7C-A1F3-4C0D74F4AC5A}"/>
    <cellStyle name="SAPBEXHLevel2X 3 15 2" xfId="17864" xr:uid="{F94E7DEA-F1A8-4CC0-8299-271A4535DBC9}"/>
    <cellStyle name="SAPBEXHLevel2X 3 16" xfId="17865" xr:uid="{227661A7-A5F2-4AE3-A063-659DC42E09B5}"/>
    <cellStyle name="SAPBEXHLevel2X 3 16 2" xfId="17866" xr:uid="{3DD50D5A-E22C-4454-82C5-688A00A611DF}"/>
    <cellStyle name="SAPBEXHLevel2X 3 17" xfId="17867" xr:uid="{D0B49218-9A5F-4AC7-A3F4-FBB972373CAA}"/>
    <cellStyle name="SAPBEXHLevel2X 3 17 2" xfId="17868" xr:uid="{15583331-002E-4ACF-84E2-7415EF2AB055}"/>
    <cellStyle name="SAPBEXHLevel2X 3 18" xfId="17869" xr:uid="{5210B8E7-436F-4BA5-897A-3EE03ED3C577}"/>
    <cellStyle name="SAPBEXHLevel2X 3 2" xfId="17870" xr:uid="{198A88E3-E67C-49AE-903C-2964A588A4D6}"/>
    <cellStyle name="SAPBEXHLevel2X 3 2 10" xfId="17871" xr:uid="{D63D4294-E31E-4E55-9AF9-268289CAE306}"/>
    <cellStyle name="SAPBEXHLevel2X 3 2 10 2" xfId="17872" xr:uid="{109C988F-E179-4EEE-94E9-0BCB72F2C9DB}"/>
    <cellStyle name="SAPBEXHLevel2X 3 2 11" xfId="17873" xr:uid="{639E0B3C-F97F-4573-9614-C8F3D94569D3}"/>
    <cellStyle name="SAPBEXHLevel2X 3 2 11 2" xfId="17874" xr:uid="{A12979AD-16C0-4C2C-B27E-3FFF805A2C05}"/>
    <cellStyle name="SAPBEXHLevel2X 3 2 12" xfId="17875" xr:uid="{EB475347-2B9A-4038-8DBC-5F101B024052}"/>
    <cellStyle name="SAPBEXHLevel2X 3 2 12 2" xfId="17876" xr:uid="{E98A137F-5CDE-44D7-BC35-516629BB3F09}"/>
    <cellStyle name="SAPBEXHLevel2X 3 2 13" xfId="17877" xr:uid="{F3BB4F9D-37D5-4456-B642-4E89D340FDEB}"/>
    <cellStyle name="SAPBEXHLevel2X 3 2 13 2" xfId="17878" xr:uid="{3182FFC4-0A6A-47D3-AD9B-97597B8269C6}"/>
    <cellStyle name="SAPBEXHLevel2X 3 2 14" xfId="17879" xr:uid="{C7450BDE-5483-4817-B8B2-D2E5D822DB3D}"/>
    <cellStyle name="SAPBEXHLevel2X 3 2 14 2" xfId="17880" xr:uid="{5137DB9E-C9B4-4E9A-BC83-B09E9A125B26}"/>
    <cellStyle name="SAPBEXHLevel2X 3 2 15" xfId="17881" xr:uid="{4A8B7141-FB39-4710-AE87-87CCEBAC192F}"/>
    <cellStyle name="SAPBEXHLevel2X 3 2 15 2" xfId="17882" xr:uid="{62B695C5-3375-45B2-97BF-E1193E958324}"/>
    <cellStyle name="SAPBEXHLevel2X 3 2 16" xfId="17883" xr:uid="{6AD824A2-0DE7-4163-A4FF-44B6EAD2FADB}"/>
    <cellStyle name="SAPBEXHLevel2X 3 2 2" xfId="17884" xr:uid="{80E50397-820A-49F6-9F46-96373F215EED}"/>
    <cellStyle name="SAPBEXHLevel2X 3 2 2 2" xfId="17885" xr:uid="{DA9F5596-E62E-4EED-94F2-4C4A89B2F7B7}"/>
    <cellStyle name="SAPBEXHLevel2X 3 2 3" xfId="17886" xr:uid="{E38B823C-CF4D-44D1-8C41-4374958DFE3F}"/>
    <cellStyle name="SAPBEXHLevel2X 3 2 3 2" xfId="17887" xr:uid="{634D6DBF-5B7F-46FB-BF23-B5A0C028131C}"/>
    <cellStyle name="SAPBEXHLevel2X 3 2 4" xfId="17888" xr:uid="{DD3572C1-0F7E-40C4-97AA-26B62D21E88F}"/>
    <cellStyle name="SAPBEXHLevel2X 3 2 4 2" xfId="17889" xr:uid="{581661E0-247F-4AE9-8F4C-E81A9BC6427D}"/>
    <cellStyle name="SAPBEXHLevel2X 3 2 5" xfId="17890" xr:uid="{12087D70-0D47-4051-B853-878F921985E0}"/>
    <cellStyle name="SAPBEXHLevel2X 3 2 5 2" xfId="17891" xr:uid="{EA8F79E3-B564-44C0-80A9-7A333B506057}"/>
    <cellStyle name="SAPBEXHLevel2X 3 2 6" xfId="17892" xr:uid="{5ABD919F-0D68-4FA7-98AA-2F13CA9DF38D}"/>
    <cellStyle name="SAPBEXHLevel2X 3 2 6 2" xfId="17893" xr:uid="{AD94C60F-C3D8-4526-9F11-5A4F31ECBFF5}"/>
    <cellStyle name="SAPBEXHLevel2X 3 2 7" xfId="17894" xr:uid="{4C37DE05-EB71-455E-9579-5C96B7BBB2AC}"/>
    <cellStyle name="SAPBEXHLevel2X 3 2 7 2" xfId="17895" xr:uid="{B80B8412-8150-47CA-920C-6C48C448F75D}"/>
    <cellStyle name="SAPBEXHLevel2X 3 2 8" xfId="17896" xr:uid="{C59DFE57-7530-4665-BC53-31FC11DF78B8}"/>
    <cellStyle name="SAPBEXHLevel2X 3 2 8 2" xfId="17897" xr:uid="{D2558653-D6AC-4186-BB89-1092C96F7DAF}"/>
    <cellStyle name="SAPBEXHLevel2X 3 2 9" xfId="17898" xr:uid="{DAD6D30A-8840-4CAB-AAE3-3C1355B0C5D3}"/>
    <cellStyle name="SAPBEXHLevel2X 3 2 9 2" xfId="17899" xr:uid="{A7D43CC4-C0BA-4962-91E7-CC4F84B8EB78}"/>
    <cellStyle name="SAPBEXHLevel2X 3 3" xfId="17900" xr:uid="{9D8DD442-586F-41D4-A56E-7ED63A7B7AD8}"/>
    <cellStyle name="SAPBEXHLevel2X 3 3 10" xfId="17901" xr:uid="{790DDD2A-6FB0-4A81-B122-53F2333A495C}"/>
    <cellStyle name="SAPBEXHLevel2X 3 3 10 2" xfId="17902" xr:uid="{3866DFA6-07C6-4036-BA08-61B5530B2805}"/>
    <cellStyle name="SAPBEXHLevel2X 3 3 11" xfId="17903" xr:uid="{B80B0FEE-23CA-43B9-9CA8-7CF06ACD4660}"/>
    <cellStyle name="SAPBEXHLevel2X 3 3 11 2" xfId="17904" xr:uid="{366F2FF5-3EEC-48B2-A0B6-4CE1C393323C}"/>
    <cellStyle name="SAPBEXHLevel2X 3 3 12" xfId="17905" xr:uid="{2743AC81-D507-4FE9-9CBE-493328054B22}"/>
    <cellStyle name="SAPBEXHLevel2X 3 3 12 2" xfId="17906" xr:uid="{FFCE163B-B3F1-49E7-BD18-D7F2D0B217E5}"/>
    <cellStyle name="SAPBEXHLevel2X 3 3 13" xfId="17907" xr:uid="{ECFA43AE-C238-406C-B9CD-1DBCD757BEE3}"/>
    <cellStyle name="SAPBEXHLevel2X 3 3 13 2" xfId="17908" xr:uid="{60178208-2897-4BBD-8CB8-239F9DDB61EA}"/>
    <cellStyle name="SAPBEXHLevel2X 3 3 14" xfId="17909" xr:uid="{CD945CAA-36B1-4FB9-91AE-83C4CA132F3E}"/>
    <cellStyle name="SAPBEXHLevel2X 3 3 14 2" xfId="17910" xr:uid="{F0BE9AF3-3D11-4A9E-9E86-F365F97B8443}"/>
    <cellStyle name="SAPBEXHLevel2X 3 3 15" xfId="17911" xr:uid="{39989D8A-82AD-4D25-A7D9-6FC57BD9E293}"/>
    <cellStyle name="SAPBEXHLevel2X 3 3 15 2" xfId="17912" xr:uid="{64C733A7-88FC-4733-B733-C79803452882}"/>
    <cellStyle name="SAPBEXHLevel2X 3 3 16" xfId="17913" xr:uid="{4E3A81DB-2A9D-48F6-9699-128B7C698E09}"/>
    <cellStyle name="SAPBEXHLevel2X 3 3 2" xfId="17914" xr:uid="{F3EF0E11-63BE-4ABB-96E5-CAAF5A7E98B7}"/>
    <cellStyle name="SAPBEXHLevel2X 3 3 2 2" xfId="17915" xr:uid="{445B3CE0-CD5A-4CF3-BF8D-913C5576DFD6}"/>
    <cellStyle name="SAPBEXHLevel2X 3 3 3" xfId="17916" xr:uid="{0E3C31AA-764D-4B93-8C17-168708258969}"/>
    <cellStyle name="SAPBEXHLevel2X 3 3 3 2" xfId="17917" xr:uid="{0BD66A5C-7A71-4037-808C-A06028E1A2E5}"/>
    <cellStyle name="SAPBEXHLevel2X 3 3 4" xfId="17918" xr:uid="{7265BB0D-CE31-46EF-9740-5EA14E4A0B9C}"/>
    <cellStyle name="SAPBEXHLevel2X 3 3 4 2" xfId="17919" xr:uid="{38054690-85B0-4920-804D-159157B2BAC3}"/>
    <cellStyle name="SAPBEXHLevel2X 3 3 5" xfId="17920" xr:uid="{4CAF36CB-B8A9-4BE2-BA83-9B7240C1BC08}"/>
    <cellStyle name="SAPBEXHLevel2X 3 3 5 2" xfId="17921" xr:uid="{8EFFEF57-4D6F-4C49-8531-82430700E9DE}"/>
    <cellStyle name="SAPBEXHLevel2X 3 3 6" xfId="17922" xr:uid="{EEF9D88B-2412-4FE2-B058-BC8D7809B338}"/>
    <cellStyle name="SAPBEXHLevel2X 3 3 6 2" xfId="17923" xr:uid="{0DBB044F-607B-4A61-9F92-656F707066D8}"/>
    <cellStyle name="SAPBEXHLevel2X 3 3 7" xfId="17924" xr:uid="{26922077-DC8D-4771-8DB0-CCF5AAAB4EEA}"/>
    <cellStyle name="SAPBEXHLevel2X 3 3 7 2" xfId="17925" xr:uid="{2265A2C9-2000-4F49-A6AB-BB0DBCF6B80E}"/>
    <cellStyle name="SAPBEXHLevel2X 3 3 8" xfId="17926" xr:uid="{21C6C116-49FE-4468-8369-D338861D5310}"/>
    <cellStyle name="SAPBEXHLevel2X 3 3 8 2" xfId="17927" xr:uid="{34ED8365-1EE0-4A02-8441-4603A7D04569}"/>
    <cellStyle name="SAPBEXHLevel2X 3 3 9" xfId="17928" xr:uid="{8D95A92E-F303-48DE-BABC-D701868A4615}"/>
    <cellStyle name="SAPBEXHLevel2X 3 3 9 2" xfId="17929" xr:uid="{4E1AD928-7BB8-4937-8061-B72BC46ACDD0}"/>
    <cellStyle name="SAPBEXHLevel2X 3 4" xfId="17930" xr:uid="{818232A5-2283-49BB-982D-9B7E75F3F527}"/>
    <cellStyle name="SAPBEXHLevel2X 3 4 2" xfId="17931" xr:uid="{32326BE2-BC5B-4654-9C7A-63BE5A146AED}"/>
    <cellStyle name="SAPBEXHLevel2X 3 5" xfId="17932" xr:uid="{7F79CE8C-7EF1-46A3-9492-7F2F696F1920}"/>
    <cellStyle name="SAPBEXHLevel2X 3 5 2" xfId="17933" xr:uid="{2228DB53-F2E5-4B0E-B65C-D515392D69C0}"/>
    <cellStyle name="SAPBEXHLevel2X 3 6" xfId="17934" xr:uid="{921D6C1E-1E61-4B75-BDF8-920C99F0AB7D}"/>
    <cellStyle name="SAPBEXHLevel2X 3 6 2" xfId="17935" xr:uid="{AC3D603E-A61E-49F3-B2B7-E3A361229EB8}"/>
    <cellStyle name="SAPBEXHLevel2X 3 7" xfId="17936" xr:uid="{D87FF4E5-6443-46E0-9F00-B604E2F1D7AF}"/>
    <cellStyle name="SAPBEXHLevel2X 3 7 2" xfId="17937" xr:uid="{7CBE7965-D5A1-4FAB-9254-9CB64302D696}"/>
    <cellStyle name="SAPBEXHLevel2X 3 8" xfId="17938" xr:uid="{DBB985AA-1304-4829-A5ED-F03DD3314027}"/>
    <cellStyle name="SAPBEXHLevel2X 3 8 2" xfId="17939" xr:uid="{269ED73F-1B9E-4E4F-BC83-6750E91A8E98}"/>
    <cellStyle name="SAPBEXHLevel2X 3 9" xfId="17940" xr:uid="{EB4B13BE-3F14-43AC-967F-EE619FFE952B}"/>
    <cellStyle name="SAPBEXHLevel2X 3 9 2" xfId="17941" xr:uid="{C538DE91-12F4-41D5-8438-C92880DE4E7C}"/>
    <cellStyle name="SAPBEXHLevel2X 3_T1 ANSP" xfId="17852" xr:uid="{ABF065CE-7573-43A2-8D1C-C92A4C5F01F9}"/>
    <cellStyle name="SAPBEXHLevel2X 4" xfId="17942" xr:uid="{0C83BFA9-0D89-4AD5-A4B4-6E4B7803BEC9}"/>
    <cellStyle name="SAPBEXHLevel2X 4 10" xfId="17943" xr:uid="{B8C321CF-7031-48B2-9F98-1DBFF946B1F9}"/>
    <cellStyle name="SAPBEXHLevel2X 4 10 2" xfId="17944" xr:uid="{3FF4CF9D-5844-44FF-BFF3-6A4FEE652DF5}"/>
    <cellStyle name="SAPBEXHLevel2X 4 11" xfId="17945" xr:uid="{1ADF7B41-B8F3-44A7-A0D9-9B1CC13B4225}"/>
    <cellStyle name="SAPBEXHLevel2X 4 11 2" xfId="17946" xr:uid="{283ADAE5-BE2E-404F-9C71-24637B79CB6A}"/>
    <cellStyle name="SAPBEXHLevel2X 4 12" xfId="17947" xr:uid="{3C3798BE-9711-48D8-8F2F-0140D7A58F85}"/>
    <cellStyle name="SAPBEXHLevel2X 4 12 2" xfId="17948" xr:uid="{8C186B20-61D8-40A0-AFE1-B2D3FFAAECE1}"/>
    <cellStyle name="SAPBEXHLevel2X 4 13" xfId="17949" xr:uid="{448C28C2-6F29-4253-94AE-5E0AA4E86E78}"/>
    <cellStyle name="SAPBEXHLevel2X 4 13 2" xfId="17950" xr:uid="{D287E383-7C5E-4D35-85C8-0EE6C00E9BF2}"/>
    <cellStyle name="SAPBEXHLevel2X 4 14" xfId="17951" xr:uid="{60138961-7395-4C23-B55B-8129243EBCE2}"/>
    <cellStyle name="SAPBEXHLevel2X 4 14 2" xfId="17952" xr:uid="{398724F2-47B6-4141-AFC7-25F0AA328196}"/>
    <cellStyle name="SAPBEXHLevel2X 4 15" xfId="17953" xr:uid="{331F4F3E-EB4B-448A-A47D-8BF443569B37}"/>
    <cellStyle name="SAPBEXHLevel2X 4 15 2" xfId="17954" xr:uid="{13F2AE49-F4DB-4651-ADA1-628CD729C178}"/>
    <cellStyle name="SAPBEXHLevel2X 4 16" xfId="17955" xr:uid="{E08AFC5F-8D46-4C05-BB97-E7934B8DC6F6}"/>
    <cellStyle name="SAPBEXHLevel2X 4 16 2" xfId="17956" xr:uid="{1A687F89-9E66-4D54-9894-025A5F72CDB5}"/>
    <cellStyle name="SAPBEXHLevel2X 4 17" xfId="17957" xr:uid="{6BD426D6-34F7-4F42-9909-FA23FF574A18}"/>
    <cellStyle name="SAPBEXHLevel2X 4 17 2" xfId="17958" xr:uid="{18ADC817-2EB7-44C5-A188-2F670F956D33}"/>
    <cellStyle name="SAPBEXHLevel2X 4 18" xfId="17959" xr:uid="{51796C6F-ECD9-4774-9E5D-A5216EBBB295}"/>
    <cellStyle name="SAPBEXHLevel2X 4 2" xfId="17960" xr:uid="{7168FDFD-C66E-4E83-B33F-CC6DAE555E25}"/>
    <cellStyle name="SAPBEXHLevel2X 4 2 10" xfId="17961" xr:uid="{19A8DA32-54BF-4B72-A613-6B5267B72A46}"/>
    <cellStyle name="SAPBEXHLevel2X 4 2 10 2" xfId="17962" xr:uid="{F31E83B0-DB3D-47D2-855F-D75D256CCE73}"/>
    <cellStyle name="SAPBEXHLevel2X 4 2 11" xfId="17963" xr:uid="{3688C8F8-D547-4D12-895B-7E0A917974B2}"/>
    <cellStyle name="SAPBEXHLevel2X 4 2 11 2" xfId="17964" xr:uid="{6FE5CF51-605B-4B31-A198-E7E29C111F04}"/>
    <cellStyle name="SAPBEXHLevel2X 4 2 12" xfId="17965" xr:uid="{D45BA22B-F68C-45B5-B584-857EF87E0A7A}"/>
    <cellStyle name="SAPBEXHLevel2X 4 2 12 2" xfId="17966" xr:uid="{DEA22139-F59A-4B66-8916-EFC963E5ACB2}"/>
    <cellStyle name="SAPBEXHLevel2X 4 2 13" xfId="17967" xr:uid="{05B42B27-8025-4AA1-A4B5-A8C87D248162}"/>
    <cellStyle name="SAPBEXHLevel2X 4 2 13 2" xfId="17968" xr:uid="{1BF48969-03FC-4F1C-AE3D-7FD6C31498FB}"/>
    <cellStyle name="SAPBEXHLevel2X 4 2 14" xfId="17969" xr:uid="{365B8675-EC9C-416F-946A-AF15C6A24348}"/>
    <cellStyle name="SAPBEXHLevel2X 4 2 14 2" xfId="17970" xr:uid="{3FF0166A-1B7E-47BE-A36D-F86299D35741}"/>
    <cellStyle name="SAPBEXHLevel2X 4 2 15" xfId="17971" xr:uid="{35E143AF-B6DC-4282-B037-D0324D795B00}"/>
    <cellStyle name="SAPBEXHLevel2X 4 2 15 2" xfId="17972" xr:uid="{B22D15C7-1C66-42E1-868D-4B027CC69FB9}"/>
    <cellStyle name="SAPBEXHLevel2X 4 2 16" xfId="17973" xr:uid="{0341FFCB-608B-491A-B86B-261AC9DEF403}"/>
    <cellStyle name="SAPBEXHLevel2X 4 2 2" xfId="17974" xr:uid="{5693A3A0-4BE2-4534-8709-608E7B0E3C35}"/>
    <cellStyle name="SAPBEXHLevel2X 4 2 2 2" xfId="17975" xr:uid="{23BA186C-B5B8-4F5D-BDCD-12C48EE740E3}"/>
    <cellStyle name="SAPBEXHLevel2X 4 2 3" xfId="17976" xr:uid="{DBA55DB7-FCAA-4272-93B4-BEDD4F066537}"/>
    <cellStyle name="SAPBEXHLevel2X 4 2 3 2" xfId="17977" xr:uid="{CE77B3DD-C90E-41AD-BFB6-176804FDDC81}"/>
    <cellStyle name="SAPBEXHLevel2X 4 2 4" xfId="17978" xr:uid="{D4B8CAD7-3DD8-4D35-AC93-E4A37760BFD4}"/>
    <cellStyle name="SAPBEXHLevel2X 4 2 4 2" xfId="17979" xr:uid="{EBF03E24-5327-477A-9F0D-D7031EA45467}"/>
    <cellStyle name="SAPBEXHLevel2X 4 2 5" xfId="17980" xr:uid="{20DFBE1F-66E1-41A7-ACA3-A37BD6A3E28F}"/>
    <cellStyle name="SAPBEXHLevel2X 4 2 5 2" xfId="17981" xr:uid="{5DC80B6A-7980-42DB-8576-FB2D060CAD0C}"/>
    <cellStyle name="SAPBEXHLevel2X 4 2 6" xfId="17982" xr:uid="{8CF68A84-632B-4A73-B3C9-6BB082436DDE}"/>
    <cellStyle name="SAPBEXHLevel2X 4 2 6 2" xfId="17983" xr:uid="{1AFC4D2E-69FF-4B71-86BE-22BDC380F6EB}"/>
    <cellStyle name="SAPBEXHLevel2X 4 2 7" xfId="17984" xr:uid="{89B25CC4-15F3-4CB4-97AC-55A550A6736F}"/>
    <cellStyle name="SAPBEXHLevel2X 4 2 7 2" xfId="17985" xr:uid="{AFBB2143-311C-48B7-9AAB-2E393C6C4560}"/>
    <cellStyle name="SAPBEXHLevel2X 4 2 8" xfId="17986" xr:uid="{7C554FB4-E58A-4EEB-A6EF-95BCF107A205}"/>
    <cellStyle name="SAPBEXHLevel2X 4 2 8 2" xfId="17987" xr:uid="{881C2B61-7675-41D1-9820-68BF62B410CA}"/>
    <cellStyle name="SAPBEXHLevel2X 4 2 9" xfId="17988" xr:uid="{FB5A0D07-E4C4-433E-B9F2-95BB759C9BB2}"/>
    <cellStyle name="SAPBEXHLevel2X 4 2 9 2" xfId="17989" xr:uid="{AE812F8A-AC89-4BEB-96AE-E9CE68F2F527}"/>
    <cellStyle name="SAPBEXHLevel2X 4 3" xfId="17990" xr:uid="{1A5860EC-1E99-40EC-AE9C-7E9F6C8DA9C0}"/>
    <cellStyle name="SAPBEXHLevel2X 4 3 10" xfId="17991" xr:uid="{9EC3080A-45C5-4028-B8C5-F70CE2669FE9}"/>
    <cellStyle name="SAPBEXHLevel2X 4 3 10 2" xfId="17992" xr:uid="{E8A37518-6F09-40F5-AE03-822BC7E91DB3}"/>
    <cellStyle name="SAPBEXHLevel2X 4 3 11" xfId="17993" xr:uid="{C0144F80-4594-43FA-9605-CA936A066C75}"/>
    <cellStyle name="SAPBEXHLevel2X 4 3 11 2" xfId="17994" xr:uid="{D0BCCE23-BFDC-42AB-98D9-8D84DDC930DE}"/>
    <cellStyle name="SAPBEXHLevel2X 4 3 12" xfId="17995" xr:uid="{4719CD80-BB38-44B3-99B9-8BC53BF13E4E}"/>
    <cellStyle name="SAPBEXHLevel2X 4 3 12 2" xfId="17996" xr:uid="{65745B19-A7B3-4583-8F1F-7FB0F67132C6}"/>
    <cellStyle name="SAPBEXHLevel2X 4 3 13" xfId="17997" xr:uid="{BD0871D9-15FA-4FDE-85D2-3A1E2466D7DD}"/>
    <cellStyle name="SAPBEXHLevel2X 4 3 13 2" xfId="17998" xr:uid="{37349744-B6B7-41DE-9F32-22DB228492F5}"/>
    <cellStyle name="SAPBEXHLevel2X 4 3 14" xfId="17999" xr:uid="{C05AB60E-4D35-41D0-849F-1926D40CED7E}"/>
    <cellStyle name="SAPBEXHLevel2X 4 3 14 2" xfId="18000" xr:uid="{D9F7F296-0CF3-42D5-8AD4-E9A7A52CF78A}"/>
    <cellStyle name="SAPBEXHLevel2X 4 3 15" xfId="18001" xr:uid="{E2255989-A706-49ED-8002-FDEA47155162}"/>
    <cellStyle name="SAPBEXHLevel2X 4 3 15 2" xfId="18002" xr:uid="{A91D7315-39BB-4BA6-B98D-308713846921}"/>
    <cellStyle name="SAPBEXHLevel2X 4 3 16" xfId="18003" xr:uid="{F4883275-0173-47C8-B2D2-5C8E3099B4C6}"/>
    <cellStyle name="SAPBEXHLevel2X 4 3 2" xfId="18004" xr:uid="{25D6FF60-6BD9-4881-92F2-C0DE6CEF78E8}"/>
    <cellStyle name="SAPBEXHLevel2X 4 3 2 2" xfId="18005" xr:uid="{28A6D6CD-F8FA-4CCB-B93A-877E57D107C3}"/>
    <cellStyle name="SAPBEXHLevel2X 4 3 3" xfId="18006" xr:uid="{02C26B00-5AAB-40AF-9487-AEEF7D961DE4}"/>
    <cellStyle name="SAPBEXHLevel2X 4 3 3 2" xfId="18007" xr:uid="{D794B60B-37F5-4741-9DBB-54A8C8C345C1}"/>
    <cellStyle name="SAPBEXHLevel2X 4 3 4" xfId="18008" xr:uid="{49DFAA2A-4215-46D4-B9A7-688C9396756D}"/>
    <cellStyle name="SAPBEXHLevel2X 4 3 4 2" xfId="18009" xr:uid="{5B93BFB1-C738-4CAC-8D7A-85871D7B5D49}"/>
    <cellStyle name="SAPBEXHLevel2X 4 3 5" xfId="18010" xr:uid="{463579D1-35C1-4554-96B3-E7A7174DFB7B}"/>
    <cellStyle name="SAPBEXHLevel2X 4 3 5 2" xfId="18011" xr:uid="{FEF09AA4-533B-4AFE-9BCE-43A49C91AD0D}"/>
    <cellStyle name="SAPBEXHLevel2X 4 3 6" xfId="18012" xr:uid="{BF827315-8C1B-4050-AB1B-28F3F954B484}"/>
    <cellStyle name="SAPBEXHLevel2X 4 3 6 2" xfId="18013" xr:uid="{B40F8FE7-28BB-4245-8D1E-5668085BF041}"/>
    <cellStyle name="SAPBEXHLevel2X 4 3 7" xfId="18014" xr:uid="{FACF34C1-A59F-4F76-9E52-F9889D59FF07}"/>
    <cellStyle name="SAPBEXHLevel2X 4 3 7 2" xfId="18015" xr:uid="{3B915BF4-ED31-4168-9936-15848EF97F20}"/>
    <cellStyle name="SAPBEXHLevel2X 4 3 8" xfId="18016" xr:uid="{39CE1C35-591E-48F3-9FF8-C8152B028C81}"/>
    <cellStyle name="SAPBEXHLevel2X 4 3 8 2" xfId="18017" xr:uid="{793ACDFA-23CF-4DFE-A235-FDBFBD531BCE}"/>
    <cellStyle name="SAPBEXHLevel2X 4 3 9" xfId="18018" xr:uid="{9645CB56-9FF3-4FD0-9719-40B7F55464E3}"/>
    <cellStyle name="SAPBEXHLevel2X 4 3 9 2" xfId="18019" xr:uid="{EBC42910-847A-4A5A-8CFB-C4F4B771F3E3}"/>
    <cellStyle name="SAPBEXHLevel2X 4 4" xfId="18020" xr:uid="{73010223-7C01-4F3F-81C0-8B453AAA9821}"/>
    <cellStyle name="SAPBEXHLevel2X 4 4 2" xfId="18021" xr:uid="{80D72DA4-178B-44E6-BD2F-A8D468F14321}"/>
    <cellStyle name="SAPBEXHLevel2X 4 5" xfId="18022" xr:uid="{C9039981-8E6B-44A2-A586-D3DA4E406B8E}"/>
    <cellStyle name="SAPBEXHLevel2X 4 5 2" xfId="18023" xr:uid="{9EA6BFE8-E60D-472B-90DE-BD77253CD2B3}"/>
    <cellStyle name="SAPBEXHLevel2X 4 6" xfId="18024" xr:uid="{7977D3C8-15D0-4FF0-8AD9-85F440CBCD5D}"/>
    <cellStyle name="SAPBEXHLevel2X 4 6 2" xfId="18025" xr:uid="{363F2CA0-15E2-4DC5-945D-8D034519A48F}"/>
    <cellStyle name="SAPBEXHLevel2X 4 7" xfId="18026" xr:uid="{B416B41F-4B07-4C56-9DE0-D5A140C8F9CA}"/>
    <cellStyle name="SAPBEXHLevel2X 4 7 2" xfId="18027" xr:uid="{202B2890-55FF-4FBF-884A-ABED7B22BDD3}"/>
    <cellStyle name="SAPBEXHLevel2X 4 8" xfId="18028" xr:uid="{A5A998A4-D21F-4B8B-8334-9D8CACEDCF30}"/>
    <cellStyle name="SAPBEXHLevel2X 4 8 2" xfId="18029" xr:uid="{1BE6F8EA-0E4C-4844-88F4-FB50F372C7AF}"/>
    <cellStyle name="SAPBEXHLevel2X 4 9" xfId="18030" xr:uid="{5DF4F307-6836-4189-8CCF-7670372301E7}"/>
    <cellStyle name="SAPBEXHLevel2X 4 9 2" xfId="18031" xr:uid="{ED666645-2C6F-486E-A71C-C4CDCAA117CA}"/>
    <cellStyle name="SAPBEXHLevel2X 5" xfId="18032" xr:uid="{F08EE955-4EBD-40FC-873D-BEDD0F97DDCC}"/>
    <cellStyle name="SAPBEXHLevel2X 5 10" xfId="18033" xr:uid="{A26F0024-641B-44AD-9F87-ECF3801A3FDB}"/>
    <cellStyle name="SAPBEXHLevel2X 5 10 2" xfId="18034" xr:uid="{A020E313-9303-4172-92F3-D053F6AD5BED}"/>
    <cellStyle name="SAPBEXHLevel2X 5 11" xfId="18035" xr:uid="{83C5AB0C-EE2F-4E87-A0E8-E6CFC4256D67}"/>
    <cellStyle name="SAPBEXHLevel2X 5 11 2" xfId="18036" xr:uid="{DB4760B0-80F3-4892-817D-D0E9381548A2}"/>
    <cellStyle name="SAPBEXHLevel2X 5 12" xfId="18037" xr:uid="{08C08EF1-C32B-433D-91C9-F8192BCFC23F}"/>
    <cellStyle name="SAPBEXHLevel2X 5 12 2" xfId="18038" xr:uid="{AEE59418-EDE2-4994-91D6-2120A30FE77A}"/>
    <cellStyle name="SAPBEXHLevel2X 5 13" xfId="18039" xr:uid="{409A94DC-50D3-4022-A54C-21856066C4C3}"/>
    <cellStyle name="SAPBEXHLevel2X 5 13 2" xfId="18040" xr:uid="{84B018AF-CDB1-4B0D-871C-026B2A2853EF}"/>
    <cellStyle name="SAPBEXHLevel2X 5 14" xfId="18041" xr:uid="{128ECCB3-F7F7-456D-88D7-BD243C186916}"/>
    <cellStyle name="SAPBEXHLevel2X 5 14 2" xfId="18042" xr:uid="{94C4CA6A-E5A7-43E0-845C-9B5941F6AFE8}"/>
    <cellStyle name="SAPBEXHLevel2X 5 15" xfId="18043" xr:uid="{41554328-303A-4B16-9193-1BF89D9EE9B4}"/>
    <cellStyle name="SAPBEXHLevel2X 5 15 2" xfId="18044" xr:uid="{8D499A5C-2979-4E96-A5F2-973A5825B1DB}"/>
    <cellStyle name="SAPBEXHLevel2X 5 16" xfId="18045" xr:uid="{B49035AD-700D-4EE6-9A21-21D621EC335F}"/>
    <cellStyle name="SAPBEXHLevel2X 5 16 2" xfId="18046" xr:uid="{A06E2DBC-A1F8-4EDF-9B32-DA1EA80477A3}"/>
    <cellStyle name="SAPBEXHLevel2X 5 17" xfId="18047" xr:uid="{C5366C37-4991-4E30-ACE4-9B8A5F6FAE41}"/>
    <cellStyle name="SAPBEXHLevel2X 5 17 2" xfId="18048" xr:uid="{F6ECA416-D372-47F5-B7AA-05D625B96CD9}"/>
    <cellStyle name="SAPBEXHLevel2X 5 18" xfId="18049" xr:uid="{79FEC395-A878-4C05-8ED6-01DE10C55F86}"/>
    <cellStyle name="SAPBEXHLevel2X 5 2" xfId="18050" xr:uid="{EDB47A8F-AA3B-4191-BE68-09B4B243E829}"/>
    <cellStyle name="SAPBEXHLevel2X 5 2 10" xfId="18051" xr:uid="{61719070-386E-44D0-9C72-5C008DCAEEA5}"/>
    <cellStyle name="SAPBEXHLevel2X 5 2 10 2" xfId="18052" xr:uid="{65DE272C-CA0D-4C47-835E-9B7B1DEC7936}"/>
    <cellStyle name="SAPBEXHLevel2X 5 2 11" xfId="18053" xr:uid="{59B8B582-1798-4FF2-93C6-46DB079F7E34}"/>
    <cellStyle name="SAPBEXHLevel2X 5 2 11 2" xfId="18054" xr:uid="{6D9C7618-D7B2-4ED6-AEDE-53EC1CF623D3}"/>
    <cellStyle name="SAPBEXHLevel2X 5 2 12" xfId="18055" xr:uid="{1DF37327-F151-4A3D-926B-2D8D39569A4F}"/>
    <cellStyle name="SAPBEXHLevel2X 5 2 12 2" xfId="18056" xr:uid="{D7EE5C44-60D3-4C76-9EF8-4BA091765757}"/>
    <cellStyle name="SAPBEXHLevel2X 5 2 13" xfId="18057" xr:uid="{C9C5E274-2C13-4F11-894C-25353217D909}"/>
    <cellStyle name="SAPBEXHLevel2X 5 2 13 2" xfId="18058" xr:uid="{55034460-FA5B-4BE0-9E7C-C7E98CAA252B}"/>
    <cellStyle name="SAPBEXHLevel2X 5 2 14" xfId="18059" xr:uid="{7CF6B19F-F02E-46EB-9085-BB2AC28D1CE0}"/>
    <cellStyle name="SAPBEXHLevel2X 5 2 14 2" xfId="18060" xr:uid="{3430B812-4EF9-4AC1-AD60-46B76E5260AD}"/>
    <cellStyle name="SAPBEXHLevel2X 5 2 15" xfId="18061" xr:uid="{63638D08-D3D3-485F-8A03-EB0DA5C69500}"/>
    <cellStyle name="SAPBEXHLevel2X 5 2 15 2" xfId="18062" xr:uid="{B4939076-2A79-4988-9773-C8DAF14CAFE7}"/>
    <cellStyle name="SAPBEXHLevel2X 5 2 16" xfId="18063" xr:uid="{3B8E6630-D93D-48F9-9E9D-05E1835C2559}"/>
    <cellStyle name="SAPBEXHLevel2X 5 2 2" xfId="18064" xr:uid="{1B1C6129-B325-474A-80C5-2E31C0D7E826}"/>
    <cellStyle name="SAPBEXHLevel2X 5 2 2 2" xfId="18065" xr:uid="{D8BEF7DF-0174-4754-8CBF-B45E904D751C}"/>
    <cellStyle name="SAPBEXHLevel2X 5 2 3" xfId="18066" xr:uid="{10A1229F-59C3-413C-AAA4-FBD59E134303}"/>
    <cellStyle name="SAPBEXHLevel2X 5 2 3 2" xfId="18067" xr:uid="{D7A075E2-5FBB-4B79-87F3-E84BD8BEA5FC}"/>
    <cellStyle name="SAPBEXHLevel2X 5 2 4" xfId="18068" xr:uid="{8D11778A-373F-4FDC-A762-CC5DA3515BEF}"/>
    <cellStyle name="SAPBEXHLevel2X 5 2 4 2" xfId="18069" xr:uid="{61CD99FF-ED6F-401A-B8E6-316849A3C779}"/>
    <cellStyle name="SAPBEXHLevel2X 5 2 5" xfId="18070" xr:uid="{EC276EDD-8129-41EF-A2D6-C8D17C7498B0}"/>
    <cellStyle name="SAPBEXHLevel2X 5 2 5 2" xfId="18071" xr:uid="{8CD68E1E-A9EC-46ED-BDAF-2F5CDA2CE312}"/>
    <cellStyle name="SAPBEXHLevel2X 5 2 6" xfId="18072" xr:uid="{E30CD78B-D513-4609-857F-DA1AEE9CF5A6}"/>
    <cellStyle name="SAPBEXHLevel2X 5 2 6 2" xfId="18073" xr:uid="{841F8BDD-F9D3-451B-A84D-47B6CF4DB459}"/>
    <cellStyle name="SAPBEXHLevel2X 5 2 7" xfId="18074" xr:uid="{E1559A9D-AA82-429B-A527-3EA63BFEDD99}"/>
    <cellStyle name="SAPBEXHLevel2X 5 2 7 2" xfId="18075" xr:uid="{BE441694-5252-4222-BF35-969DDC26AF13}"/>
    <cellStyle name="SAPBEXHLevel2X 5 2 8" xfId="18076" xr:uid="{8017BD44-AFB3-43F6-9E3E-29F1F0639535}"/>
    <cellStyle name="SAPBEXHLevel2X 5 2 8 2" xfId="18077" xr:uid="{02C77F55-88C4-41E8-8C96-5CD9FE0B8582}"/>
    <cellStyle name="SAPBEXHLevel2X 5 2 9" xfId="18078" xr:uid="{112E2486-194A-45BB-9F81-5EBDC612E36C}"/>
    <cellStyle name="SAPBEXHLevel2X 5 2 9 2" xfId="18079" xr:uid="{F156A898-EFB0-4D1C-89BB-A7774CEB749D}"/>
    <cellStyle name="SAPBEXHLevel2X 5 3" xfId="18080" xr:uid="{B13FCF2E-E233-4BF4-93E9-C2070CBD1899}"/>
    <cellStyle name="SAPBEXHLevel2X 5 3 10" xfId="18081" xr:uid="{9353BB47-0580-49B7-843F-4D0A26A8A55E}"/>
    <cellStyle name="SAPBEXHLevel2X 5 3 10 2" xfId="18082" xr:uid="{0E53FC90-7FF0-4C8C-BAD3-791E56C82D65}"/>
    <cellStyle name="SAPBEXHLevel2X 5 3 11" xfId="18083" xr:uid="{A0A47077-456E-49B7-8046-5462B5A63893}"/>
    <cellStyle name="SAPBEXHLevel2X 5 3 11 2" xfId="18084" xr:uid="{932757B2-F4FE-4240-B2FF-2E3A7EB419D9}"/>
    <cellStyle name="SAPBEXHLevel2X 5 3 12" xfId="18085" xr:uid="{1B38E73B-CC6F-4361-9DB6-1992BA9E483F}"/>
    <cellStyle name="SAPBEXHLevel2X 5 3 12 2" xfId="18086" xr:uid="{9323115D-8763-49F3-9CBE-1EE0F517D7C1}"/>
    <cellStyle name="SAPBEXHLevel2X 5 3 13" xfId="18087" xr:uid="{0D203743-B382-493E-8856-E906B1D79A19}"/>
    <cellStyle name="SAPBEXHLevel2X 5 3 13 2" xfId="18088" xr:uid="{A2FB1822-F138-4493-AD78-138C98C7D3D0}"/>
    <cellStyle name="SAPBEXHLevel2X 5 3 14" xfId="18089" xr:uid="{29F10544-E1E0-4431-8D9B-72E3360DF8D5}"/>
    <cellStyle name="SAPBEXHLevel2X 5 3 14 2" xfId="18090" xr:uid="{BA7D24E3-78AF-4459-95FE-B2D830BA89C4}"/>
    <cellStyle name="SAPBEXHLevel2X 5 3 15" xfId="18091" xr:uid="{94AE999F-0ADA-4A80-B18C-4055AD71F87F}"/>
    <cellStyle name="SAPBEXHLevel2X 5 3 15 2" xfId="18092" xr:uid="{9BE8A3BC-787D-435D-8702-03C04712EA24}"/>
    <cellStyle name="SAPBEXHLevel2X 5 3 16" xfId="18093" xr:uid="{9E1F8B13-A468-4D10-BDD1-A7293614DAF5}"/>
    <cellStyle name="SAPBEXHLevel2X 5 3 2" xfId="18094" xr:uid="{9AA818E5-5CF5-4DF8-85E9-F51901548D08}"/>
    <cellStyle name="SAPBEXHLevel2X 5 3 2 2" xfId="18095" xr:uid="{DA8483C4-9D31-4178-9BFC-0D036D0BBDA6}"/>
    <cellStyle name="SAPBEXHLevel2X 5 3 3" xfId="18096" xr:uid="{72EE964B-3D07-4262-848A-D3F658427768}"/>
    <cellStyle name="SAPBEXHLevel2X 5 3 3 2" xfId="18097" xr:uid="{1E5D3785-9F9C-48A2-BA13-439C461F77D8}"/>
    <cellStyle name="SAPBEXHLevel2X 5 3 4" xfId="18098" xr:uid="{5935764D-E1CD-46B4-8164-39FBEDC31A0C}"/>
    <cellStyle name="SAPBEXHLevel2X 5 3 4 2" xfId="18099" xr:uid="{F4DB93AA-3367-4955-8AEF-1B273A3CF988}"/>
    <cellStyle name="SAPBEXHLevel2X 5 3 5" xfId="18100" xr:uid="{34EE0433-1D0B-4BF7-B303-E9CF2068BD0F}"/>
    <cellStyle name="SAPBEXHLevel2X 5 3 5 2" xfId="18101" xr:uid="{B53DB7B7-5C0F-4BF4-BF88-E57F48E7C2EF}"/>
    <cellStyle name="SAPBEXHLevel2X 5 3 6" xfId="18102" xr:uid="{2E692EEB-1258-4F0E-9915-C0467BF2E6A1}"/>
    <cellStyle name="SAPBEXHLevel2X 5 3 6 2" xfId="18103" xr:uid="{56C034C0-AC24-4AE8-9B29-A902EA7AA875}"/>
    <cellStyle name="SAPBEXHLevel2X 5 3 7" xfId="18104" xr:uid="{DE652932-02A7-4848-85A6-DD76CDD3E513}"/>
    <cellStyle name="SAPBEXHLevel2X 5 3 7 2" xfId="18105" xr:uid="{7EE834DE-5776-456F-9897-17BCD5FC8645}"/>
    <cellStyle name="SAPBEXHLevel2X 5 3 8" xfId="18106" xr:uid="{C9FCC9C1-D3FA-4000-8520-64F75A1D927A}"/>
    <cellStyle name="SAPBEXHLevel2X 5 3 8 2" xfId="18107" xr:uid="{05D30453-CBF1-418F-8B48-1B839691DC07}"/>
    <cellStyle name="SAPBEXHLevel2X 5 3 9" xfId="18108" xr:uid="{64B3CEED-0B1D-47E9-A7D5-D33DE5959BDA}"/>
    <cellStyle name="SAPBEXHLevel2X 5 3 9 2" xfId="18109" xr:uid="{F470D908-5F88-471E-973A-B68B17F83D4B}"/>
    <cellStyle name="SAPBEXHLevel2X 5 4" xfId="18110" xr:uid="{D010D1C6-D132-4129-95E4-D7248627E94C}"/>
    <cellStyle name="SAPBEXHLevel2X 5 4 2" xfId="18111" xr:uid="{6F7D4854-1E77-47FF-9023-332A6921FC77}"/>
    <cellStyle name="SAPBEXHLevel2X 5 5" xfId="18112" xr:uid="{8E35A4CF-C62D-4DA7-BFA3-6A8AD6839424}"/>
    <cellStyle name="SAPBEXHLevel2X 5 5 2" xfId="18113" xr:uid="{CFAD0ACB-D521-4AF8-A384-71D20642C821}"/>
    <cellStyle name="SAPBEXHLevel2X 5 6" xfId="18114" xr:uid="{06395495-D04A-4767-A288-4C1097DB3F58}"/>
    <cellStyle name="SAPBEXHLevel2X 5 6 2" xfId="18115" xr:uid="{01D8B9ED-DF07-4520-9F41-588E07143E84}"/>
    <cellStyle name="SAPBEXHLevel2X 5 7" xfId="18116" xr:uid="{F70CD3BF-5124-414C-ACF9-C413F937F11B}"/>
    <cellStyle name="SAPBEXHLevel2X 5 7 2" xfId="18117" xr:uid="{C3F524C9-E545-41DC-B7E2-ECE237C5B259}"/>
    <cellStyle name="SAPBEXHLevel2X 5 8" xfId="18118" xr:uid="{46CD06F3-A66A-4DC2-87F1-F81B86745B3F}"/>
    <cellStyle name="SAPBEXHLevel2X 5 8 2" xfId="18119" xr:uid="{813E1CB7-755A-40D5-B766-545545968673}"/>
    <cellStyle name="SAPBEXHLevel2X 5 9" xfId="18120" xr:uid="{4427114F-0445-4A52-A151-A26591D9FF2F}"/>
    <cellStyle name="SAPBEXHLevel2X 5 9 2" xfId="18121" xr:uid="{35E8E103-A372-4715-A64F-6B87CBF17BAB}"/>
    <cellStyle name="SAPBEXHLevel2X 6" xfId="18122" xr:uid="{A7CD89D0-9B88-485D-A0E7-A7A561725C4C}"/>
    <cellStyle name="SAPBEXHLevel2X 6 10" xfId="18123" xr:uid="{65ECAFF0-D68B-466B-BF1E-4804B2E888A1}"/>
    <cellStyle name="SAPBEXHLevel2X 6 10 2" xfId="18124" xr:uid="{5803EEA2-5A31-404B-946B-0DEE9C1420ED}"/>
    <cellStyle name="SAPBEXHLevel2X 6 11" xfId="18125" xr:uid="{C95459C9-1AAB-4A10-8EAB-38E536E4AF48}"/>
    <cellStyle name="SAPBEXHLevel2X 6 11 2" xfId="18126" xr:uid="{125559EB-5D8D-40E1-B6EE-783C943A352F}"/>
    <cellStyle name="SAPBEXHLevel2X 6 12" xfId="18127" xr:uid="{E5DD8EC0-2709-47C4-B9CB-D939A8AFFEE2}"/>
    <cellStyle name="SAPBEXHLevel2X 6 12 2" xfId="18128" xr:uid="{B3EC7186-B756-4202-8DD7-84FD40F15030}"/>
    <cellStyle name="SAPBEXHLevel2X 6 13" xfId="18129" xr:uid="{AF6F6763-E6BF-40CB-B904-91E01C6B4E71}"/>
    <cellStyle name="SAPBEXHLevel2X 6 13 2" xfId="18130" xr:uid="{4C0955F0-FEB6-4201-A6F0-59F12C68FB22}"/>
    <cellStyle name="SAPBEXHLevel2X 6 14" xfId="18131" xr:uid="{39DE1D67-FA3D-4615-9327-5106BAB3FF1F}"/>
    <cellStyle name="SAPBEXHLevel2X 6 14 2" xfId="18132" xr:uid="{140581CA-045C-4BC4-BF0D-3C4812BA827E}"/>
    <cellStyle name="SAPBEXHLevel2X 6 15" xfId="18133" xr:uid="{3405670D-04C2-4FDA-9D01-AD47E022E3F4}"/>
    <cellStyle name="SAPBEXHLevel2X 6 15 2" xfId="18134" xr:uid="{FC83593B-22C6-4D83-AA1D-A6C7A6E094C9}"/>
    <cellStyle name="SAPBEXHLevel2X 6 16" xfId="18135" xr:uid="{E6D98C2F-DB98-4C07-9C6A-EB1860E83B11}"/>
    <cellStyle name="SAPBEXHLevel2X 6 2" xfId="18136" xr:uid="{BF8BA41B-B432-462C-9304-15F221C3D517}"/>
    <cellStyle name="SAPBEXHLevel2X 6 2 2" xfId="18137" xr:uid="{1BE1AF8A-38E3-4B9D-8545-CBBE1F7CC03E}"/>
    <cellStyle name="SAPBEXHLevel2X 6 3" xfId="18138" xr:uid="{6B4EBBBC-ED92-4E6D-8B7C-761AD7416244}"/>
    <cellStyle name="SAPBEXHLevel2X 6 3 2" xfId="18139" xr:uid="{940BD0A4-F197-4EBF-AB08-8F9AF9D0C9DD}"/>
    <cellStyle name="SAPBEXHLevel2X 6 4" xfId="18140" xr:uid="{3973A102-3417-4D4B-BB24-CDE53BDA7F42}"/>
    <cellStyle name="SAPBEXHLevel2X 6 4 2" xfId="18141" xr:uid="{9E92884D-4303-4568-826F-062B8F1B10E3}"/>
    <cellStyle name="SAPBEXHLevel2X 6 5" xfId="18142" xr:uid="{64BB7385-C1CE-48C1-A105-45CCE0AF1C08}"/>
    <cellStyle name="SAPBEXHLevel2X 6 5 2" xfId="18143" xr:uid="{184C93DB-18DA-4485-89FB-D19D08E43AEE}"/>
    <cellStyle name="SAPBEXHLevel2X 6 6" xfId="18144" xr:uid="{9D472E75-BDFA-47A5-8F5E-64E31653CE5A}"/>
    <cellStyle name="SAPBEXHLevel2X 6 6 2" xfId="18145" xr:uid="{FA07DDD0-61B3-4D52-8FD6-D7770992B4EF}"/>
    <cellStyle name="SAPBEXHLevel2X 6 7" xfId="18146" xr:uid="{7F82DF42-E0C9-423D-8466-922F478356C9}"/>
    <cellStyle name="SAPBEXHLevel2X 6 7 2" xfId="18147" xr:uid="{996D935A-77B5-40D6-B354-B5F5D9F2911E}"/>
    <cellStyle name="SAPBEXHLevel2X 6 8" xfId="18148" xr:uid="{2774D000-F5D7-42DF-A32D-B539C7E22EAE}"/>
    <cellStyle name="SAPBEXHLevel2X 6 8 2" xfId="18149" xr:uid="{8CFAE6DC-08EC-4A13-9669-2252A17884CA}"/>
    <cellStyle name="SAPBEXHLevel2X 6 9" xfId="18150" xr:uid="{B0B5F464-1679-47DD-A397-ECB26A352098}"/>
    <cellStyle name="SAPBEXHLevel2X 6 9 2" xfId="18151" xr:uid="{62E60D33-E7B3-4530-A1C1-D58E2A0FC063}"/>
    <cellStyle name="SAPBEXHLevel2X 7" xfId="18152" xr:uid="{118B47BF-29B2-4AC0-8C3F-042F0A68128E}"/>
    <cellStyle name="SAPBEXHLevel2X 7 2" xfId="18153" xr:uid="{15F2E09C-08B7-456B-8962-A8311B25E7F5}"/>
    <cellStyle name="SAPBEXHLevel2X 8" xfId="18154" xr:uid="{8A4906CD-1FF7-4838-8BEB-65A99949751C}"/>
    <cellStyle name="SAPBEXHLevel2X 8 2" xfId="18155" xr:uid="{6B13DB80-1831-4D01-9569-EB4F59031651}"/>
    <cellStyle name="SAPBEXHLevel2X 9" xfId="18156" xr:uid="{A2E43705-3D91-46D7-BAA3-BF689AAE50C9}"/>
    <cellStyle name="SAPBEXHLevel2X 9 2" xfId="18157" xr:uid="{096876DC-B3FF-4F9A-AA91-237F093BDC64}"/>
    <cellStyle name="SAPBEXHLevel2X_T1 ANSP" xfId="17618" xr:uid="{447E9B01-F03E-4084-AD20-091A8A652650}"/>
    <cellStyle name="SAPBEXHLevel3" xfId="752" xr:uid="{00000000-0005-0000-0000-00009D050000}"/>
    <cellStyle name="SAPBEXHLevel3 10" xfId="18159" xr:uid="{8EBC969F-BA06-4A4C-B997-C8A8BB9692E8}"/>
    <cellStyle name="SAPBEXHLevel3 10 2" xfId="18160" xr:uid="{96BF7D89-6838-440F-BEAE-88E52A0E4837}"/>
    <cellStyle name="SAPBEXHLevel3 11" xfId="18161" xr:uid="{80B75319-2209-4909-A24F-00ADA3707592}"/>
    <cellStyle name="SAPBEXHLevel3 11 2" xfId="18162" xr:uid="{4DF9C03E-A645-4B70-90D3-9E4BAED18B0E}"/>
    <cellStyle name="SAPBEXHLevel3 12" xfId="18163" xr:uid="{23764560-ADA5-463C-91EE-E7DDA4D3FAEE}"/>
    <cellStyle name="SAPBEXHLevel3 12 2" xfId="18164" xr:uid="{0154C705-9A6E-4E7D-AB0F-3DC0AA9E4DAC}"/>
    <cellStyle name="SAPBEXHLevel3 13" xfId="18165" xr:uid="{0BB3C63C-7D6A-4843-9BD5-DB11CE7D5D05}"/>
    <cellStyle name="SAPBEXHLevel3 13 2" xfId="18166" xr:uid="{D31B8AC2-3C60-48D1-8F67-867F2794B4A8}"/>
    <cellStyle name="SAPBEXHLevel3 14" xfId="18167" xr:uid="{D018ABEC-BE86-4C16-992F-311B50C38B89}"/>
    <cellStyle name="SAPBEXHLevel3 14 2" xfId="18168" xr:uid="{4494F716-CA53-4369-9226-0432EF18675E}"/>
    <cellStyle name="SAPBEXHLevel3 15" xfId="18169" xr:uid="{8222743E-B5FC-46AC-A071-DB1A9A7F7BBE}"/>
    <cellStyle name="SAPBEXHLevel3 15 2" xfId="18170" xr:uid="{BA2E2C78-7641-4789-AF37-D5B5867751EE}"/>
    <cellStyle name="SAPBEXHLevel3 16" xfId="18171" xr:uid="{3CD8FCE9-A3B4-4397-A9A7-774B2DCFE45E}"/>
    <cellStyle name="SAPBEXHLevel3 16 2" xfId="18172" xr:uid="{377FD829-0716-4E32-8546-876371FAB2E7}"/>
    <cellStyle name="SAPBEXHLevel3 17" xfId="18173" xr:uid="{48E75106-15ED-41AA-BDC8-CE58EFC92E94}"/>
    <cellStyle name="SAPBEXHLevel3 17 2" xfId="18174" xr:uid="{908E9D74-6508-4A12-8F32-6A04ACACE4C9}"/>
    <cellStyle name="SAPBEXHLevel3 18" xfId="18175" xr:uid="{B0245517-12C2-4EEF-B645-52E096860334}"/>
    <cellStyle name="SAPBEXHLevel3 18 2" xfId="18176" xr:uid="{83736F0C-56D0-459C-9B0B-47107B335151}"/>
    <cellStyle name="SAPBEXHLevel3 19" xfId="18177" xr:uid="{2953395E-5E74-4D2B-966B-A533F1F3A6AD}"/>
    <cellStyle name="SAPBEXHLevel3 19 2" xfId="18178" xr:uid="{B03DD781-A23D-42BF-9301-EC4904A8DF28}"/>
    <cellStyle name="SAPBEXHLevel3 2" xfId="1566" xr:uid="{00000000-0005-0000-0000-00009E050000}"/>
    <cellStyle name="SAPBEXHLevel3 2 10" xfId="18180" xr:uid="{8C633693-A3C4-46F0-8722-02B0E8AA4F61}"/>
    <cellStyle name="SAPBEXHLevel3 2 10 2" xfId="18181" xr:uid="{3B4D72DE-0052-4BB0-8568-F308659996A3}"/>
    <cellStyle name="SAPBEXHLevel3 2 11" xfId="18182" xr:uid="{479E8D62-0056-406B-8EA9-DB0D2BBD9FEA}"/>
    <cellStyle name="SAPBEXHLevel3 2 11 2" xfId="18183" xr:uid="{6824BDEA-579E-4118-A565-C38F4439FDE8}"/>
    <cellStyle name="SAPBEXHLevel3 2 12" xfId="18184" xr:uid="{2C62597B-E05E-4222-BD03-38D8E5090C0E}"/>
    <cellStyle name="SAPBEXHLevel3 2 12 2" xfId="18185" xr:uid="{42B30B3A-4809-49F1-8DCD-14D1E5608724}"/>
    <cellStyle name="SAPBEXHLevel3 2 13" xfId="18186" xr:uid="{41B52A28-D328-4B8B-B99C-142969F5C653}"/>
    <cellStyle name="SAPBEXHLevel3 2 13 2" xfId="18187" xr:uid="{9CF2B291-4629-4272-B284-B343BA144469}"/>
    <cellStyle name="SAPBEXHLevel3 2 14" xfId="18188" xr:uid="{B5D09B16-551A-4305-84D6-4B72C99E92C5}"/>
    <cellStyle name="SAPBEXHLevel3 2 14 2" xfId="18189" xr:uid="{B9C49684-7CF8-4D14-B2CE-E6741885BBA3}"/>
    <cellStyle name="SAPBEXHLevel3 2 15" xfId="18190" xr:uid="{3D1B3294-90A4-4FE9-BAF2-4EA71E737148}"/>
    <cellStyle name="SAPBEXHLevel3 2 15 2" xfId="18191" xr:uid="{617F0458-B110-4723-B563-A5407BBC805C}"/>
    <cellStyle name="SAPBEXHLevel3 2 16" xfId="18192" xr:uid="{CD850CD7-4F80-48A8-ABF7-F9B359D3FA86}"/>
    <cellStyle name="SAPBEXHLevel3 2 16 2" xfId="18193" xr:uid="{E8E008AD-FBA8-4B99-9B59-DF72E0F882F8}"/>
    <cellStyle name="SAPBEXHLevel3 2 17" xfId="18194" xr:uid="{DC7A9366-4A2B-4BC4-955E-082D3378F25A}"/>
    <cellStyle name="SAPBEXHLevel3 2 17 2" xfId="18195" xr:uid="{DCD6C495-4818-4BC5-8CE5-F2D8946E0333}"/>
    <cellStyle name="SAPBEXHLevel3 2 18" xfId="18196" xr:uid="{C7089EEE-1D22-4BD3-BCB7-1D45002F0EA0}"/>
    <cellStyle name="SAPBEXHLevel3 2 18 2" xfId="18197" xr:uid="{58F0DB34-1A6E-471F-8E87-BE66A2610CF9}"/>
    <cellStyle name="SAPBEXHLevel3 2 2" xfId="18198" xr:uid="{352C5CBF-0F9D-4545-84A7-5F58F25ADAAA}"/>
    <cellStyle name="SAPBEXHLevel3 2 2 10" xfId="18199" xr:uid="{76393C4E-A25F-46F1-8AC1-25C7A6A33502}"/>
    <cellStyle name="SAPBEXHLevel3 2 2 10 2" xfId="18200" xr:uid="{A101A157-D476-4F65-85CC-F2711937FC9E}"/>
    <cellStyle name="SAPBEXHLevel3 2 2 11" xfId="18201" xr:uid="{AECD7241-9299-4C60-A56C-50A6E31271B6}"/>
    <cellStyle name="SAPBEXHLevel3 2 2 11 2" xfId="18202" xr:uid="{627AF7DE-BB82-48EC-B8E1-C53640D7DA25}"/>
    <cellStyle name="SAPBEXHLevel3 2 2 12" xfId="18203" xr:uid="{4672E58C-5893-486A-8257-D90B339707B8}"/>
    <cellStyle name="SAPBEXHLevel3 2 2 12 2" xfId="18204" xr:uid="{6754BE98-0B2B-4FB8-B422-BBD63CBF49C8}"/>
    <cellStyle name="SAPBEXHLevel3 2 2 13" xfId="18205" xr:uid="{754995E7-1731-4A5C-B3EA-A25E79D563E3}"/>
    <cellStyle name="SAPBEXHLevel3 2 2 13 2" xfId="18206" xr:uid="{B0E71557-99B6-40F6-819E-CE8A9C3DB60E}"/>
    <cellStyle name="SAPBEXHLevel3 2 2 14" xfId="18207" xr:uid="{09B81B5F-0157-40DD-BBA4-2E6807C141A6}"/>
    <cellStyle name="SAPBEXHLevel3 2 2 14 2" xfId="18208" xr:uid="{D5A693C4-50BB-44E4-934D-99EAB2168ADD}"/>
    <cellStyle name="SAPBEXHLevel3 2 2 15" xfId="18209" xr:uid="{8A664788-F8F6-494F-A085-F929013FB799}"/>
    <cellStyle name="SAPBEXHLevel3 2 2 15 2" xfId="18210" xr:uid="{6FE6474D-C48D-4F59-BF55-BCAB8FE91FAC}"/>
    <cellStyle name="SAPBEXHLevel3 2 2 16" xfId="18211" xr:uid="{4EDB23BC-B486-47F3-A5C9-5791B402B17B}"/>
    <cellStyle name="SAPBEXHLevel3 2 2 16 2" xfId="18212" xr:uid="{23290D3E-4529-48EE-B036-83C580D3A272}"/>
    <cellStyle name="SAPBEXHLevel3 2 2 17" xfId="18213" xr:uid="{9C2A62C1-286A-4E89-A732-1080D0F7E8AE}"/>
    <cellStyle name="SAPBEXHLevel3 2 2 17 2" xfId="18214" xr:uid="{EA2D240F-CE63-42C0-8D84-F19BB9ACD24B}"/>
    <cellStyle name="SAPBEXHLevel3 2 2 2" xfId="18215" xr:uid="{BB69878D-D267-41D4-85BB-000FCD0C29C1}"/>
    <cellStyle name="SAPBEXHLevel3 2 2 2 10" xfId="18216" xr:uid="{C049F91D-8F23-481E-8F67-8ED1409B3F93}"/>
    <cellStyle name="SAPBEXHLevel3 2 2 2 10 2" xfId="18217" xr:uid="{03B419C7-0E80-49B6-B9E4-B55BD1A90EC2}"/>
    <cellStyle name="SAPBEXHLevel3 2 2 2 11" xfId="18218" xr:uid="{CB19EF67-02C8-4C73-BC3D-7538A05F570E}"/>
    <cellStyle name="SAPBEXHLevel3 2 2 2 11 2" xfId="18219" xr:uid="{5590B5BE-A68F-49AC-8D0D-DEBDEF327E23}"/>
    <cellStyle name="SAPBEXHLevel3 2 2 2 12" xfId="18220" xr:uid="{BA3D2005-AEF6-41BF-BD70-3BA8CAB6D58E}"/>
    <cellStyle name="SAPBEXHLevel3 2 2 2 12 2" xfId="18221" xr:uid="{C87A7EA3-FEAC-4DE3-BD58-5C78F8A1216E}"/>
    <cellStyle name="SAPBEXHLevel3 2 2 2 13" xfId="18222" xr:uid="{88BCEE41-36C8-4AB8-BFF3-A8572A81670E}"/>
    <cellStyle name="SAPBEXHLevel3 2 2 2 13 2" xfId="18223" xr:uid="{FE33147D-C01A-4F1D-A398-230946D48CC2}"/>
    <cellStyle name="SAPBEXHLevel3 2 2 2 14" xfId="18224" xr:uid="{4992F1DC-51D0-455A-9523-F830CF7467A9}"/>
    <cellStyle name="SAPBEXHLevel3 2 2 2 14 2" xfId="18225" xr:uid="{815C8CFD-7582-4234-AAEA-69629C9333C9}"/>
    <cellStyle name="SAPBEXHLevel3 2 2 2 15" xfId="18226" xr:uid="{E92A7B59-40BE-4771-9091-743B530A4596}"/>
    <cellStyle name="SAPBEXHLevel3 2 2 2 15 2" xfId="18227" xr:uid="{F12B3075-EC9D-43A0-8AD7-47B9FF2D9C35}"/>
    <cellStyle name="SAPBEXHLevel3 2 2 2 2" xfId="18228" xr:uid="{1501DD99-E449-4A8F-B947-405F7200D644}"/>
    <cellStyle name="SAPBEXHLevel3 2 2 2 2 2" xfId="18229" xr:uid="{A56F0B41-BB18-4DC5-8B54-50018DBB03E2}"/>
    <cellStyle name="SAPBEXHLevel3 2 2 2 3" xfId="18230" xr:uid="{BF6596E9-7B1B-407C-A61D-EC35F4EE7E27}"/>
    <cellStyle name="SAPBEXHLevel3 2 2 2 3 2" xfId="18231" xr:uid="{3880E0E5-244E-42F0-BF64-2ED05999DFB3}"/>
    <cellStyle name="SAPBEXHLevel3 2 2 2 4" xfId="18232" xr:uid="{CEA83F11-B082-4119-8E1F-B4F724A32445}"/>
    <cellStyle name="SAPBEXHLevel3 2 2 2 4 2" xfId="18233" xr:uid="{1F82B40A-0BC5-49BD-BFBD-9A6F53C1ABCC}"/>
    <cellStyle name="SAPBEXHLevel3 2 2 2 5" xfId="18234" xr:uid="{9DBEB170-73B3-40CA-A597-E8C06BF1F45C}"/>
    <cellStyle name="SAPBEXHLevel3 2 2 2 5 2" xfId="18235" xr:uid="{F817F5BB-50EE-4D02-A2D4-B77E282F35BB}"/>
    <cellStyle name="SAPBEXHLevel3 2 2 2 6" xfId="18236" xr:uid="{B4C74B95-0491-474A-96E5-47CF11532335}"/>
    <cellStyle name="SAPBEXHLevel3 2 2 2 6 2" xfId="18237" xr:uid="{DB893EA6-2B71-4436-93DB-37951043DFD5}"/>
    <cellStyle name="SAPBEXHLevel3 2 2 2 7" xfId="18238" xr:uid="{5442DC07-D3FD-44FE-B50B-0CC541B899C2}"/>
    <cellStyle name="SAPBEXHLevel3 2 2 2 7 2" xfId="18239" xr:uid="{814933FD-CD3A-4119-B463-0DAB88FD1840}"/>
    <cellStyle name="SAPBEXHLevel3 2 2 2 8" xfId="18240" xr:uid="{4E865904-D1E6-4200-A755-DBB1120EDD31}"/>
    <cellStyle name="SAPBEXHLevel3 2 2 2 8 2" xfId="18241" xr:uid="{34061ED7-CC8B-46F0-B727-615231668CE4}"/>
    <cellStyle name="SAPBEXHLevel3 2 2 2 9" xfId="18242" xr:uid="{F7525F6C-3F50-4F06-8FF0-53416408833E}"/>
    <cellStyle name="SAPBEXHLevel3 2 2 2 9 2" xfId="18243" xr:uid="{65823673-1998-45E7-A092-75C0ACBD2BB7}"/>
    <cellStyle name="SAPBEXHLevel3 2 2 3" xfId="18244" xr:uid="{156EC7CB-872C-40F2-95AD-42A67D8DF9B8}"/>
    <cellStyle name="SAPBEXHLevel3 2 2 3 10" xfId="18245" xr:uid="{A49DAAAF-9735-4349-A1C1-F1D248A8550F}"/>
    <cellStyle name="SAPBEXHLevel3 2 2 3 10 2" xfId="18246" xr:uid="{5BA6CAA3-7471-4622-AE2E-850C93A87901}"/>
    <cellStyle name="SAPBEXHLevel3 2 2 3 11" xfId="18247" xr:uid="{86332CE0-7F11-4E50-9240-D02E766B6C9D}"/>
    <cellStyle name="SAPBEXHLevel3 2 2 3 11 2" xfId="18248" xr:uid="{46FA8395-429C-43A3-8C70-9628663BAB93}"/>
    <cellStyle name="SAPBEXHLevel3 2 2 3 12" xfId="18249" xr:uid="{C0D18DA9-AB50-4FF3-ADB2-42A50A3DE9F2}"/>
    <cellStyle name="SAPBEXHLevel3 2 2 3 12 2" xfId="18250" xr:uid="{987CD53D-A1D9-418B-86F1-928E4F2E363B}"/>
    <cellStyle name="SAPBEXHLevel3 2 2 3 13" xfId="18251" xr:uid="{45D88AE6-2E77-4AA3-9B36-F86B25D87F63}"/>
    <cellStyle name="SAPBEXHLevel3 2 2 3 13 2" xfId="18252" xr:uid="{D4C448C7-9241-4AC4-AD01-933A6B12FAFB}"/>
    <cellStyle name="SAPBEXHLevel3 2 2 3 14" xfId="18253" xr:uid="{283CF913-EBD4-45BC-B922-58C4A9E52615}"/>
    <cellStyle name="SAPBEXHLevel3 2 2 3 14 2" xfId="18254" xr:uid="{26F494B9-4E95-4B34-AF0A-5C3633DC4F30}"/>
    <cellStyle name="SAPBEXHLevel3 2 2 3 15" xfId="18255" xr:uid="{84904A84-3D07-49D3-8757-CAED33FC9C62}"/>
    <cellStyle name="SAPBEXHLevel3 2 2 3 15 2" xfId="18256" xr:uid="{84591811-5148-4C9A-994D-B666B72EEE76}"/>
    <cellStyle name="SAPBEXHLevel3 2 2 3 2" xfId="18257" xr:uid="{798459C7-3F3A-456A-91CA-C3BF1978B7FE}"/>
    <cellStyle name="SAPBEXHLevel3 2 2 3 2 2" xfId="18258" xr:uid="{2C1E072B-73B3-4FE3-909D-947CBD423E48}"/>
    <cellStyle name="SAPBEXHLevel3 2 2 3 3" xfId="18259" xr:uid="{5A918980-9BF4-47CA-98C9-3B4A131B7843}"/>
    <cellStyle name="SAPBEXHLevel3 2 2 3 3 2" xfId="18260" xr:uid="{485B7C9F-B4F2-4AFA-9265-62A9D3B3EA79}"/>
    <cellStyle name="SAPBEXHLevel3 2 2 3 4" xfId="18261" xr:uid="{7E9020D3-BA35-4D7C-A307-1015AAC80BCA}"/>
    <cellStyle name="SAPBEXHLevel3 2 2 3 4 2" xfId="18262" xr:uid="{1B8CB00E-1A45-47FD-B4F2-59B9482B9C19}"/>
    <cellStyle name="SAPBEXHLevel3 2 2 3 5" xfId="18263" xr:uid="{A974E855-B8EE-4615-8F10-D8EF4D58D689}"/>
    <cellStyle name="SAPBEXHLevel3 2 2 3 5 2" xfId="18264" xr:uid="{6DA77ADF-E95B-46E1-834C-7D0D1DE1651C}"/>
    <cellStyle name="SAPBEXHLevel3 2 2 3 6" xfId="18265" xr:uid="{EF889FEA-5E69-424A-9DA0-E42F592CCAE2}"/>
    <cellStyle name="SAPBEXHLevel3 2 2 3 6 2" xfId="18266" xr:uid="{D76D03D1-F840-49F2-B1BC-46196A061FC5}"/>
    <cellStyle name="SAPBEXHLevel3 2 2 3 7" xfId="18267" xr:uid="{7C309A57-6504-4A89-B0C7-2DFA70054F4A}"/>
    <cellStyle name="SAPBEXHLevel3 2 2 3 7 2" xfId="18268" xr:uid="{6AABA1AB-0404-40DB-A332-678C18B4CDC6}"/>
    <cellStyle name="SAPBEXHLevel3 2 2 3 8" xfId="18269" xr:uid="{7E0251D0-9D27-480D-A0BC-52D5FCFA96B7}"/>
    <cellStyle name="SAPBEXHLevel3 2 2 3 8 2" xfId="18270" xr:uid="{2F937969-D4F4-47C7-8405-AC7EA4C4386F}"/>
    <cellStyle name="SAPBEXHLevel3 2 2 3 9" xfId="18271" xr:uid="{A1332D2A-4FC2-4486-8A40-DC826092B0BF}"/>
    <cellStyle name="SAPBEXHLevel3 2 2 3 9 2" xfId="18272" xr:uid="{C10BBE32-9AE5-43BB-A235-F32CBC74354C}"/>
    <cellStyle name="SAPBEXHLevel3 2 2 4" xfId="18273" xr:uid="{F9DAAA84-4EE7-4176-8963-5ECF2E9C2282}"/>
    <cellStyle name="SAPBEXHLevel3 2 2 4 2" xfId="18274" xr:uid="{66AA29A3-D2E3-4FB7-9873-1B75496C4D03}"/>
    <cellStyle name="SAPBEXHLevel3 2 2 5" xfId="18275" xr:uid="{7921CE95-2389-495F-A47D-15FB47594427}"/>
    <cellStyle name="SAPBEXHLevel3 2 2 5 2" xfId="18276" xr:uid="{0D1D26AB-FEEB-4940-92C2-F45F46BEBF2C}"/>
    <cellStyle name="SAPBEXHLevel3 2 2 6" xfId="18277" xr:uid="{8B31BBC7-60F2-46C7-BDA0-F3C0D7411DB2}"/>
    <cellStyle name="SAPBEXHLevel3 2 2 6 2" xfId="18278" xr:uid="{3B690A1F-9655-4FC8-91AE-E093DABE73BB}"/>
    <cellStyle name="SAPBEXHLevel3 2 2 7" xfId="18279" xr:uid="{D1877741-0AFD-4D3E-968A-43425ECB9D27}"/>
    <cellStyle name="SAPBEXHLevel3 2 2 7 2" xfId="18280" xr:uid="{C14DBA71-A1D9-469E-8A60-9DCE73CC0B6B}"/>
    <cellStyle name="SAPBEXHLevel3 2 2 8" xfId="18281" xr:uid="{8F677B4A-08AC-42EE-811B-0201E1432F23}"/>
    <cellStyle name="SAPBEXHLevel3 2 2 8 2" xfId="18282" xr:uid="{84F3F6F5-088A-4755-BC99-981049358AF6}"/>
    <cellStyle name="SAPBEXHLevel3 2 2 9" xfId="18283" xr:uid="{FE8B7D64-9D93-4629-B2BB-35F9B1AA5F4F}"/>
    <cellStyle name="SAPBEXHLevel3 2 2 9 2" xfId="18284" xr:uid="{1B18A7D3-6189-46DD-AE79-A38F349C7B33}"/>
    <cellStyle name="SAPBEXHLevel3 2 3" xfId="18285" xr:uid="{5E3DE2F4-A8C1-493F-95FE-F7AF64173AAC}"/>
    <cellStyle name="SAPBEXHLevel3 2 3 10" xfId="18286" xr:uid="{CEA0C9A0-BE8A-4B0B-9206-AD8C08C9AE2C}"/>
    <cellStyle name="SAPBEXHLevel3 2 3 10 2" xfId="18287" xr:uid="{EA03ADF5-9EC3-447E-9CBC-9BF58D1509E3}"/>
    <cellStyle name="SAPBEXHLevel3 2 3 11" xfId="18288" xr:uid="{BF305D0B-60F3-4442-AC73-DEB4EE96C1B0}"/>
    <cellStyle name="SAPBEXHLevel3 2 3 11 2" xfId="18289" xr:uid="{E4A9CA5A-FA90-46EF-A5E6-13ACF9468AFB}"/>
    <cellStyle name="SAPBEXHLevel3 2 3 12" xfId="18290" xr:uid="{EB1FC945-7E55-497D-B468-38E31F22E3B6}"/>
    <cellStyle name="SAPBEXHLevel3 2 3 12 2" xfId="18291" xr:uid="{F689ADCB-17F4-4B57-A100-9C343F831416}"/>
    <cellStyle name="SAPBEXHLevel3 2 3 13" xfId="18292" xr:uid="{D5433586-D323-40AA-9B59-B3B763335B32}"/>
    <cellStyle name="SAPBEXHLevel3 2 3 13 2" xfId="18293" xr:uid="{B64C064A-79DA-4EC9-84A9-FA7E7F4786A8}"/>
    <cellStyle name="SAPBEXHLevel3 2 3 14" xfId="18294" xr:uid="{E5B18450-BFE5-4819-A9BF-D3CADF43516A}"/>
    <cellStyle name="SAPBEXHLevel3 2 3 14 2" xfId="18295" xr:uid="{C9571BA7-513F-4112-9409-0B3E65F82131}"/>
    <cellStyle name="SAPBEXHLevel3 2 3 15" xfId="18296" xr:uid="{7719D2EF-26D3-434B-995F-DDADD36DA026}"/>
    <cellStyle name="SAPBEXHLevel3 2 3 15 2" xfId="18297" xr:uid="{FD2ED0F3-2454-477C-81F3-68DCD9048443}"/>
    <cellStyle name="SAPBEXHLevel3 2 3 16" xfId="18298" xr:uid="{75BEBAB7-F707-4A12-AAA0-6F747F1C4095}"/>
    <cellStyle name="SAPBEXHLevel3 2 3 16 2" xfId="18299" xr:uid="{66DED1AE-2932-4BDC-8500-01A7FA7FF316}"/>
    <cellStyle name="SAPBEXHLevel3 2 3 17" xfId="18300" xr:uid="{0D2F2ADD-F58B-4564-8FC1-4FED84BBF529}"/>
    <cellStyle name="SAPBEXHLevel3 2 3 17 2" xfId="18301" xr:uid="{A36C4D77-CEE8-48EA-BC9D-59B8F0F6729C}"/>
    <cellStyle name="SAPBEXHLevel3 2 3 2" xfId="18302" xr:uid="{5D63EF14-4222-4AB0-A8F5-A6303D020E5E}"/>
    <cellStyle name="SAPBEXHLevel3 2 3 2 10" xfId="18303" xr:uid="{93155031-E7F8-4BA2-AE3B-6419E2DEB1C0}"/>
    <cellStyle name="SAPBEXHLevel3 2 3 2 10 2" xfId="18304" xr:uid="{CBCE6CFB-E27C-411B-A183-22E2724825D0}"/>
    <cellStyle name="SAPBEXHLevel3 2 3 2 11" xfId="18305" xr:uid="{E85B5CAD-7A25-4954-9E13-59D10FBC2AB9}"/>
    <cellStyle name="SAPBEXHLevel3 2 3 2 11 2" xfId="18306" xr:uid="{66B909E2-DCF9-4763-9FC2-5A856952DF4D}"/>
    <cellStyle name="SAPBEXHLevel3 2 3 2 12" xfId="18307" xr:uid="{B5815730-3CD0-4FF3-80C4-BBED2B546E87}"/>
    <cellStyle name="SAPBEXHLevel3 2 3 2 12 2" xfId="18308" xr:uid="{3A879501-47B1-42DF-BECB-9C44A1A552C8}"/>
    <cellStyle name="SAPBEXHLevel3 2 3 2 13" xfId="18309" xr:uid="{7C8AF51E-939E-45BC-877A-FD7F35ACB68D}"/>
    <cellStyle name="SAPBEXHLevel3 2 3 2 13 2" xfId="18310" xr:uid="{AFB2F58D-B109-4531-B696-6B8E00B60EF2}"/>
    <cellStyle name="SAPBEXHLevel3 2 3 2 14" xfId="18311" xr:uid="{1ABCAA77-E9D9-4343-9599-411D9B3A7E0C}"/>
    <cellStyle name="SAPBEXHLevel3 2 3 2 14 2" xfId="18312" xr:uid="{13F86481-2F42-4238-AC6F-EDEBBCEA7F3C}"/>
    <cellStyle name="SAPBEXHLevel3 2 3 2 15" xfId="18313" xr:uid="{64D3A638-983F-4E11-8BDC-393C0A0B28AE}"/>
    <cellStyle name="SAPBEXHLevel3 2 3 2 15 2" xfId="18314" xr:uid="{CD1A1A46-4A19-49F2-B69E-91764804EDA7}"/>
    <cellStyle name="SAPBEXHLevel3 2 3 2 2" xfId="18315" xr:uid="{FE114BA6-E685-4030-A2E9-A75764A1F2B2}"/>
    <cellStyle name="SAPBEXHLevel3 2 3 2 2 2" xfId="18316" xr:uid="{992403D5-4B87-480F-A6F7-74D0B09AE9E3}"/>
    <cellStyle name="SAPBEXHLevel3 2 3 2 3" xfId="18317" xr:uid="{1B633894-FF34-4C3A-9C72-817B09420F26}"/>
    <cellStyle name="SAPBEXHLevel3 2 3 2 3 2" xfId="18318" xr:uid="{F79EE417-4286-4FC9-B946-85A91B13814F}"/>
    <cellStyle name="SAPBEXHLevel3 2 3 2 4" xfId="18319" xr:uid="{44201691-7FB3-416F-A65A-559069454AE6}"/>
    <cellStyle name="SAPBEXHLevel3 2 3 2 4 2" xfId="18320" xr:uid="{040989B4-06CA-4DD8-A0CC-4DFE5C40A86A}"/>
    <cellStyle name="SAPBEXHLevel3 2 3 2 5" xfId="18321" xr:uid="{21BD5B59-9E1B-412D-A404-C7F1C5E05E41}"/>
    <cellStyle name="SAPBEXHLevel3 2 3 2 5 2" xfId="18322" xr:uid="{9D5BA156-3970-41AF-BE3A-17A6707784B4}"/>
    <cellStyle name="SAPBEXHLevel3 2 3 2 6" xfId="18323" xr:uid="{4ED5B64F-9701-47C7-8756-B68224D31E54}"/>
    <cellStyle name="SAPBEXHLevel3 2 3 2 6 2" xfId="18324" xr:uid="{35CD8069-1307-4C0B-9D64-F754580C521E}"/>
    <cellStyle name="SAPBEXHLevel3 2 3 2 7" xfId="18325" xr:uid="{0E938B38-DF99-45A4-A083-F2DA5AE2E973}"/>
    <cellStyle name="SAPBEXHLevel3 2 3 2 7 2" xfId="18326" xr:uid="{10E9D160-CC5A-4A3D-AE7E-30F2CE836F62}"/>
    <cellStyle name="SAPBEXHLevel3 2 3 2 8" xfId="18327" xr:uid="{AF0D16E6-B9DA-44D9-A05C-2AA9F3026477}"/>
    <cellStyle name="SAPBEXHLevel3 2 3 2 8 2" xfId="18328" xr:uid="{B1B685D7-4888-4672-85CB-BD42B6F88DC1}"/>
    <cellStyle name="SAPBEXHLevel3 2 3 2 9" xfId="18329" xr:uid="{D463D7E1-2351-4CC0-9650-6FF2DC79B319}"/>
    <cellStyle name="SAPBEXHLevel3 2 3 2 9 2" xfId="18330" xr:uid="{21BE7538-6935-47F3-BB03-5D14DB68DFE0}"/>
    <cellStyle name="SAPBEXHLevel3 2 3 3" xfId="18331" xr:uid="{B0C879A6-4E89-4192-AE9D-85AED7A3EA89}"/>
    <cellStyle name="SAPBEXHLevel3 2 3 3 10" xfId="18332" xr:uid="{5E354EF7-27B0-41F7-9901-2ED38CE6D92F}"/>
    <cellStyle name="SAPBEXHLevel3 2 3 3 10 2" xfId="18333" xr:uid="{68CB44CE-7560-4DD6-976E-E89349BDCC24}"/>
    <cellStyle name="SAPBEXHLevel3 2 3 3 11" xfId="18334" xr:uid="{2F1079D0-D509-4291-9FCE-9EFD617CCC1F}"/>
    <cellStyle name="SAPBEXHLevel3 2 3 3 11 2" xfId="18335" xr:uid="{F3BF21FB-B140-4A56-92EE-14B84FEC144C}"/>
    <cellStyle name="SAPBEXHLevel3 2 3 3 12" xfId="18336" xr:uid="{6141CDF5-1AE4-481B-B088-D41D6FEB1091}"/>
    <cellStyle name="SAPBEXHLevel3 2 3 3 12 2" xfId="18337" xr:uid="{D7932FF0-9AFD-4C99-80A1-1EFE2749B08C}"/>
    <cellStyle name="SAPBEXHLevel3 2 3 3 13" xfId="18338" xr:uid="{7A816B3E-7D4B-4D0E-A01E-4771963F4590}"/>
    <cellStyle name="SAPBEXHLevel3 2 3 3 13 2" xfId="18339" xr:uid="{697C9DF2-4181-47B7-A9B1-7BF6A052789C}"/>
    <cellStyle name="SAPBEXHLevel3 2 3 3 14" xfId="18340" xr:uid="{4776E27B-5262-4031-9A06-6039958096E9}"/>
    <cellStyle name="SAPBEXHLevel3 2 3 3 14 2" xfId="18341" xr:uid="{8AA43FF4-F5A1-403E-A7BC-8CFD4C72F014}"/>
    <cellStyle name="SAPBEXHLevel3 2 3 3 15" xfId="18342" xr:uid="{36B6A7DB-7773-46E9-A821-7B708CDC2448}"/>
    <cellStyle name="SAPBEXHLevel3 2 3 3 15 2" xfId="18343" xr:uid="{E34E4DD8-9A66-46DB-B017-A2CF695F4035}"/>
    <cellStyle name="SAPBEXHLevel3 2 3 3 2" xfId="18344" xr:uid="{19606134-FAAB-4679-85A4-122DF933A82B}"/>
    <cellStyle name="SAPBEXHLevel3 2 3 3 2 2" xfId="18345" xr:uid="{D4159D5E-9439-4E2B-AC00-ED94800FDBBB}"/>
    <cellStyle name="SAPBEXHLevel3 2 3 3 3" xfId="18346" xr:uid="{A1501D74-CA21-4DBB-B0C3-028FE0D658D7}"/>
    <cellStyle name="SAPBEXHLevel3 2 3 3 3 2" xfId="18347" xr:uid="{57F85CB2-AD22-42A7-8011-5D66A51D67E7}"/>
    <cellStyle name="SAPBEXHLevel3 2 3 3 4" xfId="18348" xr:uid="{37DB024B-F88B-46AE-91C3-A7E5CCDA24AB}"/>
    <cellStyle name="SAPBEXHLevel3 2 3 3 4 2" xfId="18349" xr:uid="{399764D8-B4B6-44F5-BC15-7A2EC8F05A75}"/>
    <cellStyle name="SAPBEXHLevel3 2 3 3 5" xfId="18350" xr:uid="{4E78DA60-42D0-4848-946B-D82020613B51}"/>
    <cellStyle name="SAPBEXHLevel3 2 3 3 5 2" xfId="18351" xr:uid="{B04F6F07-EDBD-4857-B918-05DA766ECD0B}"/>
    <cellStyle name="SAPBEXHLevel3 2 3 3 6" xfId="18352" xr:uid="{4B498644-38F0-4BFA-A288-A2D41B35477A}"/>
    <cellStyle name="SAPBEXHLevel3 2 3 3 6 2" xfId="18353" xr:uid="{1ACD7B02-5896-4233-A6EE-BCEA7C4593AB}"/>
    <cellStyle name="SAPBEXHLevel3 2 3 3 7" xfId="18354" xr:uid="{2EAC6D05-2DE0-4F4A-8CE5-8A315F7CFFA8}"/>
    <cellStyle name="SAPBEXHLevel3 2 3 3 7 2" xfId="18355" xr:uid="{6CE4A105-FD0F-4AEF-813C-0D0A525BB61F}"/>
    <cellStyle name="SAPBEXHLevel3 2 3 3 8" xfId="18356" xr:uid="{990DE8F0-02B9-43C7-A179-CE4578BA82C2}"/>
    <cellStyle name="SAPBEXHLevel3 2 3 3 8 2" xfId="18357" xr:uid="{C3E9085F-C014-4565-A390-27D101F0005D}"/>
    <cellStyle name="SAPBEXHLevel3 2 3 3 9" xfId="18358" xr:uid="{D6E50FB3-9DDD-4AD7-9499-C776D3A079B4}"/>
    <cellStyle name="SAPBEXHLevel3 2 3 3 9 2" xfId="18359" xr:uid="{38E1CD0E-669D-4FAB-9B9B-2B74C37BD28D}"/>
    <cellStyle name="SAPBEXHLevel3 2 3 4" xfId="18360" xr:uid="{B9D9F839-79A8-445E-8DE6-64C9FBC3B615}"/>
    <cellStyle name="SAPBEXHLevel3 2 3 4 2" xfId="18361" xr:uid="{D8F9A6F4-C5BF-4EA5-A70C-65DB59C95286}"/>
    <cellStyle name="SAPBEXHLevel3 2 3 5" xfId="18362" xr:uid="{FC8EAAB4-1085-45DD-A1D2-1DD538B616FA}"/>
    <cellStyle name="SAPBEXHLevel3 2 3 5 2" xfId="18363" xr:uid="{E7BF5501-9467-4A95-8EF2-69FB0F41EB12}"/>
    <cellStyle name="SAPBEXHLevel3 2 3 6" xfId="18364" xr:uid="{FCB9F969-D497-4B69-9104-09638DD6DE16}"/>
    <cellStyle name="SAPBEXHLevel3 2 3 6 2" xfId="18365" xr:uid="{B1BECCB5-AAB5-4DBF-8B0F-72D15B0BFBF3}"/>
    <cellStyle name="SAPBEXHLevel3 2 3 7" xfId="18366" xr:uid="{A6594EEC-1569-4686-8C80-0B92F67AE3A2}"/>
    <cellStyle name="SAPBEXHLevel3 2 3 7 2" xfId="18367" xr:uid="{43A12551-FDD8-43DE-8C78-02D5A5B8A0B7}"/>
    <cellStyle name="SAPBEXHLevel3 2 3 8" xfId="18368" xr:uid="{7D081448-DA48-4FEC-91A9-E8EC33B37798}"/>
    <cellStyle name="SAPBEXHLevel3 2 3 8 2" xfId="18369" xr:uid="{73D72DE6-5B13-4EC8-9D35-781A92A37F58}"/>
    <cellStyle name="SAPBEXHLevel3 2 3 9" xfId="18370" xr:uid="{F22B2255-3583-43D7-9772-87204EFDE21A}"/>
    <cellStyle name="SAPBEXHLevel3 2 3 9 2" xfId="18371" xr:uid="{54BE67BA-00B3-4B92-9CF3-FDC8E22A7C1E}"/>
    <cellStyle name="SAPBEXHLevel3 2 4" xfId="18372" xr:uid="{306816A4-633F-480C-AF77-1B2FD8E7FB1F}"/>
    <cellStyle name="SAPBEXHLevel3 2 4 10" xfId="18373" xr:uid="{30D84FB1-289E-49DA-BE67-011593D43167}"/>
    <cellStyle name="SAPBEXHLevel3 2 4 10 2" xfId="18374" xr:uid="{A56D5060-7464-4AFC-8746-B8BC3E1DAC61}"/>
    <cellStyle name="SAPBEXHLevel3 2 4 11" xfId="18375" xr:uid="{884B08C5-8A88-4282-A286-B8D03ECD21E0}"/>
    <cellStyle name="SAPBEXHLevel3 2 4 11 2" xfId="18376" xr:uid="{DFB542C8-78DB-46BA-9874-CC42995DC7E4}"/>
    <cellStyle name="SAPBEXHLevel3 2 4 12" xfId="18377" xr:uid="{F18B58A8-0CFE-4CC2-A89A-ED097FC456EC}"/>
    <cellStyle name="SAPBEXHLevel3 2 4 12 2" xfId="18378" xr:uid="{E65ACFDE-3E52-4277-813E-C7AFC7B913E7}"/>
    <cellStyle name="SAPBEXHLevel3 2 4 13" xfId="18379" xr:uid="{7D2A7F68-F543-4B3F-99E8-3861879A0976}"/>
    <cellStyle name="SAPBEXHLevel3 2 4 13 2" xfId="18380" xr:uid="{7A5EE13B-C10B-4F24-9921-970305489895}"/>
    <cellStyle name="SAPBEXHLevel3 2 4 14" xfId="18381" xr:uid="{AD54BB3B-3E2F-4F23-9E63-258A8782F1B3}"/>
    <cellStyle name="SAPBEXHLevel3 2 4 14 2" xfId="18382" xr:uid="{2238EA62-B543-4C7F-9F2D-A119C3B87B0D}"/>
    <cellStyle name="SAPBEXHLevel3 2 4 15" xfId="18383" xr:uid="{604F6179-BD55-4544-B3E8-E214F87E4625}"/>
    <cellStyle name="SAPBEXHLevel3 2 4 15 2" xfId="18384" xr:uid="{90CBD56A-7A25-42E0-BD95-2CD836E7CB7C}"/>
    <cellStyle name="SAPBEXHLevel3 2 4 16" xfId="18385" xr:uid="{DE79F10A-337D-4399-9DA8-3F534A61981C}"/>
    <cellStyle name="SAPBEXHLevel3 2 4 16 2" xfId="18386" xr:uid="{A302AF3C-7D9B-4210-AACC-216DF41EE07C}"/>
    <cellStyle name="SAPBEXHLevel3 2 4 17" xfId="18387" xr:uid="{406BF34B-93D1-42BA-9D94-1B22A22F47B7}"/>
    <cellStyle name="SAPBEXHLevel3 2 4 17 2" xfId="18388" xr:uid="{5D8CEF80-D98B-487C-9706-99FED28EAAA0}"/>
    <cellStyle name="SAPBEXHLevel3 2 4 2" xfId="18389" xr:uid="{F82A3A27-45F6-4D23-B661-6E6AD4EAF584}"/>
    <cellStyle name="SAPBEXHLevel3 2 4 2 10" xfId="18390" xr:uid="{9940A185-3521-43DF-8282-7814B52479E9}"/>
    <cellStyle name="SAPBEXHLevel3 2 4 2 10 2" xfId="18391" xr:uid="{593689BF-06FB-49F8-A112-8686A079401C}"/>
    <cellStyle name="SAPBEXHLevel3 2 4 2 11" xfId="18392" xr:uid="{39788B52-31AB-4EA0-9FCA-84C523B5D47E}"/>
    <cellStyle name="SAPBEXHLevel3 2 4 2 11 2" xfId="18393" xr:uid="{AFC11758-0AAD-4DBB-8177-E1D11BFFBC2A}"/>
    <cellStyle name="SAPBEXHLevel3 2 4 2 12" xfId="18394" xr:uid="{9C49219A-E020-473F-B076-D8E2ADF692DE}"/>
    <cellStyle name="SAPBEXHLevel3 2 4 2 12 2" xfId="18395" xr:uid="{E69F86F3-D411-444F-A8A9-82C48A64EAB6}"/>
    <cellStyle name="SAPBEXHLevel3 2 4 2 13" xfId="18396" xr:uid="{3E0C53B9-FAAE-4647-A430-670A450F3964}"/>
    <cellStyle name="SAPBEXHLevel3 2 4 2 13 2" xfId="18397" xr:uid="{BC1E9C72-2F9E-498C-A65D-141087CEF257}"/>
    <cellStyle name="SAPBEXHLevel3 2 4 2 14" xfId="18398" xr:uid="{408B51EF-6AA7-41E3-8942-A3FB550C4F4F}"/>
    <cellStyle name="SAPBEXHLevel3 2 4 2 14 2" xfId="18399" xr:uid="{84B82E50-6EB1-4B43-AC64-A7627AEE7739}"/>
    <cellStyle name="SAPBEXHLevel3 2 4 2 15" xfId="18400" xr:uid="{7C8A2ED6-6F77-4D39-9A14-AB157CF7E9BF}"/>
    <cellStyle name="SAPBEXHLevel3 2 4 2 15 2" xfId="18401" xr:uid="{A835ED0C-ED44-4342-824E-EE48A12CDE0F}"/>
    <cellStyle name="SAPBEXHLevel3 2 4 2 2" xfId="18402" xr:uid="{0B9F4EB8-EBB5-469A-8062-ECBB9692B92A}"/>
    <cellStyle name="SAPBEXHLevel3 2 4 2 2 2" xfId="18403" xr:uid="{36084B5B-59BF-4D72-AA04-A7A24192CB52}"/>
    <cellStyle name="SAPBEXHLevel3 2 4 2 3" xfId="18404" xr:uid="{030D523C-A9DC-491D-8188-5DD7060B0634}"/>
    <cellStyle name="SAPBEXHLevel3 2 4 2 3 2" xfId="18405" xr:uid="{C54B6E3B-E7B1-45BF-8077-3564A51C189D}"/>
    <cellStyle name="SAPBEXHLevel3 2 4 2 4" xfId="18406" xr:uid="{7A59CF75-3086-44F6-877D-52FB43D8442A}"/>
    <cellStyle name="SAPBEXHLevel3 2 4 2 4 2" xfId="18407" xr:uid="{85CCBD8F-5161-4FEA-8925-0DE24DE4FF62}"/>
    <cellStyle name="SAPBEXHLevel3 2 4 2 5" xfId="18408" xr:uid="{A909BF5D-7B39-4584-AB88-BE8FC188F696}"/>
    <cellStyle name="SAPBEXHLevel3 2 4 2 5 2" xfId="18409" xr:uid="{7F0FFAA1-2E2A-4FA7-947F-B8C1FA44EAD4}"/>
    <cellStyle name="SAPBEXHLevel3 2 4 2 6" xfId="18410" xr:uid="{585766C6-5EB3-42A4-A60F-FDF22C734581}"/>
    <cellStyle name="SAPBEXHLevel3 2 4 2 6 2" xfId="18411" xr:uid="{ECC5319B-610F-4859-AB97-0527F34A0ABD}"/>
    <cellStyle name="SAPBEXHLevel3 2 4 2 7" xfId="18412" xr:uid="{5E31AEFB-8CD6-466A-873F-3CBD1695FE83}"/>
    <cellStyle name="SAPBEXHLevel3 2 4 2 7 2" xfId="18413" xr:uid="{DC2F0639-A396-4793-98AA-432BCA07FC5C}"/>
    <cellStyle name="SAPBEXHLevel3 2 4 2 8" xfId="18414" xr:uid="{D1F86F3B-058F-40EA-B5C3-EFA45893A309}"/>
    <cellStyle name="SAPBEXHLevel3 2 4 2 8 2" xfId="18415" xr:uid="{2456B362-032A-4E1F-936F-BA7B86B9C7E9}"/>
    <cellStyle name="SAPBEXHLevel3 2 4 2 9" xfId="18416" xr:uid="{4E9FDBBD-6C14-4FBF-8D64-BA72084AE148}"/>
    <cellStyle name="SAPBEXHLevel3 2 4 2 9 2" xfId="18417" xr:uid="{B4D88DB0-C85A-46FC-8214-FA0624F80B85}"/>
    <cellStyle name="SAPBEXHLevel3 2 4 3" xfId="18418" xr:uid="{D91D88E4-9765-42DD-A6D2-E54E8D9AB4A4}"/>
    <cellStyle name="SAPBEXHLevel3 2 4 3 10" xfId="18419" xr:uid="{F4F3B7D4-9EB4-4BF1-AB45-D4D810D3E87D}"/>
    <cellStyle name="SAPBEXHLevel3 2 4 3 10 2" xfId="18420" xr:uid="{E5956B53-0D2A-444C-B955-F81140780C45}"/>
    <cellStyle name="SAPBEXHLevel3 2 4 3 11" xfId="18421" xr:uid="{745D8CA4-3EBA-4876-A2B9-A01A49016C51}"/>
    <cellStyle name="SAPBEXHLevel3 2 4 3 11 2" xfId="18422" xr:uid="{91EB75C1-C6AF-4565-8C6C-4A0269DB10B0}"/>
    <cellStyle name="SAPBEXHLevel3 2 4 3 12" xfId="18423" xr:uid="{B246C5C5-8FE3-497F-9BB4-0E041376FEBF}"/>
    <cellStyle name="SAPBEXHLevel3 2 4 3 12 2" xfId="18424" xr:uid="{B9B04832-83EB-4E61-9501-E12414A14473}"/>
    <cellStyle name="SAPBEXHLevel3 2 4 3 13" xfId="18425" xr:uid="{2CC267F3-E53D-4B86-8524-7EDF3AD572F0}"/>
    <cellStyle name="SAPBEXHLevel3 2 4 3 13 2" xfId="18426" xr:uid="{40EF385F-7BC2-4B34-AFFC-A713D366E418}"/>
    <cellStyle name="SAPBEXHLevel3 2 4 3 14" xfId="18427" xr:uid="{BDD77034-B37A-40FB-BB15-98E0041C8591}"/>
    <cellStyle name="SAPBEXHLevel3 2 4 3 14 2" xfId="18428" xr:uid="{384E76B2-E71B-4264-A069-0A1BA7C1FCD1}"/>
    <cellStyle name="SAPBEXHLevel3 2 4 3 15" xfId="18429" xr:uid="{7B859FE9-0183-4652-87BA-339AD57B26D5}"/>
    <cellStyle name="SAPBEXHLevel3 2 4 3 15 2" xfId="18430" xr:uid="{B5B15D5F-BBB1-4394-8997-8C02B262006B}"/>
    <cellStyle name="SAPBEXHLevel3 2 4 3 2" xfId="18431" xr:uid="{CF57DB52-DAA6-4D03-B668-62F9D4E1915E}"/>
    <cellStyle name="SAPBEXHLevel3 2 4 3 2 2" xfId="18432" xr:uid="{C2DA57E2-52D0-48DA-95F1-A5F26E33E1BA}"/>
    <cellStyle name="SAPBEXHLevel3 2 4 3 3" xfId="18433" xr:uid="{A0F2011A-2071-424D-9608-895BE7131F44}"/>
    <cellStyle name="SAPBEXHLevel3 2 4 3 3 2" xfId="18434" xr:uid="{BF7EBEE0-5157-4641-81E3-B06BC586B013}"/>
    <cellStyle name="SAPBEXHLevel3 2 4 3 4" xfId="18435" xr:uid="{0946C3D8-A937-42FF-8D6F-450AD335E0BD}"/>
    <cellStyle name="SAPBEXHLevel3 2 4 3 4 2" xfId="18436" xr:uid="{7BC9CCC8-7411-4684-B7FB-9409E437681B}"/>
    <cellStyle name="SAPBEXHLevel3 2 4 3 5" xfId="18437" xr:uid="{C99A7F4C-2298-4970-9A03-61119F58DAFE}"/>
    <cellStyle name="SAPBEXHLevel3 2 4 3 5 2" xfId="18438" xr:uid="{74AED5EB-1BAF-40A9-9A06-8FE1D0A588EF}"/>
    <cellStyle name="SAPBEXHLevel3 2 4 3 6" xfId="18439" xr:uid="{D6901913-A231-4D15-A014-1B336E8D163A}"/>
    <cellStyle name="SAPBEXHLevel3 2 4 3 6 2" xfId="18440" xr:uid="{A7B615A7-5C17-46A2-ADAF-CE35DEEE5D21}"/>
    <cellStyle name="SAPBEXHLevel3 2 4 3 7" xfId="18441" xr:uid="{331F9C78-E1AA-430F-974F-CD9CFA64F437}"/>
    <cellStyle name="SAPBEXHLevel3 2 4 3 7 2" xfId="18442" xr:uid="{8D970327-071F-4200-9204-FFD912F18C33}"/>
    <cellStyle name="SAPBEXHLevel3 2 4 3 8" xfId="18443" xr:uid="{C2E6B4EF-6C9B-489E-8FB1-658E85C5CF78}"/>
    <cellStyle name="SAPBEXHLevel3 2 4 3 8 2" xfId="18444" xr:uid="{0EA3E3AC-7500-4144-AD2F-E3A9778CB5A0}"/>
    <cellStyle name="SAPBEXHLevel3 2 4 3 9" xfId="18445" xr:uid="{1504803E-1804-4452-8E84-655D9D13EB57}"/>
    <cellStyle name="SAPBEXHLevel3 2 4 3 9 2" xfId="18446" xr:uid="{71BEFFBA-2CFF-4624-B285-0A31279E9A2C}"/>
    <cellStyle name="SAPBEXHLevel3 2 4 4" xfId="18447" xr:uid="{CC776E66-5945-4549-8218-14DF516887D0}"/>
    <cellStyle name="SAPBEXHLevel3 2 4 4 2" xfId="18448" xr:uid="{2A1BA7DD-2B0C-4A4C-84E3-FFD6C1028981}"/>
    <cellStyle name="SAPBEXHLevel3 2 4 5" xfId="18449" xr:uid="{E63AACAB-0F29-48BA-9848-97F89B7E830D}"/>
    <cellStyle name="SAPBEXHLevel3 2 4 5 2" xfId="18450" xr:uid="{7275DC62-9073-409C-819F-AA731426D3E6}"/>
    <cellStyle name="SAPBEXHLevel3 2 4 6" xfId="18451" xr:uid="{2C55444B-C00B-423B-8A43-17FF28F7508D}"/>
    <cellStyle name="SAPBEXHLevel3 2 4 6 2" xfId="18452" xr:uid="{D0CE7390-509E-48C0-B295-03A587E33E1D}"/>
    <cellStyle name="SAPBEXHLevel3 2 4 7" xfId="18453" xr:uid="{3B60AF93-4F6F-4D0B-A441-B63EDB29000F}"/>
    <cellStyle name="SAPBEXHLevel3 2 4 7 2" xfId="18454" xr:uid="{F379DF47-8BF3-4D94-A70E-3F0E4252A354}"/>
    <cellStyle name="SAPBEXHLevel3 2 4 8" xfId="18455" xr:uid="{C50B39E3-230C-477E-BBA5-271DCE69BEC5}"/>
    <cellStyle name="SAPBEXHLevel3 2 4 8 2" xfId="18456" xr:uid="{237D4D30-0615-418E-99B5-1D791E2C4692}"/>
    <cellStyle name="SAPBEXHLevel3 2 4 9" xfId="18457" xr:uid="{AD61C2A3-06C9-406B-AA7D-541BBEF0F9BB}"/>
    <cellStyle name="SAPBEXHLevel3 2 4 9 2" xfId="18458" xr:uid="{E73C765A-C1DD-4412-ADE7-36E11FC0D0CE}"/>
    <cellStyle name="SAPBEXHLevel3 2 5" xfId="18459" xr:uid="{71B7F0AC-F6E5-4034-B803-D6F1C0EE3804}"/>
    <cellStyle name="SAPBEXHLevel3 2 5 2" xfId="18460" xr:uid="{FC43E9F6-BBD5-4CCF-ADC6-17B3E14AA474}"/>
    <cellStyle name="SAPBEXHLevel3 2 6" xfId="18461" xr:uid="{89861DD9-7FA8-41A1-82C2-1719B86625C2}"/>
    <cellStyle name="SAPBEXHLevel3 2 6 2" xfId="18462" xr:uid="{4B49F64D-EA6B-4BCD-BCB6-4D47DE85E12D}"/>
    <cellStyle name="SAPBEXHLevel3 2 7" xfId="18463" xr:uid="{1B87FA9C-BDF4-4B81-B8E2-F1EE2DEC8688}"/>
    <cellStyle name="SAPBEXHLevel3 2 7 2" xfId="18464" xr:uid="{A0F3C115-BE7C-4E18-B21F-A6DADF5DE220}"/>
    <cellStyle name="SAPBEXHLevel3 2 8" xfId="18465" xr:uid="{13B7A4D4-5E33-4AC8-A252-D9A2FB0F94DD}"/>
    <cellStyle name="SAPBEXHLevel3 2 8 2" xfId="18466" xr:uid="{A8F1B6D4-E678-40E5-8A00-53F301D598E4}"/>
    <cellStyle name="SAPBEXHLevel3 2 9" xfId="18467" xr:uid="{AE93FA73-4D8B-4974-9481-7EBEA20C7A18}"/>
    <cellStyle name="SAPBEXHLevel3 2 9 2" xfId="18468" xr:uid="{FB0D75FE-1204-4D84-9B16-9960E4D52DB4}"/>
    <cellStyle name="SAPBEXHLevel3 2_T1 ANSP" xfId="18179" xr:uid="{B277A6BB-4B09-4F2A-BD5D-1E69D89D092C}"/>
    <cellStyle name="SAPBEXHLevel3 20" xfId="18469" xr:uid="{173239FE-EA38-4915-BF4F-741E535C2093}"/>
    <cellStyle name="SAPBEXHLevel3 20 2" xfId="18470" xr:uid="{5AFA6103-37CF-49E1-9165-E1EF5A5B59EE}"/>
    <cellStyle name="SAPBEXHLevel3 21" xfId="18471" xr:uid="{CA7ECACD-82FC-4F8E-B75B-6944DBCD5D94}"/>
    <cellStyle name="SAPBEXHLevel3 3" xfId="1524" xr:uid="{00000000-0005-0000-0000-00009F050000}"/>
    <cellStyle name="SAPBEXHLevel3 3 10" xfId="18473" xr:uid="{6658C2F7-CD13-4EC3-A55E-38D8A1F8AC1F}"/>
    <cellStyle name="SAPBEXHLevel3 3 10 2" xfId="18474" xr:uid="{3C006441-61E4-4198-9EC5-C9875DD947C2}"/>
    <cellStyle name="SAPBEXHLevel3 3 11" xfId="18475" xr:uid="{E818F731-D4C5-4FE9-A114-CACC9BC18743}"/>
    <cellStyle name="SAPBEXHLevel3 3 11 2" xfId="18476" xr:uid="{07645DB0-6459-482A-8552-D0398B3AD5EB}"/>
    <cellStyle name="SAPBEXHLevel3 3 12" xfId="18477" xr:uid="{312348AD-DE3B-4122-B896-9FB107A80FF3}"/>
    <cellStyle name="SAPBEXHLevel3 3 12 2" xfId="18478" xr:uid="{FF1F9D1D-EBBB-495B-AC29-26DD26752A01}"/>
    <cellStyle name="SAPBEXHLevel3 3 13" xfId="18479" xr:uid="{98037BA3-27C3-465A-94CB-016ECBD0C206}"/>
    <cellStyle name="SAPBEXHLevel3 3 13 2" xfId="18480" xr:uid="{7B37CC07-577A-4D0D-9FEB-E222D8D263E4}"/>
    <cellStyle name="SAPBEXHLevel3 3 14" xfId="18481" xr:uid="{6981A486-B367-48B9-AA12-53BC7720C9CB}"/>
    <cellStyle name="SAPBEXHLevel3 3 14 2" xfId="18482" xr:uid="{C64D2409-1812-43A7-ADCB-BF2D453E0252}"/>
    <cellStyle name="SAPBEXHLevel3 3 15" xfId="18483" xr:uid="{0D3E5CA6-84AA-4B5F-B05E-6F0738F1060B}"/>
    <cellStyle name="SAPBEXHLevel3 3 15 2" xfId="18484" xr:uid="{CB08A3DF-FA3D-45D8-83B6-8105BE2220EE}"/>
    <cellStyle name="SAPBEXHLevel3 3 16" xfId="18485" xr:uid="{80EAE9A9-521C-4920-9101-A98FE2A05686}"/>
    <cellStyle name="SAPBEXHLevel3 3 16 2" xfId="18486" xr:uid="{8F90A140-8C12-4E88-A282-125B1B9FE899}"/>
    <cellStyle name="SAPBEXHLevel3 3 17" xfId="18487" xr:uid="{402E1924-C98B-4F2C-9E5C-178E3C40C55A}"/>
    <cellStyle name="SAPBEXHLevel3 3 17 2" xfId="18488" xr:uid="{F3B26FC8-FB6C-4B79-AD01-19A66BEC44D7}"/>
    <cellStyle name="SAPBEXHLevel3 3 18" xfId="18489" xr:uid="{1DA70144-42E5-4F44-89FE-6E0A0CFDAB32}"/>
    <cellStyle name="SAPBEXHLevel3 3 2" xfId="18490" xr:uid="{B6188285-73CE-40F5-9576-EA5F917DE0C4}"/>
    <cellStyle name="SAPBEXHLevel3 3 2 10" xfId="18491" xr:uid="{7721CC54-6BA8-4715-83D6-49E3260CAD8C}"/>
    <cellStyle name="SAPBEXHLevel3 3 2 10 2" xfId="18492" xr:uid="{14D13C8F-C0C4-4B59-BF28-DB1B95BFA81E}"/>
    <cellStyle name="SAPBEXHLevel3 3 2 11" xfId="18493" xr:uid="{128068CC-1D7C-4336-B79C-E714BD467D72}"/>
    <cellStyle name="SAPBEXHLevel3 3 2 11 2" xfId="18494" xr:uid="{9287E2D0-199A-461A-8476-197FD916CFCC}"/>
    <cellStyle name="SAPBEXHLevel3 3 2 12" xfId="18495" xr:uid="{B162DEF6-13F0-454E-83DD-6FE6AFEDB186}"/>
    <cellStyle name="SAPBEXHLevel3 3 2 12 2" xfId="18496" xr:uid="{2F618B7C-60A2-445B-8255-19769025BEB3}"/>
    <cellStyle name="SAPBEXHLevel3 3 2 13" xfId="18497" xr:uid="{EFC960EA-47B7-4F2E-9710-816C308E97F0}"/>
    <cellStyle name="SAPBEXHLevel3 3 2 13 2" xfId="18498" xr:uid="{E837053A-30BD-4F29-9E08-0043771084F8}"/>
    <cellStyle name="SAPBEXHLevel3 3 2 14" xfId="18499" xr:uid="{5C033D48-C14F-4F92-8612-6E014663D1C9}"/>
    <cellStyle name="SAPBEXHLevel3 3 2 14 2" xfId="18500" xr:uid="{6E2494C2-66E1-45C8-AD17-1488CC0F9BEA}"/>
    <cellStyle name="SAPBEXHLevel3 3 2 15" xfId="18501" xr:uid="{DCAB2A80-5D3A-42DE-98AA-64595131E5F0}"/>
    <cellStyle name="SAPBEXHLevel3 3 2 15 2" xfId="18502" xr:uid="{8960D8E1-C1ED-41CE-BD81-C9A91C13C7D2}"/>
    <cellStyle name="SAPBEXHLevel3 3 2 16" xfId="18503" xr:uid="{535607D0-6EF6-4B4B-B702-ABB89211349D}"/>
    <cellStyle name="SAPBEXHLevel3 3 2 2" xfId="18504" xr:uid="{C5C63A63-0D29-42AC-8EBE-C87245807829}"/>
    <cellStyle name="SAPBEXHLevel3 3 2 2 2" xfId="18505" xr:uid="{02F99F9C-76B0-49FB-A016-B20432577D01}"/>
    <cellStyle name="SAPBEXHLevel3 3 2 3" xfId="18506" xr:uid="{072302DE-6926-4A50-837B-212151B357CB}"/>
    <cellStyle name="SAPBEXHLevel3 3 2 3 2" xfId="18507" xr:uid="{3093AFE7-1121-4EFE-BA8E-F17AE89DD15D}"/>
    <cellStyle name="SAPBEXHLevel3 3 2 4" xfId="18508" xr:uid="{3FA290F6-5C8E-4A79-B916-2FE53D505CCF}"/>
    <cellStyle name="SAPBEXHLevel3 3 2 4 2" xfId="18509" xr:uid="{2BB52D74-79ED-4F6B-A09B-C58F0B6DF8C6}"/>
    <cellStyle name="SAPBEXHLevel3 3 2 5" xfId="18510" xr:uid="{25426C8E-40A9-45EE-ACCE-14A2A186F43D}"/>
    <cellStyle name="SAPBEXHLevel3 3 2 5 2" xfId="18511" xr:uid="{AF5D988D-B640-4574-9E8C-B7019C64F7E0}"/>
    <cellStyle name="SAPBEXHLevel3 3 2 6" xfId="18512" xr:uid="{B0A73CDE-48EB-4FFB-8E19-EC7E5FB9B888}"/>
    <cellStyle name="SAPBEXHLevel3 3 2 6 2" xfId="18513" xr:uid="{AF1346FD-C1A4-4659-A466-F4DDCE19B564}"/>
    <cellStyle name="SAPBEXHLevel3 3 2 7" xfId="18514" xr:uid="{9637E9C2-74BE-460B-BA29-57BEFBF9CFA9}"/>
    <cellStyle name="SAPBEXHLevel3 3 2 7 2" xfId="18515" xr:uid="{94A826A6-0E07-4D9B-99B7-88F90F444C8A}"/>
    <cellStyle name="SAPBEXHLevel3 3 2 8" xfId="18516" xr:uid="{E3970947-C93A-4762-991D-04274580692A}"/>
    <cellStyle name="SAPBEXHLevel3 3 2 8 2" xfId="18517" xr:uid="{C3DB3770-6192-4711-A6F8-62CD30E3A038}"/>
    <cellStyle name="SAPBEXHLevel3 3 2 9" xfId="18518" xr:uid="{A5C6BFF0-04EB-457F-954F-930F4D9E0C2B}"/>
    <cellStyle name="SAPBEXHLevel3 3 2 9 2" xfId="18519" xr:uid="{3C1EF459-E3DF-4ACD-ABE6-35B52A2C7629}"/>
    <cellStyle name="SAPBEXHLevel3 3 3" xfId="18520" xr:uid="{0D1517D7-89FB-4BC7-A926-A6367DFEEC11}"/>
    <cellStyle name="SAPBEXHLevel3 3 3 10" xfId="18521" xr:uid="{60E0294E-88EA-4B70-B6CF-4218C2816121}"/>
    <cellStyle name="SAPBEXHLevel3 3 3 10 2" xfId="18522" xr:uid="{44AAC813-6394-4271-8CD5-EFC1EB283298}"/>
    <cellStyle name="SAPBEXHLevel3 3 3 11" xfId="18523" xr:uid="{A83EC578-4B10-461C-9772-1442BDEA98B8}"/>
    <cellStyle name="SAPBEXHLevel3 3 3 11 2" xfId="18524" xr:uid="{99531EDE-CC89-4D2A-A2FE-7887EDDF97EF}"/>
    <cellStyle name="SAPBEXHLevel3 3 3 12" xfId="18525" xr:uid="{38A4A1B2-650B-471C-BA58-910705AB8E0F}"/>
    <cellStyle name="SAPBEXHLevel3 3 3 12 2" xfId="18526" xr:uid="{697847DA-42C9-4FAE-ABC2-6177E0F5F41F}"/>
    <cellStyle name="SAPBEXHLevel3 3 3 13" xfId="18527" xr:uid="{C5DA515F-C278-4E64-9448-BF0ECB0F43BF}"/>
    <cellStyle name="SAPBEXHLevel3 3 3 13 2" xfId="18528" xr:uid="{BA4A9B6D-4456-48B9-A549-302D6914CBF3}"/>
    <cellStyle name="SAPBEXHLevel3 3 3 14" xfId="18529" xr:uid="{31C9467A-8B36-4FE3-9F5A-3F2ADB021CC2}"/>
    <cellStyle name="SAPBEXHLevel3 3 3 14 2" xfId="18530" xr:uid="{9681902C-9D02-4257-87AD-EC012815DE11}"/>
    <cellStyle name="SAPBEXHLevel3 3 3 15" xfId="18531" xr:uid="{7B75DD79-D73C-4A40-9F3D-B8D1ADCC49B3}"/>
    <cellStyle name="SAPBEXHLevel3 3 3 15 2" xfId="18532" xr:uid="{514F862A-3DDB-4560-ADBA-6467E45BE9C2}"/>
    <cellStyle name="SAPBEXHLevel3 3 3 16" xfId="18533" xr:uid="{F0212217-DB69-4184-8A71-A9A9E43F02A5}"/>
    <cellStyle name="SAPBEXHLevel3 3 3 2" xfId="18534" xr:uid="{C3D3F965-4C7D-42A1-8D2D-28BA230DDB9F}"/>
    <cellStyle name="SAPBEXHLevel3 3 3 2 2" xfId="18535" xr:uid="{821DF539-35E6-4119-8B53-069A6B11707F}"/>
    <cellStyle name="SAPBEXHLevel3 3 3 3" xfId="18536" xr:uid="{B4D9A5DB-4B3A-456F-8128-1E75BD3BA5A8}"/>
    <cellStyle name="SAPBEXHLevel3 3 3 3 2" xfId="18537" xr:uid="{1633B165-D9DD-4267-B560-4E9EE340AF64}"/>
    <cellStyle name="SAPBEXHLevel3 3 3 4" xfId="18538" xr:uid="{E230B225-1B82-44BA-9A2B-51CC884C4ADF}"/>
    <cellStyle name="SAPBEXHLevel3 3 3 4 2" xfId="18539" xr:uid="{C7E198E5-FE52-439B-8AC4-F56F0CB6C19F}"/>
    <cellStyle name="SAPBEXHLevel3 3 3 5" xfId="18540" xr:uid="{932F8EB6-4E82-48E1-B0E3-336DA387C4F5}"/>
    <cellStyle name="SAPBEXHLevel3 3 3 5 2" xfId="18541" xr:uid="{3A56575C-9843-41D5-96E4-A1286AAE89C9}"/>
    <cellStyle name="SAPBEXHLevel3 3 3 6" xfId="18542" xr:uid="{01E0B0B5-FA29-4026-8778-D495477EED18}"/>
    <cellStyle name="SAPBEXHLevel3 3 3 6 2" xfId="18543" xr:uid="{6718DA78-C3E9-43C2-8CC7-B437ECD4156A}"/>
    <cellStyle name="SAPBEXHLevel3 3 3 7" xfId="18544" xr:uid="{988A478E-01F1-4620-BB78-958C7D5F8FAD}"/>
    <cellStyle name="SAPBEXHLevel3 3 3 7 2" xfId="18545" xr:uid="{DDF2148C-664A-47B7-8C8D-565B2FE7156D}"/>
    <cellStyle name="SAPBEXHLevel3 3 3 8" xfId="18546" xr:uid="{2B0D41CB-3C8C-4FCE-BED4-09F804FC66E6}"/>
    <cellStyle name="SAPBEXHLevel3 3 3 8 2" xfId="18547" xr:uid="{B17F687C-881B-4C53-A859-800F4C20C184}"/>
    <cellStyle name="SAPBEXHLevel3 3 3 9" xfId="18548" xr:uid="{CEE87818-CB3D-4E3A-8976-C907E668E3E7}"/>
    <cellStyle name="SAPBEXHLevel3 3 3 9 2" xfId="18549" xr:uid="{D749EA24-6C2B-485A-B178-710FEDFF51F1}"/>
    <cellStyle name="SAPBEXHLevel3 3 4" xfId="18550" xr:uid="{C3EE48A3-29CC-4E80-B83E-441DDC003DF6}"/>
    <cellStyle name="SAPBEXHLevel3 3 4 2" xfId="18551" xr:uid="{8C904525-6F3F-4DFD-8742-0777CF2B13B1}"/>
    <cellStyle name="SAPBEXHLevel3 3 5" xfId="18552" xr:uid="{673FC928-DEBF-4CCE-B37F-3B09C1EDF378}"/>
    <cellStyle name="SAPBEXHLevel3 3 5 2" xfId="18553" xr:uid="{97550EE6-826E-473E-B377-A46460BD3F19}"/>
    <cellStyle name="SAPBEXHLevel3 3 6" xfId="18554" xr:uid="{E68CD0CF-FFBE-48F5-B134-C4CF48D28BF9}"/>
    <cellStyle name="SAPBEXHLevel3 3 6 2" xfId="18555" xr:uid="{1ABDD770-1D7D-4798-AE51-BB2446634A8A}"/>
    <cellStyle name="SAPBEXHLevel3 3 7" xfId="18556" xr:uid="{724B9CA0-0657-43A4-A984-FD86FF40438B}"/>
    <cellStyle name="SAPBEXHLevel3 3 7 2" xfId="18557" xr:uid="{60B93C87-31CC-4292-87C3-C7BB283B1790}"/>
    <cellStyle name="SAPBEXHLevel3 3 8" xfId="18558" xr:uid="{3386981D-FA07-40B7-BC04-8BA6428492C4}"/>
    <cellStyle name="SAPBEXHLevel3 3 8 2" xfId="18559" xr:uid="{8309A7C3-CE1C-4BAF-BC6E-F7B0D1643B12}"/>
    <cellStyle name="SAPBEXHLevel3 3 9" xfId="18560" xr:uid="{FF3922DA-2BE9-4A78-ABF8-C29E634A26EE}"/>
    <cellStyle name="SAPBEXHLevel3 3 9 2" xfId="18561" xr:uid="{ADCA1CCF-AF7A-4B14-B519-3B23972F97D6}"/>
    <cellStyle name="SAPBEXHLevel3 3_T1 ANSP" xfId="18472" xr:uid="{C4797D53-6274-464A-8AD5-EB21DBA9BD3E}"/>
    <cellStyle name="SAPBEXHLevel3 4" xfId="18562" xr:uid="{5695FDB9-66E6-4DAF-8E6B-7D3CAC9E8280}"/>
    <cellStyle name="SAPBEXHLevel3 4 10" xfId="18563" xr:uid="{FF71BED9-959D-4DC9-A6AE-EB84C749E788}"/>
    <cellStyle name="SAPBEXHLevel3 4 10 2" xfId="18564" xr:uid="{D4ECDA28-7E4F-4E84-9C53-07C6ADC9B96A}"/>
    <cellStyle name="SAPBEXHLevel3 4 11" xfId="18565" xr:uid="{B6E5BF9A-4A69-4B3D-A4CD-FA8BA016ADE2}"/>
    <cellStyle name="SAPBEXHLevel3 4 11 2" xfId="18566" xr:uid="{7F2BFF44-23FC-4DC7-8D67-9233FB4440E6}"/>
    <cellStyle name="SAPBEXHLevel3 4 12" xfId="18567" xr:uid="{CC7C3866-D221-4CC7-B812-5877CE704E42}"/>
    <cellStyle name="SAPBEXHLevel3 4 12 2" xfId="18568" xr:uid="{B67E9D1C-F37C-425E-9E4C-9161000B24AD}"/>
    <cellStyle name="SAPBEXHLevel3 4 13" xfId="18569" xr:uid="{3699894C-226C-441F-B224-E70BE36A5EE7}"/>
    <cellStyle name="SAPBEXHLevel3 4 13 2" xfId="18570" xr:uid="{35ADCE59-66C2-401E-8A0D-39214B4AA3D3}"/>
    <cellStyle name="SAPBEXHLevel3 4 14" xfId="18571" xr:uid="{50031F58-35B3-4C9D-956D-26D0ADADC819}"/>
    <cellStyle name="SAPBEXHLevel3 4 14 2" xfId="18572" xr:uid="{42F5CE43-39B9-43CF-BE95-4AA32B8C0FC5}"/>
    <cellStyle name="SAPBEXHLevel3 4 15" xfId="18573" xr:uid="{8A6BA2DF-2CF1-48C4-B72E-3D55215A75AB}"/>
    <cellStyle name="SAPBEXHLevel3 4 15 2" xfId="18574" xr:uid="{CC90F3E3-AAAD-4C4C-AB3D-EFAB122398A8}"/>
    <cellStyle name="SAPBEXHLevel3 4 16" xfId="18575" xr:uid="{231E404E-481F-4853-B8E1-7F4A3C8A8449}"/>
    <cellStyle name="SAPBEXHLevel3 4 16 2" xfId="18576" xr:uid="{252B1B5B-2511-40F6-A760-4533BEB5AC6E}"/>
    <cellStyle name="SAPBEXHLevel3 4 17" xfId="18577" xr:uid="{2942D93A-8A40-418A-AE16-7DD3212A3321}"/>
    <cellStyle name="SAPBEXHLevel3 4 17 2" xfId="18578" xr:uid="{56D4ECC1-1FE2-4FE6-8C34-6E06C565FC24}"/>
    <cellStyle name="SAPBEXHLevel3 4 18" xfId="18579" xr:uid="{A82070BF-780D-4EFF-9DA9-F8CA06B0BD23}"/>
    <cellStyle name="SAPBEXHLevel3 4 2" xfId="18580" xr:uid="{919F4709-EF28-485C-976A-1FA61BA4FB43}"/>
    <cellStyle name="SAPBEXHLevel3 4 2 10" xfId="18581" xr:uid="{B6E83E82-4054-4770-B6CA-1C1F6BD03012}"/>
    <cellStyle name="SAPBEXHLevel3 4 2 10 2" xfId="18582" xr:uid="{DB831491-FB3B-408E-ADB1-EBCA3E1E1485}"/>
    <cellStyle name="SAPBEXHLevel3 4 2 11" xfId="18583" xr:uid="{2EF921DA-D30B-4894-824D-617CB0465A6A}"/>
    <cellStyle name="SAPBEXHLevel3 4 2 11 2" xfId="18584" xr:uid="{3DBEB673-BEE8-4A65-9AC6-4FFEDB19144F}"/>
    <cellStyle name="SAPBEXHLevel3 4 2 12" xfId="18585" xr:uid="{31D5E507-7E86-444C-B1C3-BA20D2166DA3}"/>
    <cellStyle name="SAPBEXHLevel3 4 2 12 2" xfId="18586" xr:uid="{B038D836-740B-43D6-AC16-80F82CC875DE}"/>
    <cellStyle name="SAPBEXHLevel3 4 2 13" xfId="18587" xr:uid="{F28397DD-41A7-46A6-835F-46C7536F440A}"/>
    <cellStyle name="SAPBEXHLevel3 4 2 13 2" xfId="18588" xr:uid="{E9EFAC49-3C1C-42B8-9116-A0E50AE3CC52}"/>
    <cellStyle name="SAPBEXHLevel3 4 2 14" xfId="18589" xr:uid="{DF15324C-017E-4748-A0EB-CCB64CE235B2}"/>
    <cellStyle name="SAPBEXHLevel3 4 2 14 2" xfId="18590" xr:uid="{9F179EFA-6691-4927-94A8-436996061E9C}"/>
    <cellStyle name="SAPBEXHLevel3 4 2 15" xfId="18591" xr:uid="{4CB0F41C-8F4F-4FF1-B6FC-AFBFAF268419}"/>
    <cellStyle name="SAPBEXHLevel3 4 2 15 2" xfId="18592" xr:uid="{3F3B5D15-6C43-49C6-9E52-4E13B0F1ECC8}"/>
    <cellStyle name="SAPBEXHLevel3 4 2 16" xfId="18593" xr:uid="{9F8E5FA8-BDE8-4280-8D4F-AFA3FB773A05}"/>
    <cellStyle name="SAPBEXHLevel3 4 2 2" xfId="18594" xr:uid="{A4AFDDF3-FDE3-4DC0-A5CA-48956AE87E2F}"/>
    <cellStyle name="SAPBEXHLevel3 4 2 2 2" xfId="18595" xr:uid="{404B4A1C-332F-4A79-B1B0-96A96932EBD3}"/>
    <cellStyle name="SAPBEXHLevel3 4 2 3" xfId="18596" xr:uid="{E1DE89A3-82F2-45E7-997C-6ECB7EE0A82E}"/>
    <cellStyle name="SAPBEXHLevel3 4 2 3 2" xfId="18597" xr:uid="{AC4C5620-ACAC-4B8A-891B-0D72B0C0A398}"/>
    <cellStyle name="SAPBEXHLevel3 4 2 4" xfId="18598" xr:uid="{A1A1FA6A-A197-4243-9D2B-53ABA5E48174}"/>
    <cellStyle name="SAPBEXHLevel3 4 2 4 2" xfId="18599" xr:uid="{3E51FBF8-F79A-4F94-946E-8EF48556D290}"/>
    <cellStyle name="SAPBEXHLevel3 4 2 5" xfId="18600" xr:uid="{081F8682-F9B1-4236-9262-766B37CBA48D}"/>
    <cellStyle name="SAPBEXHLevel3 4 2 5 2" xfId="18601" xr:uid="{DA4046D2-5E85-410E-B224-CA6CFC77EF69}"/>
    <cellStyle name="SAPBEXHLevel3 4 2 6" xfId="18602" xr:uid="{45F3FC09-CCBA-4434-93BB-147015E95FED}"/>
    <cellStyle name="SAPBEXHLevel3 4 2 6 2" xfId="18603" xr:uid="{4DAF458E-AAB0-43DB-AF26-3BABEE86659B}"/>
    <cellStyle name="SAPBEXHLevel3 4 2 7" xfId="18604" xr:uid="{CB525578-DA18-4C8A-B7BA-FEDB388A6F02}"/>
    <cellStyle name="SAPBEXHLevel3 4 2 7 2" xfId="18605" xr:uid="{6761897B-E2C4-4BB0-BD56-5F98810DEA68}"/>
    <cellStyle name="SAPBEXHLevel3 4 2 8" xfId="18606" xr:uid="{6A03BFB5-F33E-4E70-9747-ACA9110085DB}"/>
    <cellStyle name="SAPBEXHLevel3 4 2 8 2" xfId="18607" xr:uid="{96DB9604-4F48-4F45-B206-2E7EDE87C29C}"/>
    <cellStyle name="SAPBEXHLevel3 4 2 9" xfId="18608" xr:uid="{868A9CD8-153D-47C0-BB57-0D5A1B1A4667}"/>
    <cellStyle name="SAPBEXHLevel3 4 2 9 2" xfId="18609" xr:uid="{1E3D99E4-90CE-4E05-8D39-77B96C63FB3C}"/>
    <cellStyle name="SAPBEXHLevel3 4 3" xfId="18610" xr:uid="{C3C9E173-BB5B-4D91-9D98-CD23BBC6F751}"/>
    <cellStyle name="SAPBEXHLevel3 4 3 10" xfId="18611" xr:uid="{D9B3F58F-3F6D-4564-B895-A08FA1342501}"/>
    <cellStyle name="SAPBEXHLevel3 4 3 10 2" xfId="18612" xr:uid="{8ACC0043-2528-45E2-B9E3-25C07E799229}"/>
    <cellStyle name="SAPBEXHLevel3 4 3 11" xfId="18613" xr:uid="{8C5387AD-3CE8-4F62-B1BC-8FD4A9EAABEC}"/>
    <cellStyle name="SAPBEXHLevel3 4 3 11 2" xfId="18614" xr:uid="{A6A6A89E-7E86-4EB8-AC0D-132E1ED11CDE}"/>
    <cellStyle name="SAPBEXHLevel3 4 3 12" xfId="18615" xr:uid="{CC4EA7AF-762C-4793-B5C8-2696A771B151}"/>
    <cellStyle name="SAPBEXHLevel3 4 3 12 2" xfId="18616" xr:uid="{71D00797-8429-459C-B663-F74A2022D1ED}"/>
    <cellStyle name="SAPBEXHLevel3 4 3 13" xfId="18617" xr:uid="{616B3596-C630-4161-948F-6E0CB210F70D}"/>
    <cellStyle name="SAPBEXHLevel3 4 3 13 2" xfId="18618" xr:uid="{EC2D73BE-8497-46D3-BC14-E371654AEF46}"/>
    <cellStyle name="SAPBEXHLevel3 4 3 14" xfId="18619" xr:uid="{3F7DBB95-505D-4B19-B976-06CD6B076D20}"/>
    <cellStyle name="SAPBEXHLevel3 4 3 14 2" xfId="18620" xr:uid="{D9B5DEC7-10BC-440B-8C1E-C9819C20DC7C}"/>
    <cellStyle name="SAPBEXHLevel3 4 3 15" xfId="18621" xr:uid="{B0E8F4DA-0A2D-4B26-AB31-49363D1870F8}"/>
    <cellStyle name="SAPBEXHLevel3 4 3 15 2" xfId="18622" xr:uid="{D6D02159-4821-452B-BF40-80230EE0385A}"/>
    <cellStyle name="SAPBEXHLevel3 4 3 16" xfId="18623" xr:uid="{FAEB2208-3061-4A50-8B6D-59C126C37F08}"/>
    <cellStyle name="SAPBEXHLevel3 4 3 2" xfId="18624" xr:uid="{38433F8F-F093-4A04-A782-117A1E009C26}"/>
    <cellStyle name="SAPBEXHLevel3 4 3 2 2" xfId="18625" xr:uid="{A2716B21-0CE4-4703-BC0E-008DF7445D0C}"/>
    <cellStyle name="SAPBEXHLevel3 4 3 3" xfId="18626" xr:uid="{F400A50F-8515-45E1-A8F8-922486F8F111}"/>
    <cellStyle name="SAPBEXHLevel3 4 3 3 2" xfId="18627" xr:uid="{95949F97-F38B-4732-B3FA-157D100CE383}"/>
    <cellStyle name="SAPBEXHLevel3 4 3 4" xfId="18628" xr:uid="{23782BB5-D6F6-414F-BD29-882C393BD632}"/>
    <cellStyle name="SAPBEXHLevel3 4 3 4 2" xfId="18629" xr:uid="{01E6C7F2-F8A7-4646-B287-F278DD0DDC55}"/>
    <cellStyle name="SAPBEXHLevel3 4 3 5" xfId="18630" xr:uid="{ADB9E643-E74D-48EA-8EE8-AD03DD3934CC}"/>
    <cellStyle name="SAPBEXHLevel3 4 3 5 2" xfId="18631" xr:uid="{C58CDE09-AA30-40D2-BC37-79878DC5C059}"/>
    <cellStyle name="SAPBEXHLevel3 4 3 6" xfId="18632" xr:uid="{D6797D58-C5E3-4821-83B2-45837B435E68}"/>
    <cellStyle name="SAPBEXHLevel3 4 3 6 2" xfId="18633" xr:uid="{B35B94F5-8F3D-428C-9AF0-8D2F1622DBE3}"/>
    <cellStyle name="SAPBEXHLevel3 4 3 7" xfId="18634" xr:uid="{308F9ABE-7847-43C5-95DF-E5FC5AC2D5B9}"/>
    <cellStyle name="SAPBEXHLevel3 4 3 7 2" xfId="18635" xr:uid="{22DBEBEE-D24D-40D9-B933-032E225A283F}"/>
    <cellStyle name="SAPBEXHLevel3 4 3 8" xfId="18636" xr:uid="{1EF9BEBA-0CC7-4424-BBAB-D16112C01586}"/>
    <cellStyle name="SAPBEXHLevel3 4 3 8 2" xfId="18637" xr:uid="{15055088-E16D-420B-B7E5-BE67BD3649F9}"/>
    <cellStyle name="SAPBEXHLevel3 4 3 9" xfId="18638" xr:uid="{DB07FF29-F7D4-400B-82F2-C31C667FC6CF}"/>
    <cellStyle name="SAPBEXHLevel3 4 3 9 2" xfId="18639" xr:uid="{5158C062-C35B-4036-B1B7-BA22A4A6A93F}"/>
    <cellStyle name="SAPBEXHLevel3 4 4" xfId="18640" xr:uid="{354A9106-0029-4CA6-B85D-244A6EDC42EC}"/>
    <cellStyle name="SAPBEXHLevel3 4 4 2" xfId="18641" xr:uid="{4310BFAE-BCC9-48F4-843F-13B31D7682E1}"/>
    <cellStyle name="SAPBEXHLevel3 4 5" xfId="18642" xr:uid="{ACD3CFE9-DF47-44B3-AFBD-51E1F33D9FA6}"/>
    <cellStyle name="SAPBEXHLevel3 4 5 2" xfId="18643" xr:uid="{82C526A3-E2C3-4303-BD65-51984C96CE2F}"/>
    <cellStyle name="SAPBEXHLevel3 4 6" xfId="18644" xr:uid="{00FDBF19-93CB-4BDE-AB8B-D6F95914781F}"/>
    <cellStyle name="SAPBEXHLevel3 4 6 2" xfId="18645" xr:uid="{B1994F76-C6A7-4F4F-920C-1EE5E0734061}"/>
    <cellStyle name="SAPBEXHLevel3 4 7" xfId="18646" xr:uid="{B6A0D1D7-471D-4D87-80F4-657716B9761B}"/>
    <cellStyle name="SAPBEXHLevel3 4 7 2" xfId="18647" xr:uid="{CF873B8F-5A39-4534-8E06-A265C5560B20}"/>
    <cellStyle name="SAPBEXHLevel3 4 8" xfId="18648" xr:uid="{00119B87-400B-4066-AC57-18108C9F7800}"/>
    <cellStyle name="SAPBEXHLevel3 4 8 2" xfId="18649" xr:uid="{265AF6C9-59B8-4056-9486-BEC848215A67}"/>
    <cellStyle name="SAPBEXHLevel3 4 9" xfId="18650" xr:uid="{4C9C8E4E-3432-4F80-AEB0-A20BAB0B08BA}"/>
    <cellStyle name="SAPBEXHLevel3 4 9 2" xfId="18651" xr:uid="{457CA257-0659-407C-B549-1B23A2BBC41D}"/>
    <cellStyle name="SAPBEXHLevel3 5" xfId="18652" xr:uid="{6165B448-8A1B-4997-97AA-8B9A05180744}"/>
    <cellStyle name="SAPBEXHLevel3 5 10" xfId="18653" xr:uid="{1C6F3AEC-85DA-4CE0-9B7E-F48307D3BAA9}"/>
    <cellStyle name="SAPBEXHLevel3 5 10 2" xfId="18654" xr:uid="{B5E8D198-3F8D-4495-81E8-A5B77106BB28}"/>
    <cellStyle name="SAPBEXHLevel3 5 11" xfId="18655" xr:uid="{28584137-74E6-49F6-822F-75AC5AAE3512}"/>
    <cellStyle name="SAPBEXHLevel3 5 11 2" xfId="18656" xr:uid="{05C420F3-4720-4C11-B43E-F1E49B430E35}"/>
    <cellStyle name="SAPBEXHLevel3 5 12" xfId="18657" xr:uid="{A8AACC4C-D413-4773-A2B4-C04929B7F88E}"/>
    <cellStyle name="SAPBEXHLevel3 5 12 2" xfId="18658" xr:uid="{557DBA1C-0CE8-4CB9-A795-D007DFAC733B}"/>
    <cellStyle name="SAPBEXHLevel3 5 13" xfId="18659" xr:uid="{303F0835-6B24-40DD-A2C0-9DC11417E5CF}"/>
    <cellStyle name="SAPBEXHLevel3 5 13 2" xfId="18660" xr:uid="{D1C6BAA3-682C-46AB-B01E-C5C48E2AF68C}"/>
    <cellStyle name="SAPBEXHLevel3 5 14" xfId="18661" xr:uid="{10062665-4DB7-44C0-BEDE-9CEB6E9091CB}"/>
    <cellStyle name="SAPBEXHLevel3 5 14 2" xfId="18662" xr:uid="{735CC598-6ABD-4BCB-9DD0-9C44183591DB}"/>
    <cellStyle name="SAPBEXHLevel3 5 15" xfId="18663" xr:uid="{53800158-6EE4-406D-9355-72B9660AA545}"/>
    <cellStyle name="SAPBEXHLevel3 5 15 2" xfId="18664" xr:uid="{A53EC6AA-A358-48A4-B540-CEE3DBD34252}"/>
    <cellStyle name="SAPBEXHLevel3 5 16" xfId="18665" xr:uid="{493E5151-591E-4512-8C65-216B7F1338C1}"/>
    <cellStyle name="SAPBEXHLevel3 5 16 2" xfId="18666" xr:uid="{A7B3FC59-EC66-4AFC-B92E-A57D67DC8C16}"/>
    <cellStyle name="SAPBEXHLevel3 5 17" xfId="18667" xr:uid="{4295FAB5-22A6-4BB2-B4B2-D46C86370581}"/>
    <cellStyle name="SAPBEXHLevel3 5 17 2" xfId="18668" xr:uid="{8891A3F4-BF51-46F4-9CDD-9A2E927B4111}"/>
    <cellStyle name="SAPBEXHLevel3 5 18" xfId="18669" xr:uid="{0E26C147-43F7-4E33-89AC-0775682140CC}"/>
    <cellStyle name="SAPBEXHLevel3 5 2" xfId="18670" xr:uid="{F7639A4D-6842-4C86-ADF8-3CD973108D85}"/>
    <cellStyle name="SAPBEXHLevel3 5 2 10" xfId="18671" xr:uid="{0A149237-EF65-428A-A0ED-CCF2D0DD6FDE}"/>
    <cellStyle name="SAPBEXHLevel3 5 2 10 2" xfId="18672" xr:uid="{CDDD7B3E-11EC-44AF-8763-1376E1BC1785}"/>
    <cellStyle name="SAPBEXHLevel3 5 2 11" xfId="18673" xr:uid="{81565382-DB75-46C6-BA60-654EC0994E0E}"/>
    <cellStyle name="SAPBEXHLevel3 5 2 11 2" xfId="18674" xr:uid="{620DF960-E613-42DB-94BB-866AA53F17F0}"/>
    <cellStyle name="SAPBEXHLevel3 5 2 12" xfId="18675" xr:uid="{3B8B94A2-308C-4522-A330-737F397C4FD9}"/>
    <cellStyle name="SAPBEXHLevel3 5 2 12 2" xfId="18676" xr:uid="{85758181-0E1B-406D-B683-6DCF5327BB09}"/>
    <cellStyle name="SAPBEXHLevel3 5 2 13" xfId="18677" xr:uid="{07AC040D-2857-444F-AAF8-EA599C8C2B3F}"/>
    <cellStyle name="SAPBEXHLevel3 5 2 13 2" xfId="18678" xr:uid="{EFB40299-1536-4C5C-A567-4B9A75532B2B}"/>
    <cellStyle name="SAPBEXHLevel3 5 2 14" xfId="18679" xr:uid="{A234EC35-9C6E-40FC-91EF-2CDFDAE02901}"/>
    <cellStyle name="SAPBEXHLevel3 5 2 14 2" xfId="18680" xr:uid="{7D7C3102-355F-43D0-8DD2-D95B66071B5E}"/>
    <cellStyle name="SAPBEXHLevel3 5 2 15" xfId="18681" xr:uid="{AB0845B9-6509-4058-9522-0A80CA4A935F}"/>
    <cellStyle name="SAPBEXHLevel3 5 2 15 2" xfId="18682" xr:uid="{7D41E78F-DABA-491E-8CAB-144F5FB1682D}"/>
    <cellStyle name="SAPBEXHLevel3 5 2 16" xfId="18683" xr:uid="{58600651-BDD7-4098-AA18-13CF9DE1563C}"/>
    <cellStyle name="SAPBEXHLevel3 5 2 2" xfId="18684" xr:uid="{7A51A6F0-221E-45FC-9A79-C5AD8AB22C42}"/>
    <cellStyle name="SAPBEXHLevel3 5 2 2 2" xfId="18685" xr:uid="{66ACD4CA-60FE-49A4-BCE9-D15E5FAC1132}"/>
    <cellStyle name="SAPBEXHLevel3 5 2 3" xfId="18686" xr:uid="{2121E6C8-4BA0-4CCE-9751-90FF51972363}"/>
    <cellStyle name="SAPBEXHLevel3 5 2 3 2" xfId="18687" xr:uid="{EF13AD69-7AC6-48D5-9A5F-B4EA97DC56AC}"/>
    <cellStyle name="SAPBEXHLevel3 5 2 4" xfId="18688" xr:uid="{04FD4148-684E-46D1-8A37-035BAA324B6A}"/>
    <cellStyle name="SAPBEXHLevel3 5 2 4 2" xfId="18689" xr:uid="{F7BF16C8-7156-41DF-9AB7-5F6458CED1C6}"/>
    <cellStyle name="SAPBEXHLevel3 5 2 5" xfId="18690" xr:uid="{DA0AB818-B456-45C6-B1C9-1050BE8C45C7}"/>
    <cellStyle name="SAPBEXHLevel3 5 2 5 2" xfId="18691" xr:uid="{5F3E4DF8-DDC3-4F9F-AD67-696D65F96243}"/>
    <cellStyle name="SAPBEXHLevel3 5 2 6" xfId="18692" xr:uid="{36DF97FB-1D3C-4CE3-ABCA-A0BF96A9740F}"/>
    <cellStyle name="SAPBEXHLevel3 5 2 6 2" xfId="18693" xr:uid="{4085EB73-2110-4ED6-BF21-EC5FF4DAE1E2}"/>
    <cellStyle name="SAPBEXHLevel3 5 2 7" xfId="18694" xr:uid="{1EC6A4DB-1A83-42E1-8265-2539BFE11D46}"/>
    <cellStyle name="SAPBEXHLevel3 5 2 7 2" xfId="18695" xr:uid="{D14A8E9D-A435-4769-A2E9-405E31C08D5D}"/>
    <cellStyle name="SAPBEXHLevel3 5 2 8" xfId="18696" xr:uid="{90671BF9-4B37-478B-B1D8-C587C6300683}"/>
    <cellStyle name="SAPBEXHLevel3 5 2 8 2" xfId="18697" xr:uid="{4780BEEF-9AE2-413D-841E-2949F6ECA01C}"/>
    <cellStyle name="SAPBEXHLevel3 5 2 9" xfId="18698" xr:uid="{E519DBF9-5960-4AF1-BAB1-03095A9E5E0B}"/>
    <cellStyle name="SAPBEXHLevel3 5 2 9 2" xfId="18699" xr:uid="{56F23C6E-3102-483F-B5D1-C190AE2E854B}"/>
    <cellStyle name="SAPBEXHLevel3 5 3" xfId="18700" xr:uid="{73BA05A0-BF20-4E66-BC29-DE77F1ECB915}"/>
    <cellStyle name="SAPBEXHLevel3 5 3 10" xfId="18701" xr:uid="{EFFE36B4-1647-4FB4-A3FB-6B7A0A344A69}"/>
    <cellStyle name="SAPBEXHLevel3 5 3 10 2" xfId="18702" xr:uid="{92AF5468-E5E8-4C41-8256-83661AAAEEC7}"/>
    <cellStyle name="SAPBEXHLevel3 5 3 11" xfId="18703" xr:uid="{3977B2E7-CD18-457D-AE0D-ED7683C48455}"/>
    <cellStyle name="SAPBEXHLevel3 5 3 11 2" xfId="18704" xr:uid="{6F0BA2DE-6874-4EC2-AA00-2DC232A9494F}"/>
    <cellStyle name="SAPBEXHLevel3 5 3 12" xfId="18705" xr:uid="{A939D1FC-2697-4D48-A83E-E12DC7D46708}"/>
    <cellStyle name="SAPBEXHLevel3 5 3 12 2" xfId="18706" xr:uid="{7DF999CC-E4E6-4819-960F-9C57CC09E9FF}"/>
    <cellStyle name="SAPBEXHLevel3 5 3 13" xfId="18707" xr:uid="{1A15DDF6-C655-4633-886D-D6441F2A9546}"/>
    <cellStyle name="SAPBEXHLevel3 5 3 13 2" xfId="18708" xr:uid="{C575F640-768A-4C3A-97BA-DE58F208B275}"/>
    <cellStyle name="SAPBEXHLevel3 5 3 14" xfId="18709" xr:uid="{910EC642-E03A-4964-9B7D-2C4643AFD0EA}"/>
    <cellStyle name="SAPBEXHLevel3 5 3 14 2" xfId="18710" xr:uid="{0C18E362-D10C-4167-9073-4ADEAE894E01}"/>
    <cellStyle name="SAPBEXHLevel3 5 3 15" xfId="18711" xr:uid="{1350917D-3460-440D-B77B-2EE2CF12D437}"/>
    <cellStyle name="SAPBEXHLevel3 5 3 15 2" xfId="18712" xr:uid="{278A6A21-7A35-4D69-AF53-4588BDE90DAE}"/>
    <cellStyle name="SAPBEXHLevel3 5 3 16" xfId="18713" xr:uid="{5A654577-1BEC-459A-8845-167F250B1563}"/>
    <cellStyle name="SAPBEXHLevel3 5 3 2" xfId="18714" xr:uid="{CBC056D1-ED76-490D-8EDB-7AD0BB88819D}"/>
    <cellStyle name="SAPBEXHLevel3 5 3 2 2" xfId="18715" xr:uid="{B5EF4187-EF72-4CB1-8242-E6A8ABCB8EC2}"/>
    <cellStyle name="SAPBEXHLevel3 5 3 3" xfId="18716" xr:uid="{EF148587-4109-4758-8461-F73AF811C58E}"/>
    <cellStyle name="SAPBEXHLevel3 5 3 3 2" xfId="18717" xr:uid="{B4CCBDC0-2758-4BDC-9629-840F555DAE16}"/>
    <cellStyle name="SAPBEXHLevel3 5 3 4" xfId="18718" xr:uid="{4691F75D-838A-4C68-BF9B-3A44047ECD1C}"/>
    <cellStyle name="SAPBEXHLevel3 5 3 4 2" xfId="18719" xr:uid="{D3D0DE1B-B541-47FA-B052-1AC228EFEB35}"/>
    <cellStyle name="SAPBEXHLevel3 5 3 5" xfId="18720" xr:uid="{63DF1465-0C3B-4B16-98C0-F21BFBFCE7CF}"/>
    <cellStyle name="SAPBEXHLevel3 5 3 5 2" xfId="18721" xr:uid="{83A25E49-7755-4D95-B510-6D57A067573D}"/>
    <cellStyle name="SAPBEXHLevel3 5 3 6" xfId="18722" xr:uid="{19D0D546-79D1-4A22-85E6-9305F3AD1EF6}"/>
    <cellStyle name="SAPBEXHLevel3 5 3 6 2" xfId="18723" xr:uid="{E431E2DC-AED9-4547-8436-D12947854276}"/>
    <cellStyle name="SAPBEXHLevel3 5 3 7" xfId="18724" xr:uid="{42BA0CFD-50FA-40C2-9EDC-553573B9E2D1}"/>
    <cellStyle name="SAPBEXHLevel3 5 3 7 2" xfId="18725" xr:uid="{1913C47A-A06C-4C37-82A6-BF5A2F496CB9}"/>
    <cellStyle name="SAPBEXHLevel3 5 3 8" xfId="18726" xr:uid="{4B7CC75E-9F1A-4A3C-90D9-C52456028E54}"/>
    <cellStyle name="SAPBEXHLevel3 5 3 8 2" xfId="18727" xr:uid="{72632E2D-8BAD-4752-9094-066B584CBF42}"/>
    <cellStyle name="SAPBEXHLevel3 5 3 9" xfId="18728" xr:uid="{3FAF5B31-D238-499D-B086-610DFB4D5DB1}"/>
    <cellStyle name="SAPBEXHLevel3 5 3 9 2" xfId="18729" xr:uid="{8E224F67-2A43-49C4-9410-7929468BB447}"/>
    <cellStyle name="SAPBEXHLevel3 5 4" xfId="18730" xr:uid="{3CDFF83C-F2AC-46D3-AF91-CDC43D9B94E0}"/>
    <cellStyle name="SAPBEXHLevel3 5 4 2" xfId="18731" xr:uid="{244A7AF6-8C86-4B5B-8972-C4E7B1ED77AD}"/>
    <cellStyle name="SAPBEXHLevel3 5 5" xfId="18732" xr:uid="{FFFFFAB5-1495-4A62-9BE4-EC114A3DD50A}"/>
    <cellStyle name="SAPBEXHLevel3 5 5 2" xfId="18733" xr:uid="{BE247C97-35AC-4B5D-AECA-2A184E189FC5}"/>
    <cellStyle name="SAPBEXHLevel3 5 6" xfId="18734" xr:uid="{A7AA526D-DC38-4F66-96C1-5B0DA64B6991}"/>
    <cellStyle name="SAPBEXHLevel3 5 6 2" xfId="18735" xr:uid="{D309C934-EC50-4A1E-82EB-3709BE08D34D}"/>
    <cellStyle name="SAPBEXHLevel3 5 7" xfId="18736" xr:uid="{9E6BFC95-C5C8-429A-A857-B998F11C2626}"/>
    <cellStyle name="SAPBEXHLevel3 5 7 2" xfId="18737" xr:uid="{8F5C63B5-50C6-4A4E-88C5-542502B0AED9}"/>
    <cellStyle name="SAPBEXHLevel3 5 8" xfId="18738" xr:uid="{B08C7120-88B9-4233-A18A-6D174B2EF913}"/>
    <cellStyle name="SAPBEXHLevel3 5 8 2" xfId="18739" xr:uid="{F3403EF8-781B-4AC4-A5A1-7BE95B1C2615}"/>
    <cellStyle name="SAPBEXHLevel3 5 9" xfId="18740" xr:uid="{FF5919E7-DD84-4D38-9E6B-7A6C0FDE28F5}"/>
    <cellStyle name="SAPBEXHLevel3 5 9 2" xfId="18741" xr:uid="{9933BBFC-85FC-4809-BF6F-A506219710B8}"/>
    <cellStyle name="SAPBEXHLevel3 6" xfId="18742" xr:uid="{31144C01-1345-4C3C-BC65-634B8947A793}"/>
    <cellStyle name="SAPBEXHLevel3 6 10" xfId="18743" xr:uid="{96FDE541-049D-4D28-AE5F-049119455067}"/>
    <cellStyle name="SAPBEXHLevel3 6 10 2" xfId="18744" xr:uid="{EA9A2E9D-9D77-4CF0-88E3-520BC712221C}"/>
    <cellStyle name="SAPBEXHLevel3 6 11" xfId="18745" xr:uid="{A9DDAFA9-50A3-4FA0-B956-B79E6ACF8CAD}"/>
    <cellStyle name="SAPBEXHLevel3 6 11 2" xfId="18746" xr:uid="{DEAF75EE-82CC-4FE8-BDB0-3C0FCD545BF2}"/>
    <cellStyle name="SAPBEXHLevel3 6 12" xfId="18747" xr:uid="{D344D21C-1947-40B4-9051-1F1545F96697}"/>
    <cellStyle name="SAPBEXHLevel3 6 12 2" xfId="18748" xr:uid="{71F1FAB4-8B30-4A93-A87A-C112A32EEF01}"/>
    <cellStyle name="SAPBEXHLevel3 6 13" xfId="18749" xr:uid="{E3BBACCD-3D6A-4F18-A919-60DDAD963931}"/>
    <cellStyle name="SAPBEXHLevel3 6 13 2" xfId="18750" xr:uid="{B6359AB3-30A9-430E-86A0-BF8A59EAE8A8}"/>
    <cellStyle name="SAPBEXHLevel3 6 14" xfId="18751" xr:uid="{89EA4F78-5539-47B4-9255-372498B99294}"/>
    <cellStyle name="SAPBEXHLevel3 6 14 2" xfId="18752" xr:uid="{7CD092E2-97B0-4303-A9F6-BB94DE9B2B54}"/>
    <cellStyle name="SAPBEXHLevel3 6 15" xfId="18753" xr:uid="{6C6452BE-C849-473B-A085-FCBA5B691F4F}"/>
    <cellStyle name="SAPBEXHLevel3 6 15 2" xfId="18754" xr:uid="{C87A3DC3-1C21-4770-B1C3-65D9DE8122FE}"/>
    <cellStyle name="SAPBEXHLevel3 6 16" xfId="18755" xr:uid="{BA4FDDB6-8348-4E4B-B6FF-74638767FA3B}"/>
    <cellStyle name="SAPBEXHLevel3 6 2" xfId="18756" xr:uid="{919D5D34-39A9-40F1-AA7F-2D87C4F4851E}"/>
    <cellStyle name="SAPBEXHLevel3 6 2 2" xfId="18757" xr:uid="{8ED3D89F-E33F-4A44-B6DA-122154024D2A}"/>
    <cellStyle name="SAPBEXHLevel3 6 3" xfId="18758" xr:uid="{85EFC636-0911-4AE6-8C99-F9CEF402E67F}"/>
    <cellStyle name="SAPBEXHLevel3 6 3 2" xfId="18759" xr:uid="{2793662C-99FF-41D7-B9D1-C8CA2BD98BC9}"/>
    <cellStyle name="SAPBEXHLevel3 6 4" xfId="18760" xr:uid="{229166A7-C13C-4D5C-B5A8-2CF2B06000B5}"/>
    <cellStyle name="SAPBEXHLevel3 6 4 2" xfId="18761" xr:uid="{DE167720-A1BF-4FAA-AB23-1CF055C0E1FC}"/>
    <cellStyle name="SAPBEXHLevel3 6 5" xfId="18762" xr:uid="{7C4073A7-0269-462E-98A7-89B4A6A7DD49}"/>
    <cellStyle name="SAPBEXHLevel3 6 5 2" xfId="18763" xr:uid="{13441C30-0031-4243-84A6-444C5E4437DC}"/>
    <cellStyle name="SAPBEXHLevel3 6 6" xfId="18764" xr:uid="{90DCF417-0812-4C64-AD94-74A570FAA7C5}"/>
    <cellStyle name="SAPBEXHLevel3 6 6 2" xfId="18765" xr:uid="{B8B3BBA3-D511-4DB1-86A8-FF42E49E2895}"/>
    <cellStyle name="SAPBEXHLevel3 6 7" xfId="18766" xr:uid="{082EAD78-D910-4419-9F19-FE68339F36E6}"/>
    <cellStyle name="SAPBEXHLevel3 6 7 2" xfId="18767" xr:uid="{582F187C-3B10-4FF4-B3D5-E39201CA17B2}"/>
    <cellStyle name="SAPBEXHLevel3 6 8" xfId="18768" xr:uid="{2A934493-AB1B-489F-A182-7CB7140966E8}"/>
    <cellStyle name="SAPBEXHLevel3 6 8 2" xfId="18769" xr:uid="{A4541C1A-E082-477A-B369-2294C7AE7E06}"/>
    <cellStyle name="SAPBEXHLevel3 6 9" xfId="18770" xr:uid="{8BB1C5EC-05CE-4BDD-8086-F4CA1247CB4A}"/>
    <cellStyle name="SAPBEXHLevel3 6 9 2" xfId="18771" xr:uid="{FA95C087-EC3A-44E7-AC2F-01E722FA1FC5}"/>
    <cellStyle name="SAPBEXHLevel3 7" xfId="18772" xr:uid="{571BB109-D075-4082-974F-C749DADB7768}"/>
    <cellStyle name="SAPBEXHLevel3 7 2" xfId="18773" xr:uid="{73187DC3-18CF-4B04-9E1E-0C6AA0ED25B3}"/>
    <cellStyle name="SAPBEXHLevel3 8" xfId="18774" xr:uid="{40EA638F-359B-47BD-A2CC-54597E845795}"/>
    <cellStyle name="SAPBEXHLevel3 8 2" xfId="18775" xr:uid="{61DE168D-5DA2-4590-B629-0683DF263512}"/>
    <cellStyle name="SAPBEXHLevel3 9" xfId="18776" xr:uid="{25D29DF8-8540-4AF4-8509-9DD45ABF8B14}"/>
    <cellStyle name="SAPBEXHLevel3 9 2" xfId="18777" xr:uid="{94AFB1C3-0918-4824-BA7C-B8A5DDEA95D0}"/>
    <cellStyle name="SAPBEXHLevel3_T1 ANSP" xfId="18158" xr:uid="{07663D5F-02EF-4D60-80A8-CC987FE2D00C}"/>
    <cellStyle name="SAPBEXHLevel3X" xfId="753" xr:uid="{00000000-0005-0000-0000-0000A0050000}"/>
    <cellStyle name="SAPBEXHLevel3X 10" xfId="18779" xr:uid="{4D0F6F76-B64B-4D8E-AEF2-F525710932E7}"/>
    <cellStyle name="SAPBEXHLevel3X 10 2" xfId="18780" xr:uid="{C8DD53B3-3F57-403A-849C-2EAB45597411}"/>
    <cellStyle name="SAPBEXHLevel3X 11" xfId="18781" xr:uid="{6D32113F-D3EF-4CFC-AB3C-DB9460FE6F85}"/>
    <cellStyle name="SAPBEXHLevel3X 11 2" xfId="18782" xr:uid="{782FB59E-35F2-408C-A89F-6E480E29CA43}"/>
    <cellStyle name="SAPBEXHLevel3X 12" xfId="18783" xr:uid="{55F8F37E-2DDC-40F5-BF39-347F968A6ADC}"/>
    <cellStyle name="SAPBEXHLevel3X 12 2" xfId="18784" xr:uid="{552C1F75-CADA-499C-8BC9-DF465B97A87D}"/>
    <cellStyle name="SAPBEXHLevel3X 13" xfId="18785" xr:uid="{C6C7A0FF-88A0-455F-9B45-CCFB77677D86}"/>
    <cellStyle name="SAPBEXHLevel3X 13 2" xfId="18786" xr:uid="{81DB95AD-0AE7-41AD-BE9E-345B57CCC6A0}"/>
    <cellStyle name="SAPBEXHLevel3X 14" xfId="18787" xr:uid="{084BDAA3-E11C-4BBA-8C06-5D8F63B9E19F}"/>
    <cellStyle name="SAPBEXHLevel3X 14 2" xfId="18788" xr:uid="{8E524D98-672B-444D-BB22-D2622070169F}"/>
    <cellStyle name="SAPBEXHLevel3X 15" xfId="18789" xr:uid="{C2512C08-A192-477B-9601-BB8B759A3039}"/>
    <cellStyle name="SAPBEXHLevel3X 15 2" xfId="18790" xr:uid="{FB65C585-C3AA-468C-9624-2227A2C38D62}"/>
    <cellStyle name="SAPBEXHLevel3X 16" xfId="18791" xr:uid="{2E4F1546-B731-4E0E-9053-88AA88DA6202}"/>
    <cellStyle name="SAPBEXHLevel3X 16 2" xfId="18792" xr:uid="{6E5446FC-1115-497A-8711-E740B49852AD}"/>
    <cellStyle name="SAPBEXHLevel3X 17" xfId="18793" xr:uid="{AF1AD404-D521-4462-9E48-8995DD583120}"/>
    <cellStyle name="SAPBEXHLevel3X 17 2" xfId="18794" xr:uid="{30CCA1D8-BE89-4EAE-AA79-A40E9FF43AA4}"/>
    <cellStyle name="SAPBEXHLevel3X 18" xfId="18795" xr:uid="{72388575-A05F-4E69-8A4D-F221C43144C7}"/>
    <cellStyle name="SAPBEXHLevel3X 18 2" xfId="18796" xr:uid="{8A45DEA2-9AE9-422B-9A66-80DF57DC7DE3}"/>
    <cellStyle name="SAPBEXHLevel3X 19" xfId="18797" xr:uid="{A69182C4-3566-4CFF-A119-D5C09B9F339C}"/>
    <cellStyle name="SAPBEXHLevel3X 19 2" xfId="18798" xr:uid="{DBFB6888-3352-40FC-BC75-7D6CDFF76CFF}"/>
    <cellStyle name="SAPBEXHLevel3X 2" xfId="1567" xr:uid="{00000000-0005-0000-0000-0000A1050000}"/>
    <cellStyle name="SAPBEXHLevel3X 2 10" xfId="18800" xr:uid="{D47E0663-EB43-4655-819F-89C6B9FCB87D}"/>
    <cellStyle name="SAPBEXHLevel3X 2 10 2" xfId="18801" xr:uid="{52A5520B-ACE0-417E-B04F-7C74D25C2893}"/>
    <cellStyle name="SAPBEXHLevel3X 2 11" xfId="18802" xr:uid="{4E14A672-A099-490F-9F4F-34F5DAB9F8FD}"/>
    <cellStyle name="SAPBEXHLevel3X 2 11 2" xfId="18803" xr:uid="{8F0DD47A-0239-481F-95DE-54F851C6E62F}"/>
    <cellStyle name="SAPBEXHLevel3X 2 12" xfId="18804" xr:uid="{029FC536-742E-4CB5-8E2D-27D0077A05F3}"/>
    <cellStyle name="SAPBEXHLevel3X 2 12 2" xfId="18805" xr:uid="{A766839A-FB26-48B7-8068-75A964B5E92B}"/>
    <cellStyle name="SAPBEXHLevel3X 2 13" xfId="18806" xr:uid="{050375F5-04BC-4879-AFD2-44A10E596D7E}"/>
    <cellStyle name="SAPBEXHLevel3X 2 13 2" xfId="18807" xr:uid="{C7AC38AB-8F7B-45B4-BAFD-16483671B741}"/>
    <cellStyle name="SAPBEXHLevel3X 2 14" xfId="18808" xr:uid="{4E8B5653-48CC-4553-8FB0-99DE0436B02E}"/>
    <cellStyle name="SAPBEXHLevel3X 2 14 2" xfId="18809" xr:uid="{4C1904EC-04DF-4E81-976A-775A57CFE87A}"/>
    <cellStyle name="SAPBEXHLevel3X 2 15" xfId="18810" xr:uid="{CCF6D01D-D81D-441C-85D4-B6C95B55A898}"/>
    <cellStyle name="SAPBEXHLevel3X 2 15 2" xfId="18811" xr:uid="{5FA83B83-C3B6-48BB-B8BC-5DFA40D10938}"/>
    <cellStyle name="SAPBEXHLevel3X 2 16" xfId="18812" xr:uid="{7D8904E2-AE03-490E-9325-D531A8834848}"/>
    <cellStyle name="SAPBEXHLevel3X 2 16 2" xfId="18813" xr:uid="{7E042D36-605E-4139-AF71-9506F70F84C0}"/>
    <cellStyle name="SAPBEXHLevel3X 2 17" xfId="18814" xr:uid="{844877E4-55B1-48D5-AAB3-33E9CD6F0EA4}"/>
    <cellStyle name="SAPBEXHLevel3X 2 17 2" xfId="18815" xr:uid="{EADE86E8-D02E-45AB-B94F-3F079543DE36}"/>
    <cellStyle name="SAPBEXHLevel3X 2 18" xfId="18816" xr:uid="{119B1217-6EAA-4F37-8012-9A57D1284C7A}"/>
    <cellStyle name="SAPBEXHLevel3X 2 2" xfId="18817" xr:uid="{50D4B482-A493-4263-A6FA-3AA2338A30C6}"/>
    <cellStyle name="SAPBEXHLevel3X 2 2 10" xfId="18818" xr:uid="{203CCEBC-A286-4FFA-BA26-8740A7816B75}"/>
    <cellStyle name="SAPBEXHLevel3X 2 2 10 2" xfId="18819" xr:uid="{64D5FF0D-F09C-4264-A914-F67A737C2279}"/>
    <cellStyle name="SAPBEXHLevel3X 2 2 11" xfId="18820" xr:uid="{4D18B421-3741-4A10-8EE8-64B29F484ACD}"/>
    <cellStyle name="SAPBEXHLevel3X 2 2 11 2" xfId="18821" xr:uid="{957545EC-D859-4B66-8AC9-37A7855C11B5}"/>
    <cellStyle name="SAPBEXHLevel3X 2 2 12" xfId="18822" xr:uid="{ADCD4483-0A3C-47FC-B7F7-B16E4B7BB2AC}"/>
    <cellStyle name="SAPBEXHLevel3X 2 2 12 2" xfId="18823" xr:uid="{218D89C9-9C5A-4160-8BC1-92E809FDC288}"/>
    <cellStyle name="SAPBEXHLevel3X 2 2 13" xfId="18824" xr:uid="{52DCA9D4-0A4B-4A12-A980-BA6AD989B3AD}"/>
    <cellStyle name="SAPBEXHLevel3X 2 2 13 2" xfId="18825" xr:uid="{CE7E315E-D769-4E8A-ADB5-18D4EB2A06D3}"/>
    <cellStyle name="SAPBEXHLevel3X 2 2 14" xfId="18826" xr:uid="{0AC6D185-43A4-442F-AA63-93224E59DFB1}"/>
    <cellStyle name="SAPBEXHLevel3X 2 2 14 2" xfId="18827" xr:uid="{7C0726A3-924D-4B72-ABA4-7EC699DAE0E2}"/>
    <cellStyle name="SAPBEXHLevel3X 2 2 15" xfId="18828" xr:uid="{D803B023-A6B9-42D9-A5BC-269C4D0A0520}"/>
    <cellStyle name="SAPBEXHLevel3X 2 2 15 2" xfId="18829" xr:uid="{185BA0FF-2676-4757-BFF4-DBC220E4C5FC}"/>
    <cellStyle name="SAPBEXHLevel3X 2 2 16" xfId="18830" xr:uid="{57F9CF70-93AE-4069-8D2A-F6C310471717}"/>
    <cellStyle name="SAPBEXHLevel3X 2 2 16 2" xfId="18831" xr:uid="{35D18D37-9C7C-45F9-83BD-7FC6714C9035}"/>
    <cellStyle name="SAPBEXHLevel3X 2 2 17" xfId="18832" xr:uid="{510DB3CD-7B9B-4E04-9835-92AA7230FA0C}"/>
    <cellStyle name="SAPBEXHLevel3X 2 2 17 2" xfId="18833" xr:uid="{DD2B7C0E-10C7-4CBB-8523-1C0267178BA2}"/>
    <cellStyle name="SAPBEXHLevel3X 2 2 18" xfId="18834" xr:uid="{BB9DC57E-81F5-4157-BB4C-7022C8024507}"/>
    <cellStyle name="SAPBEXHLevel3X 2 2 2" xfId="18835" xr:uid="{84439A5C-B8B1-4638-BD1C-4AD3847777FC}"/>
    <cellStyle name="SAPBEXHLevel3X 2 2 2 10" xfId="18836" xr:uid="{B9E6930C-482D-4CC8-9A1B-9F6578AB2D85}"/>
    <cellStyle name="SAPBEXHLevel3X 2 2 2 10 2" xfId="18837" xr:uid="{57385CC7-8EBB-4D9E-893D-9DC2944F5E99}"/>
    <cellStyle name="SAPBEXHLevel3X 2 2 2 11" xfId="18838" xr:uid="{20D95BFB-0EAC-4E8E-8A86-6FDC899FB931}"/>
    <cellStyle name="SAPBEXHLevel3X 2 2 2 11 2" xfId="18839" xr:uid="{1CAC2385-C0E5-41DE-950C-704BD9B717B1}"/>
    <cellStyle name="SAPBEXHLevel3X 2 2 2 12" xfId="18840" xr:uid="{25FF914C-3C00-4025-B296-15292519A01A}"/>
    <cellStyle name="SAPBEXHLevel3X 2 2 2 12 2" xfId="18841" xr:uid="{25B4662B-7A00-4EC9-9FDE-ABCAE0F5C43B}"/>
    <cellStyle name="SAPBEXHLevel3X 2 2 2 13" xfId="18842" xr:uid="{4993BAA0-2EC8-4A0F-8102-5D0955846C64}"/>
    <cellStyle name="SAPBEXHLevel3X 2 2 2 13 2" xfId="18843" xr:uid="{83B124F1-0534-493C-AB06-F4EBE1A8DF5B}"/>
    <cellStyle name="SAPBEXHLevel3X 2 2 2 14" xfId="18844" xr:uid="{598853C1-8095-4E1D-ACEF-FC92A11FA350}"/>
    <cellStyle name="SAPBEXHLevel3X 2 2 2 14 2" xfId="18845" xr:uid="{9C9B50BB-1D7D-4050-AA16-9AD4CB3BA896}"/>
    <cellStyle name="SAPBEXHLevel3X 2 2 2 15" xfId="18846" xr:uid="{7F1AB7B5-5B58-4C3C-B31E-63A8A6273AF5}"/>
    <cellStyle name="SAPBEXHLevel3X 2 2 2 15 2" xfId="18847" xr:uid="{B4B31BB2-0381-4026-8FAF-003EEB69FAEE}"/>
    <cellStyle name="SAPBEXHLevel3X 2 2 2 16" xfId="18848" xr:uid="{BFD5D263-5FDE-4C20-8213-60B375D9D7A9}"/>
    <cellStyle name="SAPBEXHLevel3X 2 2 2 2" xfId="18849" xr:uid="{CA5AF603-5965-4D1D-BAC4-819D4D9A5522}"/>
    <cellStyle name="SAPBEXHLevel3X 2 2 2 2 2" xfId="18850" xr:uid="{80746014-1A5E-4EA8-90F3-526CF2152EDD}"/>
    <cellStyle name="SAPBEXHLevel3X 2 2 2 3" xfId="18851" xr:uid="{F38EA336-72F5-4968-A76B-FE92CBE53B20}"/>
    <cellStyle name="SAPBEXHLevel3X 2 2 2 3 2" xfId="18852" xr:uid="{C43B944C-BB83-4E5C-87A9-60C0B9B789E5}"/>
    <cellStyle name="SAPBEXHLevel3X 2 2 2 4" xfId="18853" xr:uid="{448537DB-22F2-4392-AC2C-8603C818CEE3}"/>
    <cellStyle name="SAPBEXHLevel3X 2 2 2 4 2" xfId="18854" xr:uid="{8382DBF5-AFFB-4222-9606-97A268E4BF6A}"/>
    <cellStyle name="SAPBEXHLevel3X 2 2 2 5" xfId="18855" xr:uid="{D593FAF4-2217-41A7-BA95-0EAAA851EDF1}"/>
    <cellStyle name="SAPBEXHLevel3X 2 2 2 5 2" xfId="18856" xr:uid="{17A993CB-786A-4FBC-9894-56F87D2456FC}"/>
    <cellStyle name="SAPBEXHLevel3X 2 2 2 6" xfId="18857" xr:uid="{6C285CE3-18E3-4DD4-90BD-BC42C435CB6F}"/>
    <cellStyle name="SAPBEXHLevel3X 2 2 2 6 2" xfId="18858" xr:uid="{9A650D7C-E912-4FED-AD39-66FC40FA1BF0}"/>
    <cellStyle name="SAPBEXHLevel3X 2 2 2 7" xfId="18859" xr:uid="{A87B5950-2C73-4AD7-9A24-45F3D0ABDAC2}"/>
    <cellStyle name="SAPBEXHLevel3X 2 2 2 7 2" xfId="18860" xr:uid="{743C2827-A468-443E-9A33-05D7B700DDE6}"/>
    <cellStyle name="SAPBEXHLevel3X 2 2 2 8" xfId="18861" xr:uid="{5CEBC696-B96B-4066-80A3-64CAC1CB2015}"/>
    <cellStyle name="SAPBEXHLevel3X 2 2 2 8 2" xfId="18862" xr:uid="{DBF8DF04-F622-4C32-95BF-1F2D9C563288}"/>
    <cellStyle name="SAPBEXHLevel3X 2 2 2 9" xfId="18863" xr:uid="{282F38A7-AE7C-4D86-9919-D22DEDF26DD8}"/>
    <cellStyle name="SAPBEXHLevel3X 2 2 2 9 2" xfId="18864" xr:uid="{85FDCF69-3356-4790-833E-FF08925A4A93}"/>
    <cellStyle name="SAPBEXHLevel3X 2 2 3" xfId="18865" xr:uid="{51F0CC54-980D-41A9-B0E0-BA95A027FDCF}"/>
    <cellStyle name="SAPBEXHLevel3X 2 2 3 10" xfId="18866" xr:uid="{D12F3F42-0DF2-46FA-A5A2-8B2B3724EBFF}"/>
    <cellStyle name="SAPBEXHLevel3X 2 2 3 10 2" xfId="18867" xr:uid="{FC032AD2-D2F3-4C3D-BF09-18DE32930042}"/>
    <cellStyle name="SAPBEXHLevel3X 2 2 3 11" xfId="18868" xr:uid="{07352292-B31F-48A6-9D66-351F92A840A4}"/>
    <cellStyle name="SAPBEXHLevel3X 2 2 3 11 2" xfId="18869" xr:uid="{D8230085-186A-413F-9EAB-69B1F79A9639}"/>
    <cellStyle name="SAPBEXHLevel3X 2 2 3 12" xfId="18870" xr:uid="{9EEFF2F1-4CAC-4F9A-BDBC-9B7286BCE6CB}"/>
    <cellStyle name="SAPBEXHLevel3X 2 2 3 12 2" xfId="18871" xr:uid="{F433A0CA-A7C6-427B-8ADD-918D44E45CB4}"/>
    <cellStyle name="SAPBEXHLevel3X 2 2 3 13" xfId="18872" xr:uid="{EB09B6CE-CD97-417D-BE2B-C619D3BACA3A}"/>
    <cellStyle name="SAPBEXHLevel3X 2 2 3 13 2" xfId="18873" xr:uid="{923CD150-CA69-4FAF-839C-3513A01AFED8}"/>
    <cellStyle name="SAPBEXHLevel3X 2 2 3 14" xfId="18874" xr:uid="{FB24DFC9-B913-4CE9-AAD8-D674F64D2105}"/>
    <cellStyle name="SAPBEXHLevel3X 2 2 3 14 2" xfId="18875" xr:uid="{E2F90E2D-5384-4921-8F8F-476B76C18B87}"/>
    <cellStyle name="SAPBEXHLevel3X 2 2 3 15" xfId="18876" xr:uid="{1E9E85A6-F119-4CD1-96CC-F8E92A824C34}"/>
    <cellStyle name="SAPBEXHLevel3X 2 2 3 15 2" xfId="18877" xr:uid="{3C0959B9-0BBC-4578-AE6E-93158ED7B521}"/>
    <cellStyle name="SAPBEXHLevel3X 2 2 3 16" xfId="18878" xr:uid="{43515762-C58C-4C5E-A8BB-69B52DE6F348}"/>
    <cellStyle name="SAPBEXHLevel3X 2 2 3 2" xfId="18879" xr:uid="{34AC6F5C-7C5D-468C-88A8-ACED4FF79E91}"/>
    <cellStyle name="SAPBEXHLevel3X 2 2 3 2 2" xfId="18880" xr:uid="{23D381C9-9628-4058-82D2-898EDF398268}"/>
    <cellStyle name="SAPBEXHLevel3X 2 2 3 3" xfId="18881" xr:uid="{E42888D5-3F53-41C0-A547-92F863382EDD}"/>
    <cellStyle name="SAPBEXHLevel3X 2 2 3 3 2" xfId="18882" xr:uid="{97DEB201-E7E0-42C5-8288-8624ED7DAAA9}"/>
    <cellStyle name="SAPBEXHLevel3X 2 2 3 4" xfId="18883" xr:uid="{85777B57-3925-438C-ABBF-0461DA5A5D82}"/>
    <cellStyle name="SAPBEXHLevel3X 2 2 3 4 2" xfId="18884" xr:uid="{46D83668-B027-422C-9FAF-CDD9CBCDF3B2}"/>
    <cellStyle name="SAPBEXHLevel3X 2 2 3 5" xfId="18885" xr:uid="{63EA9A80-904E-4AF5-9452-4AA4CD431689}"/>
    <cellStyle name="SAPBEXHLevel3X 2 2 3 5 2" xfId="18886" xr:uid="{27F68F5C-9BCD-406F-858D-44A64EE6EC1E}"/>
    <cellStyle name="SAPBEXHLevel3X 2 2 3 6" xfId="18887" xr:uid="{4E587764-C5F4-4CD2-BE59-AE9AD9D2EB45}"/>
    <cellStyle name="SAPBEXHLevel3X 2 2 3 6 2" xfId="18888" xr:uid="{063A934C-9F2B-466D-95DB-19A1E277C480}"/>
    <cellStyle name="SAPBEXHLevel3X 2 2 3 7" xfId="18889" xr:uid="{4F61469A-A727-42CA-BCCB-84DA9B1D5725}"/>
    <cellStyle name="SAPBEXHLevel3X 2 2 3 7 2" xfId="18890" xr:uid="{498303BD-3853-44D8-B040-7FB60FE984BD}"/>
    <cellStyle name="SAPBEXHLevel3X 2 2 3 8" xfId="18891" xr:uid="{4C3E4181-ECFB-4F8F-A3AA-C4B77DFC065A}"/>
    <cellStyle name="SAPBEXHLevel3X 2 2 3 8 2" xfId="18892" xr:uid="{8BD53CE4-5658-4A05-97D7-A619740AAC4E}"/>
    <cellStyle name="SAPBEXHLevel3X 2 2 3 9" xfId="18893" xr:uid="{21FEE5DC-952B-4821-88B2-4B3552AAF559}"/>
    <cellStyle name="SAPBEXHLevel3X 2 2 3 9 2" xfId="18894" xr:uid="{F1A212D2-CD9B-4E05-AC16-B7A0C1984B7C}"/>
    <cellStyle name="SAPBEXHLevel3X 2 2 4" xfId="18895" xr:uid="{9EA31CA7-32A7-4EE6-9CAD-F33F0BCD8878}"/>
    <cellStyle name="SAPBEXHLevel3X 2 2 4 2" xfId="18896" xr:uid="{8262140C-C1EA-4F22-94A3-5A91C3AAF0D4}"/>
    <cellStyle name="SAPBEXHLevel3X 2 2 5" xfId="18897" xr:uid="{5B8EF9B4-5B8A-4E1C-B3AC-041B167AF6F1}"/>
    <cellStyle name="SAPBEXHLevel3X 2 2 5 2" xfId="18898" xr:uid="{5B45F985-00D9-4795-8E1A-B7649F727E92}"/>
    <cellStyle name="SAPBEXHLevel3X 2 2 6" xfId="18899" xr:uid="{CDCC3CDE-115B-4A25-95AB-E2AA79B40352}"/>
    <cellStyle name="SAPBEXHLevel3X 2 2 6 2" xfId="18900" xr:uid="{9ECB949A-3669-4100-BC90-99E3BE44B07A}"/>
    <cellStyle name="SAPBEXHLevel3X 2 2 7" xfId="18901" xr:uid="{CDA1E1DE-55D5-4FED-B669-D63AE6FD4A87}"/>
    <cellStyle name="SAPBEXHLevel3X 2 2 7 2" xfId="18902" xr:uid="{A457E49D-B195-42EF-83D0-EF6973B3182B}"/>
    <cellStyle name="SAPBEXHLevel3X 2 2 8" xfId="18903" xr:uid="{FBBB1E38-EA94-414E-AA5D-AD04990CD0AA}"/>
    <cellStyle name="SAPBEXHLevel3X 2 2 8 2" xfId="18904" xr:uid="{541BDDDE-2DD8-490C-A7E5-E428961D7127}"/>
    <cellStyle name="SAPBEXHLevel3X 2 2 9" xfId="18905" xr:uid="{DFD8918E-C623-4562-A524-42ED9D0767A5}"/>
    <cellStyle name="SAPBEXHLevel3X 2 2 9 2" xfId="18906" xr:uid="{3D48399A-C2FF-4264-B4B1-DBC090061CB3}"/>
    <cellStyle name="SAPBEXHLevel3X 2 3" xfId="18907" xr:uid="{0ABFB62D-42AC-408A-BF8C-E869FD5273F0}"/>
    <cellStyle name="SAPBEXHLevel3X 2 3 10" xfId="18908" xr:uid="{6D7C949F-3623-47F3-84E5-29F9D4348C97}"/>
    <cellStyle name="SAPBEXHLevel3X 2 3 10 2" xfId="18909" xr:uid="{D3542498-AB7F-4169-A767-173D62CF8202}"/>
    <cellStyle name="SAPBEXHLevel3X 2 3 11" xfId="18910" xr:uid="{46C32608-535A-4A4F-895D-84BA5505EA1C}"/>
    <cellStyle name="SAPBEXHLevel3X 2 3 11 2" xfId="18911" xr:uid="{63171887-2902-4CCD-B35A-389B50C780CF}"/>
    <cellStyle name="SAPBEXHLevel3X 2 3 12" xfId="18912" xr:uid="{7D6903BB-4536-43BF-9A9A-360B692E422F}"/>
    <cellStyle name="SAPBEXHLevel3X 2 3 12 2" xfId="18913" xr:uid="{48D0168A-8368-4D4E-8991-3002B7387CDF}"/>
    <cellStyle name="SAPBEXHLevel3X 2 3 13" xfId="18914" xr:uid="{08378F14-D0F0-419C-AC4A-D94157B99DA2}"/>
    <cellStyle name="SAPBEXHLevel3X 2 3 13 2" xfId="18915" xr:uid="{436E4291-36B7-40A9-AB09-14A79DEC0790}"/>
    <cellStyle name="SAPBEXHLevel3X 2 3 14" xfId="18916" xr:uid="{D15304DD-5B64-48DB-AACD-7A7F35BC4AB3}"/>
    <cellStyle name="SAPBEXHLevel3X 2 3 14 2" xfId="18917" xr:uid="{6FF679F4-19FF-4786-B5BC-5B774F6F3B07}"/>
    <cellStyle name="SAPBEXHLevel3X 2 3 15" xfId="18918" xr:uid="{308F203A-45AF-4175-AA2C-F16968C7264E}"/>
    <cellStyle name="SAPBEXHLevel3X 2 3 15 2" xfId="18919" xr:uid="{109922B2-F3D2-4D22-A430-215BE2FF3C13}"/>
    <cellStyle name="SAPBEXHLevel3X 2 3 16" xfId="18920" xr:uid="{F608CC9D-B8D5-4849-8286-61919C4E6A8E}"/>
    <cellStyle name="SAPBEXHLevel3X 2 3 16 2" xfId="18921" xr:uid="{935280A9-093C-46AC-8F13-ADDC1DC743A5}"/>
    <cellStyle name="SAPBEXHLevel3X 2 3 17" xfId="18922" xr:uid="{43357CBA-6612-4003-A1DE-6F18CF46A132}"/>
    <cellStyle name="SAPBEXHLevel3X 2 3 17 2" xfId="18923" xr:uid="{FDE24B60-0442-40B4-B1D2-B36EC0BA96BC}"/>
    <cellStyle name="SAPBEXHLevel3X 2 3 18" xfId="18924" xr:uid="{63FED760-D05D-49CF-82C2-AB189E8CC683}"/>
    <cellStyle name="SAPBEXHLevel3X 2 3 2" xfId="18925" xr:uid="{8F32A8DA-8EC7-4367-89C7-4A3E03BCD37B}"/>
    <cellStyle name="SAPBEXHLevel3X 2 3 2 10" xfId="18926" xr:uid="{7B5932B4-2FAF-43F6-A487-2ECE23A5C8DA}"/>
    <cellStyle name="SAPBEXHLevel3X 2 3 2 10 2" xfId="18927" xr:uid="{1A9F481A-6CA2-4A8C-B711-A0D9BEFD6351}"/>
    <cellStyle name="SAPBEXHLevel3X 2 3 2 11" xfId="18928" xr:uid="{FEF2BF72-7650-4000-ACA0-3F339C96065F}"/>
    <cellStyle name="SAPBEXHLevel3X 2 3 2 11 2" xfId="18929" xr:uid="{4CC61D36-EEE2-4F7B-A015-95B161BFBED6}"/>
    <cellStyle name="SAPBEXHLevel3X 2 3 2 12" xfId="18930" xr:uid="{BEEA41AF-8B2A-4655-95A0-44AE053F948B}"/>
    <cellStyle name="SAPBEXHLevel3X 2 3 2 12 2" xfId="18931" xr:uid="{85A65611-3434-4E5E-92F6-719D10BECFE4}"/>
    <cellStyle name="SAPBEXHLevel3X 2 3 2 13" xfId="18932" xr:uid="{2B7FE710-6251-4C53-9310-898BE01D2759}"/>
    <cellStyle name="SAPBEXHLevel3X 2 3 2 13 2" xfId="18933" xr:uid="{CD3CEC0E-A407-466F-B167-729182B0AFBC}"/>
    <cellStyle name="SAPBEXHLevel3X 2 3 2 14" xfId="18934" xr:uid="{D5ACB06A-880C-44C7-A67F-4A6ADA0E4A00}"/>
    <cellStyle name="SAPBEXHLevel3X 2 3 2 14 2" xfId="18935" xr:uid="{DB095CA5-12F0-471A-B3EC-33EB930B3A83}"/>
    <cellStyle name="SAPBEXHLevel3X 2 3 2 15" xfId="18936" xr:uid="{EFEF603F-8CB0-460F-B9CE-4C3B266D0C42}"/>
    <cellStyle name="SAPBEXHLevel3X 2 3 2 15 2" xfId="18937" xr:uid="{DFBAB46C-E7D6-41E0-A9F5-BA36490A1F06}"/>
    <cellStyle name="SAPBEXHLevel3X 2 3 2 16" xfId="18938" xr:uid="{D44C3B14-8801-4B76-A09E-9348B06C09A5}"/>
    <cellStyle name="SAPBEXHLevel3X 2 3 2 2" xfId="18939" xr:uid="{A494F2E8-1AC4-48E0-96F4-B7DF560DE5FC}"/>
    <cellStyle name="SAPBEXHLevel3X 2 3 2 2 2" xfId="18940" xr:uid="{59393544-CA09-4D41-95C8-11779CE03505}"/>
    <cellStyle name="SAPBEXHLevel3X 2 3 2 3" xfId="18941" xr:uid="{FE98AE33-AC4D-478B-A6B8-07DD46A65CA3}"/>
    <cellStyle name="SAPBEXHLevel3X 2 3 2 3 2" xfId="18942" xr:uid="{181BEE7A-EF69-46F6-8C94-339E2B76EDCF}"/>
    <cellStyle name="SAPBEXHLevel3X 2 3 2 4" xfId="18943" xr:uid="{347A9664-3005-49A1-932D-F365681B5E7F}"/>
    <cellStyle name="SAPBEXHLevel3X 2 3 2 4 2" xfId="18944" xr:uid="{86CA5E00-5E1A-45AC-8855-D9E5C93F8E76}"/>
    <cellStyle name="SAPBEXHLevel3X 2 3 2 5" xfId="18945" xr:uid="{065C13B1-AFAD-44F5-85BF-9818955B8F23}"/>
    <cellStyle name="SAPBEXHLevel3X 2 3 2 5 2" xfId="18946" xr:uid="{1B00630E-D6B7-4424-9891-BE30A4FFBA35}"/>
    <cellStyle name="SAPBEXHLevel3X 2 3 2 6" xfId="18947" xr:uid="{DE275334-07CF-4C49-B418-B7E43588F721}"/>
    <cellStyle name="SAPBEXHLevel3X 2 3 2 6 2" xfId="18948" xr:uid="{2AA673FE-3443-471D-8A8D-D06CD891F718}"/>
    <cellStyle name="SAPBEXHLevel3X 2 3 2 7" xfId="18949" xr:uid="{274AC4BA-21B7-4CF0-A1A4-F6C7368655C1}"/>
    <cellStyle name="SAPBEXHLevel3X 2 3 2 7 2" xfId="18950" xr:uid="{F1CBCB4F-0AD8-48C9-94F5-064033D103DD}"/>
    <cellStyle name="SAPBEXHLevel3X 2 3 2 8" xfId="18951" xr:uid="{E97AC5AB-3575-4281-BEF7-C145D1B02228}"/>
    <cellStyle name="SAPBEXHLevel3X 2 3 2 8 2" xfId="18952" xr:uid="{D6C4D0E3-6EA6-4A34-9925-3A6F8D4DA629}"/>
    <cellStyle name="SAPBEXHLevel3X 2 3 2 9" xfId="18953" xr:uid="{5F076873-B3CC-4EFF-8636-8D5CE180B672}"/>
    <cellStyle name="SAPBEXHLevel3X 2 3 2 9 2" xfId="18954" xr:uid="{1F56AE0B-E9D4-428A-8EB0-E0C81B80CE36}"/>
    <cellStyle name="SAPBEXHLevel3X 2 3 3" xfId="18955" xr:uid="{C1D3FA2F-64AD-4862-B88D-6A39A9481824}"/>
    <cellStyle name="SAPBEXHLevel3X 2 3 3 10" xfId="18956" xr:uid="{E925D0B9-AFDC-4A42-9D44-3F2C941F17C6}"/>
    <cellStyle name="SAPBEXHLevel3X 2 3 3 10 2" xfId="18957" xr:uid="{75491B8E-28B2-4D7B-868C-C04AD195EA8E}"/>
    <cellStyle name="SAPBEXHLevel3X 2 3 3 11" xfId="18958" xr:uid="{A5919B83-2CAD-4F83-8CE9-24B43510355B}"/>
    <cellStyle name="SAPBEXHLevel3X 2 3 3 11 2" xfId="18959" xr:uid="{C5BEF242-6BE7-4163-9E8F-91B98186C6A9}"/>
    <cellStyle name="SAPBEXHLevel3X 2 3 3 12" xfId="18960" xr:uid="{943A0DE6-5742-4BEE-A541-707C27F29C29}"/>
    <cellStyle name="SAPBEXHLevel3X 2 3 3 12 2" xfId="18961" xr:uid="{E090B8CB-3117-4F75-995E-3F904332C102}"/>
    <cellStyle name="SAPBEXHLevel3X 2 3 3 13" xfId="18962" xr:uid="{F5898E1E-E07F-4435-957D-5F982CA1304A}"/>
    <cellStyle name="SAPBEXHLevel3X 2 3 3 13 2" xfId="18963" xr:uid="{29F3EA27-E44D-43BA-AA7F-663AE666DA08}"/>
    <cellStyle name="SAPBEXHLevel3X 2 3 3 14" xfId="18964" xr:uid="{B05003B0-27F1-4153-AF29-B284C0793F61}"/>
    <cellStyle name="SAPBEXHLevel3X 2 3 3 14 2" xfId="18965" xr:uid="{7790F69E-0BD6-4902-8221-D93197750FAE}"/>
    <cellStyle name="SAPBEXHLevel3X 2 3 3 15" xfId="18966" xr:uid="{01C5A086-05C9-4D91-A167-3FC293647D38}"/>
    <cellStyle name="SAPBEXHLevel3X 2 3 3 15 2" xfId="18967" xr:uid="{6FBA6763-613A-476E-BBD3-66D3493BB64B}"/>
    <cellStyle name="SAPBEXHLevel3X 2 3 3 16" xfId="18968" xr:uid="{7DD6296B-6C8F-4648-BE79-E10FB724BB00}"/>
    <cellStyle name="SAPBEXHLevel3X 2 3 3 2" xfId="18969" xr:uid="{F57B62C4-8BB5-4591-B6CA-7CA777172CA9}"/>
    <cellStyle name="SAPBEXHLevel3X 2 3 3 2 2" xfId="18970" xr:uid="{026DCFF5-E55D-49A5-B96C-BABC46B82FD2}"/>
    <cellStyle name="SAPBEXHLevel3X 2 3 3 3" xfId="18971" xr:uid="{87B2377B-9736-45B4-AC0D-F536FFC870E7}"/>
    <cellStyle name="SAPBEXHLevel3X 2 3 3 3 2" xfId="18972" xr:uid="{2D61EC17-A3A2-4DF2-ADED-2AF95A31B062}"/>
    <cellStyle name="SAPBEXHLevel3X 2 3 3 4" xfId="18973" xr:uid="{2C080697-0552-4982-8103-54C22D639E37}"/>
    <cellStyle name="SAPBEXHLevel3X 2 3 3 4 2" xfId="18974" xr:uid="{39BA627E-A81B-4E36-A874-45ED78AD81F6}"/>
    <cellStyle name="SAPBEXHLevel3X 2 3 3 5" xfId="18975" xr:uid="{3585714B-FFD8-4CFA-A866-88D493EFF45F}"/>
    <cellStyle name="SAPBEXHLevel3X 2 3 3 5 2" xfId="18976" xr:uid="{417F0156-E51D-4C70-B4A2-92AF8FE19282}"/>
    <cellStyle name="SAPBEXHLevel3X 2 3 3 6" xfId="18977" xr:uid="{EE44FA48-D607-41D3-BCB8-6BC38AFF5554}"/>
    <cellStyle name="SAPBEXHLevel3X 2 3 3 6 2" xfId="18978" xr:uid="{D16CE9DB-8678-4FDA-BA82-6DD4F91041E2}"/>
    <cellStyle name="SAPBEXHLevel3X 2 3 3 7" xfId="18979" xr:uid="{AB981F7D-64AA-4CB8-8E0F-639B141B47AE}"/>
    <cellStyle name="SAPBEXHLevel3X 2 3 3 7 2" xfId="18980" xr:uid="{AAA0A3D9-2430-41CF-89B3-59524295D0EF}"/>
    <cellStyle name="SAPBEXHLevel3X 2 3 3 8" xfId="18981" xr:uid="{97B6CF01-2F28-4180-BE31-9833D2D3B3D8}"/>
    <cellStyle name="SAPBEXHLevel3X 2 3 3 8 2" xfId="18982" xr:uid="{EB6D8A22-F088-4CFF-A5C3-7166BD13EF97}"/>
    <cellStyle name="SAPBEXHLevel3X 2 3 3 9" xfId="18983" xr:uid="{920FCA00-CD9F-42DB-9D9D-1CDCC1A91B62}"/>
    <cellStyle name="SAPBEXHLevel3X 2 3 3 9 2" xfId="18984" xr:uid="{40AF698F-47DD-4F59-BB9F-252F3954F592}"/>
    <cellStyle name="SAPBEXHLevel3X 2 3 4" xfId="18985" xr:uid="{A363F63E-788F-4BA5-874C-F4F7D4E91116}"/>
    <cellStyle name="SAPBEXHLevel3X 2 3 4 2" xfId="18986" xr:uid="{B1DB7988-E13E-49A0-8747-139D6468E217}"/>
    <cellStyle name="SAPBEXHLevel3X 2 3 5" xfId="18987" xr:uid="{CE82F87D-9C0E-48A8-BBBF-CD576CBCF55E}"/>
    <cellStyle name="SAPBEXHLevel3X 2 3 5 2" xfId="18988" xr:uid="{ACE22FDB-CEA3-41A1-B476-5211BFDD7D3D}"/>
    <cellStyle name="SAPBEXHLevel3X 2 3 6" xfId="18989" xr:uid="{52983385-A7EC-4987-B5E1-4DD04863B621}"/>
    <cellStyle name="SAPBEXHLevel3X 2 3 6 2" xfId="18990" xr:uid="{33AE78FD-825D-4582-BE30-F233FF8EAEF2}"/>
    <cellStyle name="SAPBEXHLevel3X 2 3 7" xfId="18991" xr:uid="{AAEF1850-58A8-4178-A9C9-51F8FC1DD2DE}"/>
    <cellStyle name="SAPBEXHLevel3X 2 3 7 2" xfId="18992" xr:uid="{0DC0A327-D030-4C50-A005-926DB28089A8}"/>
    <cellStyle name="SAPBEXHLevel3X 2 3 8" xfId="18993" xr:uid="{C44F73FF-AF2A-4534-A390-6D81C9E349E9}"/>
    <cellStyle name="SAPBEXHLevel3X 2 3 8 2" xfId="18994" xr:uid="{97339D99-DBA1-44E3-AE0B-A37CB3D22958}"/>
    <cellStyle name="SAPBEXHLevel3X 2 3 9" xfId="18995" xr:uid="{2758F4EB-8179-4AEE-A514-9B891E09CEFC}"/>
    <cellStyle name="SAPBEXHLevel3X 2 3 9 2" xfId="18996" xr:uid="{B5ED6532-0EE1-46DD-99DB-59841DAB4966}"/>
    <cellStyle name="SAPBEXHLevel3X 2 4" xfId="18997" xr:uid="{371E66BD-283C-4AEB-9D4E-72072D29DA1C}"/>
    <cellStyle name="SAPBEXHLevel3X 2 4 2" xfId="18998" xr:uid="{44E1A0C8-8112-4180-B9AD-EEEB57671447}"/>
    <cellStyle name="SAPBEXHLevel3X 2 5" xfId="18999" xr:uid="{276B3DCD-ACD9-4176-80E4-2FD6770980E7}"/>
    <cellStyle name="SAPBEXHLevel3X 2 5 2" xfId="19000" xr:uid="{F03FD910-8A8A-47D7-999F-F1F9C55BD70E}"/>
    <cellStyle name="SAPBEXHLevel3X 2 6" xfId="19001" xr:uid="{0E8F25D5-F942-4F16-BBEE-F254F98AD66B}"/>
    <cellStyle name="SAPBEXHLevel3X 2 6 2" xfId="19002" xr:uid="{E30FEF0F-A038-47FE-83DF-31C1FBEF78BB}"/>
    <cellStyle name="SAPBEXHLevel3X 2 7" xfId="19003" xr:uid="{C0D64D62-D5B8-4326-8853-F21703FE5BEB}"/>
    <cellStyle name="SAPBEXHLevel3X 2 7 2" xfId="19004" xr:uid="{25A857AE-425B-4063-AD17-BFC60CB9EC7A}"/>
    <cellStyle name="SAPBEXHLevel3X 2 8" xfId="19005" xr:uid="{A1124904-1CDD-4874-BDC6-6A3DE459AB45}"/>
    <cellStyle name="SAPBEXHLevel3X 2 8 2" xfId="19006" xr:uid="{66DBA73C-D9A1-4718-B887-5C42785E4941}"/>
    <cellStyle name="SAPBEXHLevel3X 2 9" xfId="19007" xr:uid="{3F3EEE66-4E46-46DD-8493-A6312740D059}"/>
    <cellStyle name="SAPBEXHLevel3X 2 9 2" xfId="19008" xr:uid="{3CCAB9AC-0ADE-4BC7-AA4A-79C0A7169916}"/>
    <cellStyle name="SAPBEXHLevel3X 2_T1 ANSP" xfId="18799" xr:uid="{6F302B8D-E73A-4B4F-B9D8-DE48DBB70FC9}"/>
    <cellStyle name="SAPBEXHLevel3X 20" xfId="19009" xr:uid="{F3B36F0C-AFF0-430F-8257-D0E49E9D0592}"/>
    <cellStyle name="SAPBEXHLevel3X 20 2" xfId="19010" xr:uid="{FC70B514-2914-4275-8CA9-67C0D4E228DD}"/>
    <cellStyle name="SAPBEXHLevel3X 21" xfId="19011" xr:uid="{CFEBB0FB-6447-411B-B8C0-DB624649ED40}"/>
    <cellStyle name="SAPBEXHLevel3X 3" xfId="1525" xr:uid="{00000000-0005-0000-0000-0000A2050000}"/>
    <cellStyle name="SAPBEXHLevel3X 3 10" xfId="19013" xr:uid="{E43E1775-8FA3-48CF-B6C2-2D2D21C898DE}"/>
    <cellStyle name="SAPBEXHLevel3X 3 10 2" xfId="19014" xr:uid="{DB8FE53B-742A-464C-8557-42873E8F0942}"/>
    <cellStyle name="SAPBEXHLevel3X 3 11" xfId="19015" xr:uid="{F99A4CB7-84B5-44CD-92A9-44801E2E2D0E}"/>
    <cellStyle name="SAPBEXHLevel3X 3 11 2" xfId="19016" xr:uid="{22E5B2D3-19FF-4720-B39D-D834D73D20E2}"/>
    <cellStyle name="SAPBEXHLevel3X 3 12" xfId="19017" xr:uid="{17EE5A6F-6FD7-4A87-8359-CF206F80B6BC}"/>
    <cellStyle name="SAPBEXHLevel3X 3 12 2" xfId="19018" xr:uid="{87977F35-C27B-42A9-BFDD-9421F58FBB35}"/>
    <cellStyle name="SAPBEXHLevel3X 3 13" xfId="19019" xr:uid="{10F83FDF-B20F-4D6B-B447-E638DC76A6A0}"/>
    <cellStyle name="SAPBEXHLevel3X 3 13 2" xfId="19020" xr:uid="{100BB60A-0E46-47E9-9F68-AC674385AE3C}"/>
    <cellStyle name="SAPBEXHLevel3X 3 14" xfId="19021" xr:uid="{AE8E57DE-A085-4A0C-8954-A54325B26FCC}"/>
    <cellStyle name="SAPBEXHLevel3X 3 14 2" xfId="19022" xr:uid="{7B1CDCFC-AFA1-4E57-B9A5-111012DFBA00}"/>
    <cellStyle name="SAPBEXHLevel3X 3 15" xfId="19023" xr:uid="{1A5BB69F-F3CF-49E5-97D9-5C1BBC3C0285}"/>
    <cellStyle name="SAPBEXHLevel3X 3 15 2" xfId="19024" xr:uid="{DCB32C2B-09AD-4E8C-949D-742C89E9411C}"/>
    <cellStyle name="SAPBEXHLevel3X 3 16" xfId="19025" xr:uid="{476942B4-162F-4AF9-BEDB-25EDFA8A2EBF}"/>
    <cellStyle name="SAPBEXHLevel3X 3 16 2" xfId="19026" xr:uid="{E49F2033-B451-44C3-B381-E36515D277DE}"/>
    <cellStyle name="SAPBEXHLevel3X 3 17" xfId="19027" xr:uid="{BFB67B7D-DBCA-4FD4-9292-3E068F70BC66}"/>
    <cellStyle name="SAPBEXHLevel3X 3 17 2" xfId="19028" xr:uid="{36C879E9-E518-48BB-934D-5A202EAECBA9}"/>
    <cellStyle name="SAPBEXHLevel3X 3 18" xfId="19029" xr:uid="{A1C9E8C2-9703-4716-9F11-9E8FBC2B640F}"/>
    <cellStyle name="SAPBEXHLevel3X 3 2" xfId="19030" xr:uid="{3327431C-6D70-4525-B537-DD97BBBD2748}"/>
    <cellStyle name="SAPBEXHLevel3X 3 2 10" xfId="19031" xr:uid="{E50F0A33-8586-4E9F-B6DD-4F1082AA5BB6}"/>
    <cellStyle name="SAPBEXHLevel3X 3 2 10 2" xfId="19032" xr:uid="{10C13C00-48C6-4147-B9E4-CF1CF8809ED9}"/>
    <cellStyle name="SAPBEXHLevel3X 3 2 11" xfId="19033" xr:uid="{929FD1D7-9B72-4F4C-87B2-4D1557912511}"/>
    <cellStyle name="SAPBEXHLevel3X 3 2 11 2" xfId="19034" xr:uid="{D4C77CC0-305A-4917-BE6F-2A7E658E6C07}"/>
    <cellStyle name="SAPBEXHLevel3X 3 2 12" xfId="19035" xr:uid="{A5D77CF8-7691-4885-935D-C2A2BE01B881}"/>
    <cellStyle name="SAPBEXHLevel3X 3 2 12 2" xfId="19036" xr:uid="{62ADD119-F395-4AB9-800E-6FAD98BA0B14}"/>
    <cellStyle name="SAPBEXHLevel3X 3 2 13" xfId="19037" xr:uid="{7F47A92D-AFCA-4127-BF84-0686D597B03F}"/>
    <cellStyle name="SAPBEXHLevel3X 3 2 13 2" xfId="19038" xr:uid="{889030C2-E424-45E5-9738-A1592E7ED518}"/>
    <cellStyle name="SAPBEXHLevel3X 3 2 14" xfId="19039" xr:uid="{BBF68599-0295-4A6E-A614-3066A5B78BF4}"/>
    <cellStyle name="SAPBEXHLevel3X 3 2 14 2" xfId="19040" xr:uid="{BF6EB9E7-2B37-4C00-9236-A74C5E88FF4E}"/>
    <cellStyle name="SAPBEXHLevel3X 3 2 15" xfId="19041" xr:uid="{738FBDD9-3927-4078-BA59-4C597AFF6B5B}"/>
    <cellStyle name="SAPBEXHLevel3X 3 2 15 2" xfId="19042" xr:uid="{5E2FB399-9C4A-464B-86BC-A86472A5FA09}"/>
    <cellStyle name="SAPBEXHLevel3X 3 2 16" xfId="19043" xr:uid="{9B301A41-B6E6-4C47-8230-7C77120A18CD}"/>
    <cellStyle name="SAPBEXHLevel3X 3 2 2" xfId="19044" xr:uid="{07D2A2E1-60DE-4C7D-AD5E-25388BA510F9}"/>
    <cellStyle name="SAPBEXHLevel3X 3 2 2 2" xfId="19045" xr:uid="{080862F0-3D73-4494-8765-D830437DE4A0}"/>
    <cellStyle name="SAPBEXHLevel3X 3 2 3" xfId="19046" xr:uid="{E8E1B3D7-7BE1-4A3D-861A-839C32B964F3}"/>
    <cellStyle name="SAPBEXHLevel3X 3 2 3 2" xfId="19047" xr:uid="{89DC56E6-8760-47EF-BEF4-63CB18988D23}"/>
    <cellStyle name="SAPBEXHLevel3X 3 2 4" xfId="19048" xr:uid="{6B0DD396-137D-4F87-81D9-47C262BE899C}"/>
    <cellStyle name="SAPBEXHLevel3X 3 2 4 2" xfId="19049" xr:uid="{41793879-1DC1-4F05-9E01-498A6CB20C8D}"/>
    <cellStyle name="SAPBEXHLevel3X 3 2 5" xfId="19050" xr:uid="{153850DA-0DF8-4256-BC04-7CDB3B55CD62}"/>
    <cellStyle name="SAPBEXHLevel3X 3 2 5 2" xfId="19051" xr:uid="{2587ACEF-5289-41F0-914F-C69550C73B5D}"/>
    <cellStyle name="SAPBEXHLevel3X 3 2 6" xfId="19052" xr:uid="{CBC4B24D-F9D8-44D7-9586-FDEAA2E7A573}"/>
    <cellStyle name="SAPBEXHLevel3X 3 2 6 2" xfId="19053" xr:uid="{07E2CD39-409C-4CB3-A8C0-FAD09DD7F946}"/>
    <cellStyle name="SAPBEXHLevel3X 3 2 7" xfId="19054" xr:uid="{0589C678-8865-480C-8ADA-FCD16165438F}"/>
    <cellStyle name="SAPBEXHLevel3X 3 2 7 2" xfId="19055" xr:uid="{BF27E7A2-C8F9-46A3-98BE-9D4F9E19DFBF}"/>
    <cellStyle name="SAPBEXHLevel3X 3 2 8" xfId="19056" xr:uid="{0C19C041-96DA-492A-B409-1AFB3088E7CA}"/>
    <cellStyle name="SAPBEXHLevel3X 3 2 8 2" xfId="19057" xr:uid="{E2E40D26-823C-4A3D-96B7-3A8E48B624A9}"/>
    <cellStyle name="SAPBEXHLevel3X 3 2 9" xfId="19058" xr:uid="{09838AE3-DFC7-4875-9431-71D4DF16A067}"/>
    <cellStyle name="SAPBEXHLevel3X 3 2 9 2" xfId="19059" xr:uid="{7836CB02-18D3-4695-A8F9-6D76BE64056E}"/>
    <cellStyle name="SAPBEXHLevel3X 3 3" xfId="19060" xr:uid="{F0A1B77E-BA3C-48AB-88C5-4E406A55D5A0}"/>
    <cellStyle name="SAPBEXHLevel3X 3 3 10" xfId="19061" xr:uid="{1AA3397E-3A5A-42DA-8342-613EAE9F1575}"/>
    <cellStyle name="SAPBEXHLevel3X 3 3 10 2" xfId="19062" xr:uid="{BB917921-573A-484F-9351-B5B624CA8B18}"/>
    <cellStyle name="SAPBEXHLevel3X 3 3 11" xfId="19063" xr:uid="{1DF19EC8-746C-4112-A2FC-5BDB9819ED65}"/>
    <cellStyle name="SAPBEXHLevel3X 3 3 11 2" xfId="19064" xr:uid="{CD1DC559-65F8-41AA-82DA-145FFD0EA01A}"/>
    <cellStyle name="SAPBEXHLevel3X 3 3 12" xfId="19065" xr:uid="{0F27559E-DE58-4E12-99F3-62D506E774C7}"/>
    <cellStyle name="SAPBEXHLevel3X 3 3 12 2" xfId="19066" xr:uid="{B5F5AB86-ACE0-4219-B71B-7CF66439F2A8}"/>
    <cellStyle name="SAPBEXHLevel3X 3 3 13" xfId="19067" xr:uid="{F136EBB0-11A6-403D-9C50-12B06D52E0EB}"/>
    <cellStyle name="SAPBEXHLevel3X 3 3 13 2" xfId="19068" xr:uid="{6AB82F17-D5B2-47C4-8A04-A7975365FB06}"/>
    <cellStyle name="SAPBEXHLevel3X 3 3 14" xfId="19069" xr:uid="{0F4D5B74-C14A-4AD3-994C-3CB538D83F22}"/>
    <cellStyle name="SAPBEXHLevel3X 3 3 14 2" xfId="19070" xr:uid="{6E17CADF-8362-453F-849C-75C7FB8A9504}"/>
    <cellStyle name="SAPBEXHLevel3X 3 3 15" xfId="19071" xr:uid="{9A8B8953-B481-4D71-96A6-E883F5EA4DC7}"/>
    <cellStyle name="SAPBEXHLevel3X 3 3 15 2" xfId="19072" xr:uid="{FD7B9869-E768-4FF6-979A-7FDF1C461E5A}"/>
    <cellStyle name="SAPBEXHLevel3X 3 3 16" xfId="19073" xr:uid="{22D7136F-44CE-4DEC-A43B-EC6809D97DBF}"/>
    <cellStyle name="SAPBEXHLevel3X 3 3 2" xfId="19074" xr:uid="{F22EC1C5-9ACF-499F-8479-57E4B0139EC6}"/>
    <cellStyle name="SAPBEXHLevel3X 3 3 2 2" xfId="19075" xr:uid="{C6BFA511-C7BA-4675-BC66-8562FBC29B72}"/>
    <cellStyle name="SAPBEXHLevel3X 3 3 3" xfId="19076" xr:uid="{CAE59777-D173-4367-86D9-F9FBD66435A5}"/>
    <cellStyle name="SAPBEXHLevel3X 3 3 3 2" xfId="19077" xr:uid="{473A3D1D-8A41-4CD3-AE8E-3C725406EF66}"/>
    <cellStyle name="SAPBEXHLevel3X 3 3 4" xfId="19078" xr:uid="{57523AE1-0778-4D6E-B30B-E5163329A397}"/>
    <cellStyle name="SAPBEXHLevel3X 3 3 4 2" xfId="19079" xr:uid="{A63A6912-E22B-402F-ACC0-E12FC0CFB32F}"/>
    <cellStyle name="SAPBEXHLevel3X 3 3 5" xfId="19080" xr:uid="{1067C982-2BE4-4AA5-9E8F-E9EAD3DDA8B8}"/>
    <cellStyle name="SAPBEXHLevel3X 3 3 5 2" xfId="19081" xr:uid="{B570FCDD-09FB-4CB7-94E2-23F8E47FC8E0}"/>
    <cellStyle name="SAPBEXHLevel3X 3 3 6" xfId="19082" xr:uid="{8D1250C5-AF41-44F9-A8E2-88281668F032}"/>
    <cellStyle name="SAPBEXHLevel3X 3 3 6 2" xfId="19083" xr:uid="{8D3B2A81-FB76-49E2-AA9A-D89E1BCCE086}"/>
    <cellStyle name="SAPBEXHLevel3X 3 3 7" xfId="19084" xr:uid="{DF6A7266-A550-482C-BD99-5AB580C0B5FD}"/>
    <cellStyle name="SAPBEXHLevel3X 3 3 7 2" xfId="19085" xr:uid="{B1F5CAB4-A1F6-483B-AA0C-6C04F162E29D}"/>
    <cellStyle name="SAPBEXHLevel3X 3 3 8" xfId="19086" xr:uid="{03BF5E3A-A1BB-44EA-83D7-4B59A9714E2E}"/>
    <cellStyle name="SAPBEXHLevel3X 3 3 8 2" xfId="19087" xr:uid="{6C28982C-70FC-44A6-AB8F-C02B1A3B547F}"/>
    <cellStyle name="SAPBEXHLevel3X 3 3 9" xfId="19088" xr:uid="{57D21DDE-8AC3-4422-BB15-CD7D1C636929}"/>
    <cellStyle name="SAPBEXHLevel3X 3 3 9 2" xfId="19089" xr:uid="{F717035D-6282-4E4F-A3EA-55EBF36C4A4D}"/>
    <cellStyle name="SAPBEXHLevel3X 3 4" xfId="19090" xr:uid="{C9C94419-0B35-4563-8FE8-9F4907762A56}"/>
    <cellStyle name="SAPBEXHLevel3X 3 4 2" xfId="19091" xr:uid="{7766B28C-0281-42FD-92C8-6556F865271B}"/>
    <cellStyle name="SAPBEXHLevel3X 3 5" xfId="19092" xr:uid="{DB13D43D-F1AE-4961-90F6-66A379DAD6A7}"/>
    <cellStyle name="SAPBEXHLevel3X 3 5 2" xfId="19093" xr:uid="{DB1F3081-F3AC-48CF-A4BA-9C6DE8CD15BA}"/>
    <cellStyle name="SAPBEXHLevel3X 3 6" xfId="19094" xr:uid="{5DAF2450-5373-4D33-B56D-3DDDC755FAF5}"/>
    <cellStyle name="SAPBEXHLevel3X 3 6 2" xfId="19095" xr:uid="{99BDAE23-94A3-4BC8-95DD-1C566924D760}"/>
    <cellStyle name="SAPBEXHLevel3X 3 7" xfId="19096" xr:uid="{A1B63627-FB3E-4DC2-9FE4-317A1327B912}"/>
    <cellStyle name="SAPBEXHLevel3X 3 7 2" xfId="19097" xr:uid="{8717EA93-F59B-4AAD-B67D-CB2DD68AD2AD}"/>
    <cellStyle name="SAPBEXHLevel3X 3 8" xfId="19098" xr:uid="{5DE5CDC7-3A6E-4FEE-9B07-52B52924017A}"/>
    <cellStyle name="SAPBEXHLevel3X 3 8 2" xfId="19099" xr:uid="{828C1452-E8FD-4D34-859D-26ABF83FB8E0}"/>
    <cellStyle name="SAPBEXHLevel3X 3 9" xfId="19100" xr:uid="{7C675590-51C5-41EA-8B6F-CBD7A61AB37C}"/>
    <cellStyle name="SAPBEXHLevel3X 3 9 2" xfId="19101" xr:uid="{B3EB034D-5971-4526-AAC8-747AA3452F41}"/>
    <cellStyle name="SAPBEXHLevel3X 3_T1 ANSP" xfId="19012" xr:uid="{680FD091-6872-42C2-A78F-FDC98F92F5DF}"/>
    <cellStyle name="SAPBEXHLevel3X 4" xfId="19102" xr:uid="{C8D002C4-EE3D-4F6C-9971-E71CA7264879}"/>
    <cellStyle name="SAPBEXHLevel3X 4 10" xfId="19103" xr:uid="{5A3314A8-9B8A-4836-B21B-509A3EBD5E3F}"/>
    <cellStyle name="SAPBEXHLevel3X 4 10 2" xfId="19104" xr:uid="{B7D43458-0F59-4A17-88FC-D73B3235E29D}"/>
    <cellStyle name="SAPBEXHLevel3X 4 11" xfId="19105" xr:uid="{55E8102B-3EF2-49EC-B141-2A721DA6BB25}"/>
    <cellStyle name="SAPBEXHLevel3X 4 11 2" xfId="19106" xr:uid="{82D71A7A-7FA7-45A8-9248-5375BE24F44A}"/>
    <cellStyle name="SAPBEXHLevel3X 4 12" xfId="19107" xr:uid="{C1CA6BA8-0F90-4ADA-8F3A-77B09FBF932C}"/>
    <cellStyle name="SAPBEXHLevel3X 4 12 2" xfId="19108" xr:uid="{0C7A7C9F-8004-4462-9CFB-07A55A20770C}"/>
    <cellStyle name="SAPBEXHLevel3X 4 13" xfId="19109" xr:uid="{E550AB64-CC3E-4E04-8289-58CF918DC387}"/>
    <cellStyle name="SAPBEXHLevel3X 4 13 2" xfId="19110" xr:uid="{EE2CD38A-F629-46EB-AB72-F047B0E1E7F1}"/>
    <cellStyle name="SAPBEXHLevel3X 4 14" xfId="19111" xr:uid="{F39CFBD3-D3E2-4151-A1AD-54C74BDE912A}"/>
    <cellStyle name="SAPBEXHLevel3X 4 14 2" xfId="19112" xr:uid="{9B490201-B635-4129-854F-F214E228670D}"/>
    <cellStyle name="SAPBEXHLevel3X 4 15" xfId="19113" xr:uid="{7D09E571-A182-4732-9FDA-254D0739BDFE}"/>
    <cellStyle name="SAPBEXHLevel3X 4 15 2" xfId="19114" xr:uid="{9291723A-936D-45C5-BBB2-AD63ADFA042C}"/>
    <cellStyle name="SAPBEXHLevel3X 4 16" xfId="19115" xr:uid="{AFD4BFDD-2F66-4A5F-A97C-09179EC6E73A}"/>
    <cellStyle name="SAPBEXHLevel3X 4 16 2" xfId="19116" xr:uid="{9CA31014-FAA7-49C3-969D-9202160DEA93}"/>
    <cellStyle name="SAPBEXHLevel3X 4 17" xfId="19117" xr:uid="{382B1335-BE8D-47DE-A750-15A3A602B2B6}"/>
    <cellStyle name="SAPBEXHLevel3X 4 17 2" xfId="19118" xr:uid="{51DBD09E-4395-4D83-A407-64EE52EFB9C6}"/>
    <cellStyle name="SAPBEXHLevel3X 4 18" xfId="19119" xr:uid="{91E7C8D7-F1C2-47C8-93E8-5C75E1C694C4}"/>
    <cellStyle name="SAPBEXHLevel3X 4 2" xfId="19120" xr:uid="{A03ABAE8-0649-4583-8262-5029EA08C017}"/>
    <cellStyle name="SAPBEXHLevel3X 4 2 10" xfId="19121" xr:uid="{9CE841E5-009B-4D17-AEFE-0DFA7B932D50}"/>
    <cellStyle name="SAPBEXHLevel3X 4 2 10 2" xfId="19122" xr:uid="{5883B2CB-6162-4433-B49D-6F3D49A8D412}"/>
    <cellStyle name="SAPBEXHLevel3X 4 2 11" xfId="19123" xr:uid="{FD47C17D-27C6-4B00-BD3B-D1E53C3EC690}"/>
    <cellStyle name="SAPBEXHLevel3X 4 2 11 2" xfId="19124" xr:uid="{0941F3BB-3E39-4672-B78F-016A6857D66B}"/>
    <cellStyle name="SAPBEXHLevel3X 4 2 12" xfId="19125" xr:uid="{F567316C-5BDB-4B6A-8BD0-27A23695BCBE}"/>
    <cellStyle name="SAPBEXHLevel3X 4 2 12 2" xfId="19126" xr:uid="{789067C4-2A27-4B01-89DE-C5CF0E59C580}"/>
    <cellStyle name="SAPBEXHLevel3X 4 2 13" xfId="19127" xr:uid="{164DF314-1CA9-4E70-BC4B-7DCDFDBEB423}"/>
    <cellStyle name="SAPBEXHLevel3X 4 2 13 2" xfId="19128" xr:uid="{9BFAC60B-D665-4F0E-AE1F-5E912D479B03}"/>
    <cellStyle name="SAPBEXHLevel3X 4 2 14" xfId="19129" xr:uid="{9A9CD559-8FB4-4C81-9EB5-29A918E197A4}"/>
    <cellStyle name="SAPBEXHLevel3X 4 2 14 2" xfId="19130" xr:uid="{2166DB40-E1DD-477E-AB3D-0433647C14BD}"/>
    <cellStyle name="SAPBEXHLevel3X 4 2 15" xfId="19131" xr:uid="{177D409D-C3B3-4B24-B6E1-413333827204}"/>
    <cellStyle name="SAPBEXHLevel3X 4 2 15 2" xfId="19132" xr:uid="{74F23759-98A3-4688-A763-06537B7A1140}"/>
    <cellStyle name="SAPBEXHLevel3X 4 2 16" xfId="19133" xr:uid="{B0B79C89-425F-4D86-BE43-A9514C35983E}"/>
    <cellStyle name="SAPBEXHLevel3X 4 2 2" xfId="19134" xr:uid="{8BBCD90F-2481-4145-BBA8-A4F78A6C938B}"/>
    <cellStyle name="SAPBEXHLevel3X 4 2 2 2" xfId="19135" xr:uid="{B9663382-A802-497C-AE39-7464B1F10A75}"/>
    <cellStyle name="SAPBEXHLevel3X 4 2 3" xfId="19136" xr:uid="{D92839F5-3763-4386-987D-E10A29E95736}"/>
    <cellStyle name="SAPBEXHLevel3X 4 2 3 2" xfId="19137" xr:uid="{FF1819CA-019A-4039-8287-59F5334C699F}"/>
    <cellStyle name="SAPBEXHLevel3X 4 2 4" xfId="19138" xr:uid="{1393EDD7-BA1B-46D9-854C-AC1513BB41F0}"/>
    <cellStyle name="SAPBEXHLevel3X 4 2 4 2" xfId="19139" xr:uid="{55FF9FD7-2905-40C9-99A7-D4D1A9367DA8}"/>
    <cellStyle name="SAPBEXHLevel3X 4 2 5" xfId="19140" xr:uid="{429554FF-8E0A-43A7-AC08-37DBD3AB5DC9}"/>
    <cellStyle name="SAPBEXHLevel3X 4 2 5 2" xfId="19141" xr:uid="{375B55CC-606F-442B-8588-E515A520240C}"/>
    <cellStyle name="SAPBEXHLevel3X 4 2 6" xfId="19142" xr:uid="{36AE2267-48E3-4814-81AB-933680AF39B5}"/>
    <cellStyle name="SAPBEXHLevel3X 4 2 6 2" xfId="19143" xr:uid="{7A692EAE-E123-4DA0-8C6E-3EB41815F02F}"/>
    <cellStyle name="SAPBEXHLevel3X 4 2 7" xfId="19144" xr:uid="{D3A83C89-0F00-4FED-B932-5C1E96FF5BD3}"/>
    <cellStyle name="SAPBEXHLevel3X 4 2 7 2" xfId="19145" xr:uid="{705B9095-1A18-4564-A319-AFCEA8C771EC}"/>
    <cellStyle name="SAPBEXHLevel3X 4 2 8" xfId="19146" xr:uid="{CA6F8568-6421-449D-AEE3-49E61F87A342}"/>
    <cellStyle name="SAPBEXHLevel3X 4 2 8 2" xfId="19147" xr:uid="{FAB82673-42E5-4906-8FF4-C68B376681B9}"/>
    <cellStyle name="SAPBEXHLevel3X 4 2 9" xfId="19148" xr:uid="{C6BC927C-A009-4D11-A898-B880445456C5}"/>
    <cellStyle name="SAPBEXHLevel3X 4 2 9 2" xfId="19149" xr:uid="{8B632A76-1B6C-4C97-9CF1-981350696D31}"/>
    <cellStyle name="SAPBEXHLevel3X 4 3" xfId="19150" xr:uid="{8D13D6B7-624D-4A67-964E-C442AF8231BE}"/>
    <cellStyle name="SAPBEXHLevel3X 4 3 10" xfId="19151" xr:uid="{CFA45E0E-0D26-48CA-9E3A-AFB7668A525D}"/>
    <cellStyle name="SAPBEXHLevel3X 4 3 10 2" xfId="19152" xr:uid="{2AD220E9-3B0E-4481-9885-49A6DA3EC8E1}"/>
    <cellStyle name="SAPBEXHLevel3X 4 3 11" xfId="19153" xr:uid="{34B50359-674F-4945-9A61-9ED772687429}"/>
    <cellStyle name="SAPBEXHLevel3X 4 3 11 2" xfId="19154" xr:uid="{A54CA1CB-B88C-4CFB-90A5-3C1EE3C370D8}"/>
    <cellStyle name="SAPBEXHLevel3X 4 3 12" xfId="19155" xr:uid="{8A8B7ABE-C31B-46D3-9D68-D77E5CBDDB0D}"/>
    <cellStyle name="SAPBEXHLevel3X 4 3 12 2" xfId="19156" xr:uid="{7D787476-3FEC-450F-8A57-8277522EF4EC}"/>
    <cellStyle name="SAPBEXHLevel3X 4 3 13" xfId="19157" xr:uid="{1499D3A8-FBD7-4CE9-82EF-26CC76B1E9AE}"/>
    <cellStyle name="SAPBEXHLevel3X 4 3 13 2" xfId="19158" xr:uid="{FB22628C-91E2-4DF1-BCB0-ED2311851F80}"/>
    <cellStyle name="SAPBEXHLevel3X 4 3 14" xfId="19159" xr:uid="{2C03E191-4A29-4296-8EF7-30D0EC1497EC}"/>
    <cellStyle name="SAPBEXHLevel3X 4 3 14 2" xfId="19160" xr:uid="{4862A3F7-60B4-4F44-9985-F70335F68D30}"/>
    <cellStyle name="SAPBEXHLevel3X 4 3 15" xfId="19161" xr:uid="{4974EA9F-9D7A-426D-8868-23FC00EA0145}"/>
    <cellStyle name="SAPBEXHLevel3X 4 3 15 2" xfId="19162" xr:uid="{1555B708-80F3-4BCD-8D9B-1A85B85A7524}"/>
    <cellStyle name="SAPBEXHLevel3X 4 3 16" xfId="19163" xr:uid="{A0777EE2-0E31-4F9F-A9F2-74215A211027}"/>
    <cellStyle name="SAPBEXHLevel3X 4 3 2" xfId="19164" xr:uid="{B5D679BB-4E7A-48E4-8C6F-646608608FA1}"/>
    <cellStyle name="SAPBEXHLevel3X 4 3 2 2" xfId="19165" xr:uid="{F8098649-8B4E-4FF1-8C46-FD9C0C2DCBBA}"/>
    <cellStyle name="SAPBEXHLevel3X 4 3 3" xfId="19166" xr:uid="{84526EBC-49D3-42F1-BD0B-744245794CCF}"/>
    <cellStyle name="SAPBEXHLevel3X 4 3 3 2" xfId="19167" xr:uid="{39F3BCA4-AF87-42D3-99F4-19DE2D55591C}"/>
    <cellStyle name="SAPBEXHLevel3X 4 3 4" xfId="19168" xr:uid="{83DD7034-8F48-46DE-BCD7-145E39149757}"/>
    <cellStyle name="SAPBEXHLevel3X 4 3 4 2" xfId="19169" xr:uid="{7072C046-0283-4F07-8020-CA56F08F91E7}"/>
    <cellStyle name="SAPBEXHLevel3X 4 3 5" xfId="19170" xr:uid="{D32F5362-D95C-4D1E-A933-88D4FA512555}"/>
    <cellStyle name="SAPBEXHLevel3X 4 3 5 2" xfId="19171" xr:uid="{E037CAB0-15DE-410C-B76E-5C951CDF8E9E}"/>
    <cellStyle name="SAPBEXHLevel3X 4 3 6" xfId="19172" xr:uid="{ABE90C17-EAD9-4CBF-8B3D-F3902661C8DB}"/>
    <cellStyle name="SAPBEXHLevel3X 4 3 6 2" xfId="19173" xr:uid="{0CE106C3-DD69-4A34-A338-CCBFA3E50816}"/>
    <cellStyle name="SAPBEXHLevel3X 4 3 7" xfId="19174" xr:uid="{FFD16AA7-CC76-4ADE-BA0B-913FF5C468BF}"/>
    <cellStyle name="SAPBEXHLevel3X 4 3 7 2" xfId="19175" xr:uid="{0E6DD135-8FA7-490A-850F-2C92B1CEC739}"/>
    <cellStyle name="SAPBEXHLevel3X 4 3 8" xfId="19176" xr:uid="{0A7563C0-130D-45E8-ABCA-08B60958CCC0}"/>
    <cellStyle name="SAPBEXHLevel3X 4 3 8 2" xfId="19177" xr:uid="{8EF4FBA4-D741-4F8A-B752-BEEAC885F295}"/>
    <cellStyle name="SAPBEXHLevel3X 4 3 9" xfId="19178" xr:uid="{481C2B60-DE43-48D5-88FC-7BE30AF7EBD8}"/>
    <cellStyle name="SAPBEXHLevel3X 4 3 9 2" xfId="19179" xr:uid="{594F405D-57BE-457F-9D08-C3433B3BAEAF}"/>
    <cellStyle name="SAPBEXHLevel3X 4 4" xfId="19180" xr:uid="{904A78D6-40C3-49EB-A0A3-46B29EA94971}"/>
    <cellStyle name="SAPBEXHLevel3X 4 4 2" xfId="19181" xr:uid="{821F2BFC-8A4C-47BF-8F78-CAABAEB4E7D7}"/>
    <cellStyle name="SAPBEXHLevel3X 4 5" xfId="19182" xr:uid="{B985AE20-8C23-46E8-A4BE-3CC7793A7E87}"/>
    <cellStyle name="SAPBEXHLevel3X 4 5 2" xfId="19183" xr:uid="{68B16065-F638-4CA7-94FB-4B42BFA1690F}"/>
    <cellStyle name="SAPBEXHLevel3X 4 6" xfId="19184" xr:uid="{77947D7C-565E-4733-8D45-D5B20A3E918C}"/>
    <cellStyle name="SAPBEXHLevel3X 4 6 2" xfId="19185" xr:uid="{5160FD36-D5E7-46E8-9DB6-F026D167043F}"/>
    <cellStyle name="SAPBEXHLevel3X 4 7" xfId="19186" xr:uid="{72F64AF1-6B72-446A-840D-446B44BF0B85}"/>
    <cellStyle name="SAPBEXHLevel3X 4 7 2" xfId="19187" xr:uid="{6C8B7B17-84A2-495C-9109-BF5DFA4B4CFC}"/>
    <cellStyle name="SAPBEXHLevel3X 4 8" xfId="19188" xr:uid="{6BDCCA6E-23DA-4C1C-A228-595F0ED9921E}"/>
    <cellStyle name="SAPBEXHLevel3X 4 8 2" xfId="19189" xr:uid="{2E32F67E-E5D0-45C0-8644-8B9906BA3CCE}"/>
    <cellStyle name="SAPBEXHLevel3X 4 9" xfId="19190" xr:uid="{FADC7C77-A864-48CE-B2F5-D2326E469C52}"/>
    <cellStyle name="SAPBEXHLevel3X 4 9 2" xfId="19191" xr:uid="{96F6625B-06DD-4EFE-9329-1086400BB2B7}"/>
    <cellStyle name="SAPBEXHLevel3X 5" xfId="19192" xr:uid="{9F3551AF-0C63-4D86-94ED-52AB9B2458C1}"/>
    <cellStyle name="SAPBEXHLevel3X 5 10" xfId="19193" xr:uid="{A8E8E026-2904-49DC-AF2C-78223AEA1602}"/>
    <cellStyle name="SAPBEXHLevel3X 5 10 2" xfId="19194" xr:uid="{615BBD7B-0F99-45C8-AE87-EFDBA481857E}"/>
    <cellStyle name="SAPBEXHLevel3X 5 11" xfId="19195" xr:uid="{3F7E4297-7433-46AF-95A2-35853626365E}"/>
    <cellStyle name="SAPBEXHLevel3X 5 11 2" xfId="19196" xr:uid="{C4D4B4FA-2456-4BF0-B1B6-83432E54A38F}"/>
    <cellStyle name="SAPBEXHLevel3X 5 12" xfId="19197" xr:uid="{AF35C494-C26A-41C3-ACC1-204C57B8EEAC}"/>
    <cellStyle name="SAPBEXHLevel3X 5 12 2" xfId="19198" xr:uid="{A6DB2C19-A605-43E9-86F8-0ACBA55C64EA}"/>
    <cellStyle name="SAPBEXHLevel3X 5 13" xfId="19199" xr:uid="{3593D161-655B-4D1D-B4F9-D71BE478811C}"/>
    <cellStyle name="SAPBEXHLevel3X 5 13 2" xfId="19200" xr:uid="{37B4C284-99AE-4951-B01C-B7A076CEB872}"/>
    <cellStyle name="SAPBEXHLevel3X 5 14" xfId="19201" xr:uid="{7259A013-6B2A-4150-BD80-298C71E6ED3B}"/>
    <cellStyle name="SAPBEXHLevel3X 5 14 2" xfId="19202" xr:uid="{A1DCE6C9-50B8-41DE-AC26-AADBA1EB7E2C}"/>
    <cellStyle name="SAPBEXHLevel3X 5 15" xfId="19203" xr:uid="{16E72A45-7230-4FDE-AECD-0D2C1AD103BB}"/>
    <cellStyle name="SAPBEXHLevel3X 5 15 2" xfId="19204" xr:uid="{5DDAFE84-0965-41C7-AF35-55D228063124}"/>
    <cellStyle name="SAPBEXHLevel3X 5 16" xfId="19205" xr:uid="{7AC3546D-D83E-4BDA-8356-7B7465EEA42A}"/>
    <cellStyle name="SAPBEXHLevel3X 5 16 2" xfId="19206" xr:uid="{F422A0C3-9BB7-45D7-A293-AB3E8D0AAFEF}"/>
    <cellStyle name="SAPBEXHLevel3X 5 17" xfId="19207" xr:uid="{F1FC2645-1DDA-43B0-BCDF-32DF986B2E59}"/>
    <cellStyle name="SAPBEXHLevel3X 5 17 2" xfId="19208" xr:uid="{2E52A61F-ADB8-418C-9285-CA655897559F}"/>
    <cellStyle name="SAPBEXHLevel3X 5 18" xfId="19209" xr:uid="{7C34B95E-1772-43F2-A954-F845495B65C8}"/>
    <cellStyle name="SAPBEXHLevel3X 5 2" xfId="19210" xr:uid="{95DF4025-97E7-4220-B2BF-0EA5F4602961}"/>
    <cellStyle name="SAPBEXHLevel3X 5 2 10" xfId="19211" xr:uid="{ACF25D54-6419-4F34-98D4-CE89B4813C92}"/>
    <cellStyle name="SAPBEXHLevel3X 5 2 10 2" xfId="19212" xr:uid="{E20D49DA-65DE-450A-A465-303175ED33CD}"/>
    <cellStyle name="SAPBEXHLevel3X 5 2 11" xfId="19213" xr:uid="{BBC2D793-638A-41D0-B6FE-E7522DF4927A}"/>
    <cellStyle name="SAPBEXHLevel3X 5 2 11 2" xfId="19214" xr:uid="{BA4296C4-64EA-4E8D-AFF7-259991C8A935}"/>
    <cellStyle name="SAPBEXHLevel3X 5 2 12" xfId="19215" xr:uid="{7CBA01A0-BB81-4382-A60D-159D6AB258AF}"/>
    <cellStyle name="SAPBEXHLevel3X 5 2 12 2" xfId="19216" xr:uid="{13A6A72A-6788-4943-A5FC-1B8C9022DB1B}"/>
    <cellStyle name="SAPBEXHLevel3X 5 2 13" xfId="19217" xr:uid="{5DC41FC7-3148-43D6-9E14-B7A187F31297}"/>
    <cellStyle name="SAPBEXHLevel3X 5 2 13 2" xfId="19218" xr:uid="{3646FF3A-565E-432E-ADD2-E27BD462E956}"/>
    <cellStyle name="SAPBEXHLevel3X 5 2 14" xfId="19219" xr:uid="{CC69FBAB-97A1-4283-AFEA-6046ADA36E3D}"/>
    <cellStyle name="SAPBEXHLevel3X 5 2 14 2" xfId="19220" xr:uid="{DB619D3E-B029-4B19-AD25-7D064150DE93}"/>
    <cellStyle name="SAPBEXHLevel3X 5 2 15" xfId="19221" xr:uid="{B3E47367-D4B3-4752-8C05-65AE82B8C728}"/>
    <cellStyle name="SAPBEXHLevel3X 5 2 15 2" xfId="19222" xr:uid="{817D63EE-5149-48F3-8D3A-168D9F877FFB}"/>
    <cellStyle name="SAPBEXHLevel3X 5 2 16" xfId="19223" xr:uid="{2A6C62A7-CB92-47CF-9D4C-3CC6C83BD59F}"/>
    <cellStyle name="SAPBEXHLevel3X 5 2 2" xfId="19224" xr:uid="{21197342-6373-4C14-836A-31D82CE45606}"/>
    <cellStyle name="SAPBEXHLevel3X 5 2 2 2" xfId="19225" xr:uid="{2475BE6A-8CE0-41A9-87D3-60C453D74087}"/>
    <cellStyle name="SAPBEXHLevel3X 5 2 3" xfId="19226" xr:uid="{789927A1-031D-467C-8C2A-227A02A497A2}"/>
    <cellStyle name="SAPBEXHLevel3X 5 2 3 2" xfId="19227" xr:uid="{08D99A9C-A2D0-455C-BDF2-1A0255F47968}"/>
    <cellStyle name="SAPBEXHLevel3X 5 2 4" xfId="19228" xr:uid="{09F4B39D-192B-4F38-A124-D19C0A072C02}"/>
    <cellStyle name="SAPBEXHLevel3X 5 2 4 2" xfId="19229" xr:uid="{E0182370-87F0-4035-9671-BB2E5E20ECD5}"/>
    <cellStyle name="SAPBEXHLevel3X 5 2 5" xfId="19230" xr:uid="{A934F581-17B1-4990-B9AB-0DF29DED66DF}"/>
    <cellStyle name="SAPBEXHLevel3X 5 2 5 2" xfId="19231" xr:uid="{6F6BC9D7-258A-4071-857D-A83A50B2F56F}"/>
    <cellStyle name="SAPBEXHLevel3X 5 2 6" xfId="19232" xr:uid="{3552F144-1F1E-41B9-A6CC-4D4682E040C1}"/>
    <cellStyle name="SAPBEXHLevel3X 5 2 6 2" xfId="19233" xr:uid="{548E0AF8-B206-4A65-AC37-8CADFAA79A97}"/>
    <cellStyle name="SAPBEXHLevel3X 5 2 7" xfId="19234" xr:uid="{A25D6649-D201-4772-8819-8CC69FB8B73F}"/>
    <cellStyle name="SAPBEXHLevel3X 5 2 7 2" xfId="19235" xr:uid="{736F1C18-FC18-4366-8D44-F64AD933050A}"/>
    <cellStyle name="SAPBEXHLevel3X 5 2 8" xfId="19236" xr:uid="{13E2F425-D609-4B5C-950E-EE64462F4B30}"/>
    <cellStyle name="SAPBEXHLevel3X 5 2 8 2" xfId="19237" xr:uid="{3F2FBCC6-AE95-427D-BD1B-C9C857313C0B}"/>
    <cellStyle name="SAPBEXHLevel3X 5 2 9" xfId="19238" xr:uid="{6D4BCAD8-CF9F-4287-843C-2A827D5EACEB}"/>
    <cellStyle name="SAPBEXHLevel3X 5 2 9 2" xfId="19239" xr:uid="{E6D20609-3E1F-440D-BCA2-A0900C921304}"/>
    <cellStyle name="SAPBEXHLevel3X 5 3" xfId="19240" xr:uid="{5DD1577B-16F4-49A8-A662-365A7DE7EAF0}"/>
    <cellStyle name="SAPBEXHLevel3X 5 3 10" xfId="19241" xr:uid="{D9F13871-84FA-4ABA-8B86-CC8AC1DB7A7B}"/>
    <cellStyle name="SAPBEXHLevel3X 5 3 10 2" xfId="19242" xr:uid="{4D03670F-8446-45DD-ADE1-972079E5D56B}"/>
    <cellStyle name="SAPBEXHLevel3X 5 3 11" xfId="19243" xr:uid="{CD2A0212-0488-474E-97C3-CB7BA9EF5825}"/>
    <cellStyle name="SAPBEXHLevel3X 5 3 11 2" xfId="19244" xr:uid="{F2761E2E-AEDB-4545-A7C7-27B075294F9F}"/>
    <cellStyle name="SAPBEXHLevel3X 5 3 12" xfId="19245" xr:uid="{BDA83C5D-5F2E-46F4-9BA7-C0E02758EC3D}"/>
    <cellStyle name="SAPBEXHLevel3X 5 3 12 2" xfId="19246" xr:uid="{EDE43502-65E4-4254-A029-C5F129AA9AFE}"/>
    <cellStyle name="SAPBEXHLevel3X 5 3 13" xfId="19247" xr:uid="{0F89A341-B2F6-45FF-B4D9-BC39E13F063E}"/>
    <cellStyle name="SAPBEXHLevel3X 5 3 13 2" xfId="19248" xr:uid="{6EF2019C-2E55-4A51-B38D-9B2373FC9354}"/>
    <cellStyle name="SAPBEXHLevel3X 5 3 14" xfId="19249" xr:uid="{EA5D9303-7D23-470D-BD0A-0499AF10262C}"/>
    <cellStyle name="SAPBEXHLevel3X 5 3 14 2" xfId="19250" xr:uid="{2DB6A84B-20A1-46E5-A36F-5E852E4DA408}"/>
    <cellStyle name="SAPBEXHLevel3X 5 3 15" xfId="19251" xr:uid="{4A8E6EEB-5D72-4F09-814D-AB86529252A2}"/>
    <cellStyle name="SAPBEXHLevel3X 5 3 15 2" xfId="19252" xr:uid="{31049D00-29A3-447C-9F43-D0B414704A89}"/>
    <cellStyle name="SAPBEXHLevel3X 5 3 16" xfId="19253" xr:uid="{3A7CBFCB-57F5-4A23-8B04-0F48284AA8D9}"/>
    <cellStyle name="SAPBEXHLevel3X 5 3 2" xfId="19254" xr:uid="{713E56FD-5E12-4E94-897A-9ACDB4042366}"/>
    <cellStyle name="SAPBEXHLevel3X 5 3 2 2" xfId="19255" xr:uid="{5F75DC22-8640-4B26-986E-D469D27CA75D}"/>
    <cellStyle name="SAPBEXHLevel3X 5 3 3" xfId="19256" xr:uid="{A54F930C-5481-4552-84C4-F2206B304046}"/>
    <cellStyle name="SAPBEXHLevel3X 5 3 3 2" xfId="19257" xr:uid="{BD3908C1-985B-4980-BCA3-16B82C9EA7F5}"/>
    <cellStyle name="SAPBEXHLevel3X 5 3 4" xfId="19258" xr:uid="{D5811E00-2D9E-40D3-8C94-3CD330F71AFB}"/>
    <cellStyle name="SAPBEXHLevel3X 5 3 4 2" xfId="19259" xr:uid="{F4706E11-2978-47F8-B669-1DAE47C932B3}"/>
    <cellStyle name="SAPBEXHLevel3X 5 3 5" xfId="19260" xr:uid="{E070B1C7-E664-4227-A904-27F2254DA627}"/>
    <cellStyle name="SAPBEXHLevel3X 5 3 5 2" xfId="19261" xr:uid="{F4B540C3-790D-4BC4-ABBC-8395EC4F2F50}"/>
    <cellStyle name="SAPBEXHLevel3X 5 3 6" xfId="19262" xr:uid="{0561F349-6111-43EC-8C57-714B4BC8D539}"/>
    <cellStyle name="SAPBEXHLevel3X 5 3 6 2" xfId="19263" xr:uid="{1C1505E9-47E0-4EED-BC86-E880D8C2B48E}"/>
    <cellStyle name="SAPBEXHLevel3X 5 3 7" xfId="19264" xr:uid="{6711DA4C-0D3B-4D27-9170-4415E2B4A3FE}"/>
    <cellStyle name="SAPBEXHLevel3X 5 3 7 2" xfId="19265" xr:uid="{89D77295-1E34-446E-8C02-566878DF9A54}"/>
    <cellStyle name="SAPBEXHLevel3X 5 3 8" xfId="19266" xr:uid="{C582B94F-37A3-45F8-A80F-FF8258B91972}"/>
    <cellStyle name="SAPBEXHLevel3X 5 3 8 2" xfId="19267" xr:uid="{E99DAA55-8B77-42DC-BD2E-0EB6769FAACA}"/>
    <cellStyle name="SAPBEXHLevel3X 5 3 9" xfId="19268" xr:uid="{86CCC444-3BEB-459E-B9C8-E2667E482F20}"/>
    <cellStyle name="SAPBEXHLevel3X 5 3 9 2" xfId="19269" xr:uid="{7AED6B4B-CDB6-48EC-9E45-DE73C7F717DC}"/>
    <cellStyle name="SAPBEXHLevel3X 5 4" xfId="19270" xr:uid="{5E9FB1C9-C949-425A-934F-E2CBF67B0CCC}"/>
    <cellStyle name="SAPBEXHLevel3X 5 4 2" xfId="19271" xr:uid="{01EA9CBD-6C60-4B0E-9EE9-064AD234CD94}"/>
    <cellStyle name="SAPBEXHLevel3X 5 5" xfId="19272" xr:uid="{76FDE67F-EE34-4532-8BE2-545B6DC5E087}"/>
    <cellStyle name="SAPBEXHLevel3X 5 5 2" xfId="19273" xr:uid="{11D54E1B-CD5E-4F91-BF94-5E963984DC12}"/>
    <cellStyle name="SAPBEXHLevel3X 5 6" xfId="19274" xr:uid="{5B7ECF2C-6CB7-42A1-BEDC-07ED13F09BFC}"/>
    <cellStyle name="SAPBEXHLevel3X 5 6 2" xfId="19275" xr:uid="{8BC13733-FEFE-4794-AD1E-88390F9B5B54}"/>
    <cellStyle name="SAPBEXHLevel3X 5 7" xfId="19276" xr:uid="{B856FDDE-C37C-4B6F-A7CF-7DF1664A9AEB}"/>
    <cellStyle name="SAPBEXHLevel3X 5 7 2" xfId="19277" xr:uid="{F897C4CB-76D0-408E-872A-036BD601A3A3}"/>
    <cellStyle name="SAPBEXHLevel3X 5 8" xfId="19278" xr:uid="{6071CD90-9D49-4FB2-B486-B6C6856BF667}"/>
    <cellStyle name="SAPBEXHLevel3X 5 8 2" xfId="19279" xr:uid="{13C3F24F-2222-41C7-BC63-13CE51D407EA}"/>
    <cellStyle name="SAPBEXHLevel3X 5 9" xfId="19280" xr:uid="{0D3BF5FD-1B7A-4B7B-A9F9-0DD37E9D6B34}"/>
    <cellStyle name="SAPBEXHLevel3X 5 9 2" xfId="19281" xr:uid="{AF4E3A34-53D1-4B03-BC73-93910F271874}"/>
    <cellStyle name="SAPBEXHLevel3X 6" xfId="19282" xr:uid="{46BB0691-8F7C-404F-90AF-9D71E95177B4}"/>
    <cellStyle name="SAPBEXHLevel3X 6 10" xfId="19283" xr:uid="{33CA5EBB-C0C9-4D7E-8C06-C05F90F0E0FA}"/>
    <cellStyle name="SAPBEXHLevel3X 6 10 2" xfId="19284" xr:uid="{ADBC7496-0428-47AE-A309-F4C92970263E}"/>
    <cellStyle name="SAPBEXHLevel3X 6 11" xfId="19285" xr:uid="{BDFADF83-0925-4E6F-A0A3-29F8222EA51E}"/>
    <cellStyle name="SAPBEXHLevel3X 6 11 2" xfId="19286" xr:uid="{CA887DAB-63DD-49D2-93CA-6AF76FC24C9E}"/>
    <cellStyle name="SAPBEXHLevel3X 6 12" xfId="19287" xr:uid="{7DC0BA33-0B46-436F-9344-BC10841B7557}"/>
    <cellStyle name="SAPBEXHLevel3X 6 12 2" xfId="19288" xr:uid="{C9D21272-6105-478A-8813-88CE047283D1}"/>
    <cellStyle name="SAPBEXHLevel3X 6 13" xfId="19289" xr:uid="{693D93FB-7D97-4483-B984-7825C05F9E50}"/>
    <cellStyle name="SAPBEXHLevel3X 6 13 2" xfId="19290" xr:uid="{5C7A9E28-311F-469E-A92C-8FB2A88D4EF4}"/>
    <cellStyle name="SAPBEXHLevel3X 6 14" xfId="19291" xr:uid="{D9236EFE-9086-43F5-913D-5DEF6FABDB4B}"/>
    <cellStyle name="SAPBEXHLevel3X 6 14 2" xfId="19292" xr:uid="{AF1F1C53-6BC4-4767-94DE-C3127F5E2728}"/>
    <cellStyle name="SAPBEXHLevel3X 6 15" xfId="19293" xr:uid="{096A8521-2210-41EE-B332-A564EBA571F0}"/>
    <cellStyle name="SAPBEXHLevel3X 6 15 2" xfId="19294" xr:uid="{3E4347E3-57A5-4524-A48D-C6494C8838FD}"/>
    <cellStyle name="SAPBEXHLevel3X 6 16" xfId="19295" xr:uid="{FFDCDEF1-B506-4912-8CFC-C253E7339D3E}"/>
    <cellStyle name="SAPBEXHLevel3X 6 2" xfId="19296" xr:uid="{7485FECD-6822-473B-A086-AD7527E6CB13}"/>
    <cellStyle name="SAPBEXHLevel3X 6 2 2" xfId="19297" xr:uid="{74A4942E-2A74-4C75-8306-6DA865C01011}"/>
    <cellStyle name="SAPBEXHLevel3X 6 3" xfId="19298" xr:uid="{9FFCBFB7-8AA4-41AB-84C1-9D79822EBD47}"/>
    <cellStyle name="SAPBEXHLevel3X 6 3 2" xfId="19299" xr:uid="{A31E946E-7609-40A5-A365-7C00A812F9CC}"/>
    <cellStyle name="SAPBEXHLevel3X 6 4" xfId="19300" xr:uid="{F198DB6C-190B-412F-8212-31436240D32E}"/>
    <cellStyle name="SAPBEXHLevel3X 6 4 2" xfId="19301" xr:uid="{724861AB-562F-4DCF-84CA-569019246F5E}"/>
    <cellStyle name="SAPBEXHLevel3X 6 5" xfId="19302" xr:uid="{4EC15E1A-CDE9-486B-996E-322DDB20E6E8}"/>
    <cellStyle name="SAPBEXHLevel3X 6 5 2" xfId="19303" xr:uid="{9782C0F2-EE40-4841-978B-DE253BA3F55E}"/>
    <cellStyle name="SAPBEXHLevel3X 6 6" xfId="19304" xr:uid="{3452DB9A-75FD-42B6-9E7E-A6C4B7F6F4C0}"/>
    <cellStyle name="SAPBEXHLevel3X 6 6 2" xfId="19305" xr:uid="{52571B64-59BE-4E78-B612-02604803AD16}"/>
    <cellStyle name="SAPBEXHLevel3X 6 7" xfId="19306" xr:uid="{953FE01D-870F-4238-9ED0-8F2A035A36F2}"/>
    <cellStyle name="SAPBEXHLevel3X 6 7 2" xfId="19307" xr:uid="{2D520320-9E2B-4D2C-B312-9F1D87708CA9}"/>
    <cellStyle name="SAPBEXHLevel3X 6 8" xfId="19308" xr:uid="{D6585783-208B-41E5-B988-8A1899472A9F}"/>
    <cellStyle name="SAPBEXHLevel3X 6 8 2" xfId="19309" xr:uid="{B609490C-F783-482A-9005-1B56C164D2B3}"/>
    <cellStyle name="SAPBEXHLevel3X 6 9" xfId="19310" xr:uid="{4F8260D4-C8AF-40B7-BE29-8FD6DA512DB8}"/>
    <cellStyle name="SAPBEXHLevel3X 6 9 2" xfId="19311" xr:uid="{DEFFC909-CEC3-4C40-ADF2-6100D6FC6E15}"/>
    <cellStyle name="SAPBEXHLevel3X 7" xfId="19312" xr:uid="{798EDCCC-9CA5-4451-90B6-BED1E812CD9E}"/>
    <cellStyle name="SAPBEXHLevel3X 7 2" xfId="19313" xr:uid="{46C4CB4B-9D5C-4791-B054-ADCBF50A9314}"/>
    <cellStyle name="SAPBEXHLevel3X 8" xfId="19314" xr:uid="{A71E17C6-69E3-4650-8D2E-B0D618F69FF3}"/>
    <cellStyle name="SAPBEXHLevel3X 8 2" xfId="19315" xr:uid="{6087A45B-7339-4CD6-99F6-8C4D321E7679}"/>
    <cellStyle name="SAPBEXHLevel3X 9" xfId="19316" xr:uid="{4607F600-3DE4-487C-82B3-FDFA6C3C2AA7}"/>
    <cellStyle name="SAPBEXHLevel3X 9 2" xfId="19317" xr:uid="{CAA95D4A-D48D-4C52-8A3B-FE93CE83EB6D}"/>
    <cellStyle name="SAPBEXHLevel3X_T1 ANSP" xfId="18778" xr:uid="{68524F46-408C-449F-9615-445A8611EBFF}"/>
    <cellStyle name="SAPBEXinputData" xfId="19318" xr:uid="{E41CC1BA-3DB2-4002-9F81-DE5843FBCB84}"/>
    <cellStyle name="SAPBEXinputData 2" xfId="19319" xr:uid="{5BC70045-9DDA-433A-BD9D-2760690239F6}"/>
    <cellStyle name="SAPBEXinputData 3" xfId="19320" xr:uid="{5DF39E2E-3269-4374-BAF4-DC5549553154}"/>
    <cellStyle name="SAPBEXinputData 3 2" xfId="19321" xr:uid="{45C5F68B-4FDE-45AD-8688-F67A3223C230}"/>
    <cellStyle name="SAPBEXinputData 3 2 2" xfId="19322" xr:uid="{3790D39C-2DDB-4837-91FA-12B7D102CBCB}"/>
    <cellStyle name="SAPBEXinputData 3 3" xfId="19323" xr:uid="{131B3EAD-BB93-4B0D-A318-565DCF8CE4DA}"/>
    <cellStyle name="SAPBEXinputData 3 3 2" xfId="19324" xr:uid="{205817FB-2209-46CD-9260-D587B99ABBDF}"/>
    <cellStyle name="SAPBEXinputData 3 4" xfId="19325" xr:uid="{73A2E64F-1ABE-43C8-9328-470CDF3AEFF9}"/>
    <cellStyle name="SAPBEXinputData 3 4 2" xfId="19326" xr:uid="{9B69A138-3E06-48BE-8117-70649C8F6B84}"/>
    <cellStyle name="SAPBEXinputData 3 5" xfId="19327" xr:uid="{D4C9E2E3-7358-4975-985B-D71F62F4AD88}"/>
    <cellStyle name="SAPBEXinputData 3 5 2" xfId="19328" xr:uid="{ABEF48E8-0840-438D-B2FA-B65D84C79953}"/>
    <cellStyle name="SAPBEXinputData 3 6" xfId="19329" xr:uid="{655F7A07-7EE2-41D9-B9FA-7F26B515D476}"/>
    <cellStyle name="SAPBEXinputData 3 6 2" xfId="19330" xr:uid="{73EBD5EE-AE9C-4624-9323-52B66C8353C9}"/>
    <cellStyle name="SAPBEXinputData 3 7" xfId="19331" xr:uid="{AB48A788-51A7-4EE0-AC6E-74EDF1505485}"/>
    <cellStyle name="SAPBEXinputData 4" xfId="19332" xr:uid="{FEC06671-0323-481C-8158-E2917E89A8BC}"/>
    <cellStyle name="SAPBEXinputData 4 2" xfId="19333" xr:uid="{218E2A39-E8D5-4FF2-BB41-CE76FA73E513}"/>
    <cellStyle name="SAPBEXinputData 4 2 2" xfId="19334" xr:uid="{368ADFAC-3C5E-4C65-A590-2B8F75224E27}"/>
    <cellStyle name="SAPBEXinputData 4 3" xfId="19335" xr:uid="{7867EA8B-9ED4-42BE-97C1-F32A9B9B5B2D}"/>
    <cellStyle name="SAPBEXinputData 4 3 2" xfId="19336" xr:uid="{6892BAFC-956D-49F3-974D-858EF98C6702}"/>
    <cellStyle name="SAPBEXinputData 4 4" xfId="19337" xr:uid="{234B3A03-A917-4131-87A2-3D0A2DD0E7CF}"/>
    <cellStyle name="SAPBEXinputData 4 4 2" xfId="19338" xr:uid="{6AB3C7C4-0433-444B-B419-F8F742374843}"/>
    <cellStyle name="SAPBEXinputData 4 5" xfId="19339" xr:uid="{6E755399-DCA7-49ED-B38D-7F38FD2D7AD7}"/>
    <cellStyle name="SAPBEXinputData 4 5 2" xfId="19340" xr:uid="{40249AB5-67A5-42A4-B554-5EB6B2484EC1}"/>
    <cellStyle name="SAPBEXinputData 4 6" xfId="19341" xr:uid="{055090BC-7D9B-44C5-A8FD-CFEB07774156}"/>
    <cellStyle name="SAPBEXinputData 4 6 2" xfId="19342" xr:uid="{C6D2209B-C68F-4B3B-A719-6115B9EB1282}"/>
    <cellStyle name="SAPBEXinputData 4 7" xfId="19343" xr:uid="{63619336-D661-4FBC-BE03-0A0CA0EF5428}"/>
    <cellStyle name="SAPBEXinputData 5" xfId="19344" xr:uid="{016E317F-19C5-48C2-AB6B-0057432A33DE}"/>
    <cellStyle name="SAPBEXinputData 5 2" xfId="19345" xr:uid="{792A9ED1-BEC1-4F23-874E-DBE780D2782A}"/>
    <cellStyle name="SAPBEXinputData 5 2 2" xfId="19346" xr:uid="{E37CC269-2108-47AD-8599-2F5014C6ACA5}"/>
    <cellStyle name="SAPBEXinputData 5 3" xfId="19347" xr:uid="{1EF3C85F-FF27-4785-A87D-5E53159829BB}"/>
    <cellStyle name="SAPBEXinputData 5 3 2" xfId="19348" xr:uid="{C50D1127-AADF-4528-8FC5-89B8AB4AEC18}"/>
    <cellStyle name="SAPBEXinputData 5 4" xfId="19349" xr:uid="{5B354564-25EB-4891-B5CC-DCB145C2BF7B}"/>
    <cellStyle name="SAPBEXinputData 5 4 2" xfId="19350" xr:uid="{CEB57619-C400-4524-B67D-D64410458EAF}"/>
    <cellStyle name="SAPBEXinputData 5 5" xfId="19351" xr:uid="{93FB4F0A-CF64-4272-999F-39A5013D54ED}"/>
    <cellStyle name="SAPBEXinputData 5 5 2" xfId="19352" xr:uid="{4C5EA4F3-2E50-4936-982B-9574A0AB9680}"/>
    <cellStyle name="SAPBEXinputData 5 6" xfId="19353" xr:uid="{73FA3BD6-0DA7-4CA4-AEE7-A5D23475ECF4}"/>
    <cellStyle name="SAPBEXinputData 5 6 2" xfId="19354" xr:uid="{A980130D-733B-47CD-A969-5C937C66434A}"/>
    <cellStyle name="SAPBEXinputData 5 7" xfId="19355" xr:uid="{F51CB213-B33C-458F-A04A-276D1577B379}"/>
    <cellStyle name="SAPBEXItemHeader" xfId="19356" xr:uid="{ED0E2B73-7FDA-49E1-AF08-8A6D4F73067B}"/>
    <cellStyle name="SAPBEXItemHeader 10" xfId="19357" xr:uid="{C852F90C-D0DC-401C-A6A9-C87CFDFDDA17}"/>
    <cellStyle name="SAPBEXItemHeader 10 2" xfId="19358" xr:uid="{52449C99-2446-451F-A349-890717601D5C}"/>
    <cellStyle name="SAPBEXItemHeader 11" xfId="19359" xr:uid="{344C2EA4-CAC8-4830-90D3-19D998206A66}"/>
    <cellStyle name="SAPBEXItemHeader 11 2" xfId="19360" xr:uid="{DFB3D005-A3B1-463E-8D27-6B4758763B3E}"/>
    <cellStyle name="SAPBEXItemHeader 12" xfId="19361" xr:uid="{D7E23775-8E6D-4AEC-A411-E83571A725A1}"/>
    <cellStyle name="SAPBEXItemHeader 12 2" xfId="19362" xr:uid="{297CF87E-7D55-4F10-8DDA-1CB442A75B6B}"/>
    <cellStyle name="SAPBEXItemHeader 13" xfId="19363" xr:uid="{BDFC08D3-E039-4986-AD4D-89C4110F6BB3}"/>
    <cellStyle name="SAPBEXItemHeader 13 2" xfId="19364" xr:uid="{95309069-CBA3-4875-94B6-599232E0A8DF}"/>
    <cellStyle name="SAPBEXItemHeader 14" xfId="19365" xr:uid="{8C565601-BB53-40E8-9F6A-BBDF211D5C11}"/>
    <cellStyle name="SAPBEXItemHeader 14 2" xfId="19366" xr:uid="{1D1F89EE-8C6B-4DAD-AB93-3CAB9DA92E9B}"/>
    <cellStyle name="SAPBEXItemHeader 15" xfId="19367" xr:uid="{47209E63-BEF3-4A58-A03F-696E158B8C05}"/>
    <cellStyle name="SAPBEXItemHeader 15 2" xfId="19368" xr:uid="{EABDE09A-38B7-4129-91B5-2861B56DCAA1}"/>
    <cellStyle name="SAPBEXItemHeader 16" xfId="19369" xr:uid="{0283F02A-8EA5-44C6-8FAB-9746DFBA1C6A}"/>
    <cellStyle name="SAPBEXItemHeader 16 2" xfId="19370" xr:uid="{C697530C-E33C-45E0-8B2E-CF5E11E60962}"/>
    <cellStyle name="SAPBEXItemHeader 17" xfId="19371" xr:uid="{5087011C-C3C7-4859-94CA-027DDEC55942}"/>
    <cellStyle name="SAPBEXItemHeader 17 2" xfId="19372" xr:uid="{4413AC6B-0D65-4773-ABED-D0D2BBBA57B2}"/>
    <cellStyle name="SAPBEXItemHeader 18" xfId="19373" xr:uid="{5E41EE56-5755-4B4A-8084-6A660A818490}"/>
    <cellStyle name="SAPBEXItemHeader 2" xfId="19374" xr:uid="{C4FD23F0-38DD-4632-87CE-F707F28A859B}"/>
    <cellStyle name="SAPBEXItemHeader 2 10" xfId="19375" xr:uid="{5B607621-AE82-4C93-8FC1-A464FC461159}"/>
    <cellStyle name="SAPBEXItemHeader 2 10 2" xfId="19376" xr:uid="{2FAA596A-7899-4B01-85F8-7C7896505A48}"/>
    <cellStyle name="SAPBEXItemHeader 2 11" xfId="19377" xr:uid="{890D2D33-826D-4347-AFA3-A4EC9288E323}"/>
    <cellStyle name="SAPBEXItemHeader 2 11 2" xfId="19378" xr:uid="{9CD88427-4566-4827-A8BA-3002832652D6}"/>
    <cellStyle name="SAPBEXItemHeader 2 12" xfId="19379" xr:uid="{FF5E989E-3CE6-4A13-95D0-1C7797D0F0A9}"/>
    <cellStyle name="SAPBEXItemHeader 2 12 2" xfId="19380" xr:uid="{3065B035-C7DA-45D1-9388-72CF9EE4D5C7}"/>
    <cellStyle name="SAPBEXItemHeader 2 13" xfId="19381" xr:uid="{CA99BB86-D47A-451E-AB71-C5980E69AB7D}"/>
    <cellStyle name="SAPBEXItemHeader 2 13 2" xfId="19382" xr:uid="{B306D1AD-887E-49AD-B6E8-1A78823C7640}"/>
    <cellStyle name="SAPBEXItemHeader 2 14" xfId="19383" xr:uid="{412F6AA5-0BCE-4F07-A231-FCC3698DA19B}"/>
    <cellStyle name="SAPBEXItemHeader 2 14 2" xfId="19384" xr:uid="{D1FD4D67-B43C-4474-A150-DDFB204CE89C}"/>
    <cellStyle name="SAPBEXItemHeader 2 15" xfId="19385" xr:uid="{C256317D-19FE-484C-A2F9-71E7C07BF60E}"/>
    <cellStyle name="SAPBEXItemHeader 2 15 2" xfId="19386" xr:uid="{DEAD3C7F-EF0F-49D4-9B1A-23C13E771FBC}"/>
    <cellStyle name="SAPBEXItemHeader 2 16" xfId="19387" xr:uid="{C821F37F-6AD8-4CEC-A814-75839835AA9A}"/>
    <cellStyle name="SAPBEXItemHeader 2 16 2" xfId="19388" xr:uid="{56374389-A3A4-4E1C-B846-2198FA411B77}"/>
    <cellStyle name="SAPBEXItemHeader 2 17" xfId="19389" xr:uid="{A8CE9290-393F-455D-AB6B-A60336BAC353}"/>
    <cellStyle name="SAPBEXItemHeader 2 17 2" xfId="19390" xr:uid="{6DAA1AA8-92A8-4823-BDA1-61776AE74F71}"/>
    <cellStyle name="SAPBEXItemHeader 2 18" xfId="19391" xr:uid="{77C6980B-6C5D-4E97-9752-48E6787D6F44}"/>
    <cellStyle name="SAPBEXItemHeader 2 2" xfId="19392" xr:uid="{8CD90DE8-2D63-463A-B31B-F3430647F0D9}"/>
    <cellStyle name="SAPBEXItemHeader 2 2 10" xfId="19393" xr:uid="{E71B350B-C852-4D72-93C6-CA0018762D54}"/>
    <cellStyle name="SAPBEXItemHeader 2 2 10 2" xfId="19394" xr:uid="{51C6228B-F150-43C7-A5F8-8272E90576F8}"/>
    <cellStyle name="SAPBEXItemHeader 2 2 11" xfId="19395" xr:uid="{41A67DB8-C8E4-4FD0-B93E-A3E509A847AE}"/>
    <cellStyle name="SAPBEXItemHeader 2 2 11 2" xfId="19396" xr:uid="{A117D9FD-F70D-40ED-AFFB-EC4E843F9A16}"/>
    <cellStyle name="SAPBEXItemHeader 2 2 12" xfId="19397" xr:uid="{8454D232-B6DC-4B88-92C2-4267F250E62B}"/>
    <cellStyle name="SAPBEXItemHeader 2 2 12 2" xfId="19398" xr:uid="{AE905BD9-6EDD-44E5-8616-313F924B04AF}"/>
    <cellStyle name="SAPBEXItemHeader 2 2 13" xfId="19399" xr:uid="{D260F9EC-BB4D-44A2-BED9-788778538F54}"/>
    <cellStyle name="SAPBEXItemHeader 2 2 13 2" xfId="19400" xr:uid="{31BEBBB2-C207-4806-A6EE-D227FD8B1B2A}"/>
    <cellStyle name="SAPBEXItemHeader 2 2 14" xfId="19401" xr:uid="{62565483-FEAD-4C10-8BD6-E46E11BA2879}"/>
    <cellStyle name="SAPBEXItemHeader 2 2 14 2" xfId="19402" xr:uid="{A7C44D5B-4F56-4C0A-A767-27FB04E92E04}"/>
    <cellStyle name="SAPBEXItemHeader 2 2 15" xfId="19403" xr:uid="{B2D90D94-ABE0-47AB-B08F-9289C81BDD07}"/>
    <cellStyle name="SAPBEXItemHeader 2 2 15 2" xfId="19404" xr:uid="{0E9E998B-FFDC-49AB-9E9F-579E7FC1262D}"/>
    <cellStyle name="SAPBEXItemHeader 2 2 16" xfId="19405" xr:uid="{C7C45E43-F644-4E4B-BE75-EA1B621E61EC}"/>
    <cellStyle name="SAPBEXItemHeader 2 2 2" xfId="19406" xr:uid="{53DB4CBD-2595-42F2-B04B-F1E3ACD4DCA7}"/>
    <cellStyle name="SAPBEXItemHeader 2 2 2 2" xfId="19407" xr:uid="{BD374DAD-DA2D-47B7-AC12-134F8D07114E}"/>
    <cellStyle name="SAPBEXItemHeader 2 2 3" xfId="19408" xr:uid="{F6A76F40-8E0C-4D9A-A3FF-D6AD02418A1B}"/>
    <cellStyle name="SAPBEXItemHeader 2 2 3 2" xfId="19409" xr:uid="{708DFC38-538E-4D19-B7B1-EE891A13FAB0}"/>
    <cellStyle name="SAPBEXItemHeader 2 2 4" xfId="19410" xr:uid="{7E384A65-33C8-4B1D-91E5-785A851D967B}"/>
    <cellStyle name="SAPBEXItemHeader 2 2 4 2" xfId="19411" xr:uid="{5D67D0A9-1C42-47CD-A65B-A3967D1BB143}"/>
    <cellStyle name="SAPBEXItemHeader 2 2 5" xfId="19412" xr:uid="{7D4377C2-2EF2-462F-9850-3216692F56BD}"/>
    <cellStyle name="SAPBEXItemHeader 2 2 5 2" xfId="19413" xr:uid="{D3F63F0D-3301-4C43-A3D2-825BD9AD042F}"/>
    <cellStyle name="SAPBEXItemHeader 2 2 6" xfId="19414" xr:uid="{A1FA1F77-42FC-4810-939F-506C62F49056}"/>
    <cellStyle name="SAPBEXItemHeader 2 2 6 2" xfId="19415" xr:uid="{02A6F09B-3406-497A-ACE6-D4620F76E2B2}"/>
    <cellStyle name="SAPBEXItemHeader 2 2 7" xfId="19416" xr:uid="{39A290DB-A26B-48A0-9C18-91683CCF6CF6}"/>
    <cellStyle name="SAPBEXItemHeader 2 2 7 2" xfId="19417" xr:uid="{10E51728-CA74-4407-A31D-C054A0733476}"/>
    <cellStyle name="SAPBEXItemHeader 2 2 8" xfId="19418" xr:uid="{776873D5-DDC6-4034-9233-BA266E0CBA11}"/>
    <cellStyle name="SAPBEXItemHeader 2 2 8 2" xfId="19419" xr:uid="{1E4E9CDB-38C5-437B-A0D6-A13E5FDE522F}"/>
    <cellStyle name="SAPBEXItemHeader 2 2 9" xfId="19420" xr:uid="{9C6A8E4B-99C5-4003-B4B5-97C12D12D49C}"/>
    <cellStyle name="SAPBEXItemHeader 2 2 9 2" xfId="19421" xr:uid="{C3426BA8-1325-457D-85CC-40FB61FDB7C6}"/>
    <cellStyle name="SAPBEXItemHeader 2 3" xfId="19422" xr:uid="{793847CB-FFA8-46A9-B4DA-FE8316C0ADEC}"/>
    <cellStyle name="SAPBEXItemHeader 2 3 10" xfId="19423" xr:uid="{0D690BAF-31C6-4C5B-9E44-EDC4DE10D368}"/>
    <cellStyle name="SAPBEXItemHeader 2 3 10 2" xfId="19424" xr:uid="{2B953A70-75D7-4001-BEB4-38B673D80F10}"/>
    <cellStyle name="SAPBEXItemHeader 2 3 11" xfId="19425" xr:uid="{D54CD43E-1EA2-4CC1-A418-41058575111F}"/>
    <cellStyle name="SAPBEXItemHeader 2 3 11 2" xfId="19426" xr:uid="{E043310E-A7F5-4010-A79A-B07D4F8132F0}"/>
    <cellStyle name="SAPBEXItemHeader 2 3 12" xfId="19427" xr:uid="{8CFE60A1-3427-47D7-8B6D-880F2B5AA4D6}"/>
    <cellStyle name="SAPBEXItemHeader 2 3 12 2" xfId="19428" xr:uid="{F28E3518-DA97-4068-9019-F3306CEADBAB}"/>
    <cellStyle name="SAPBEXItemHeader 2 3 13" xfId="19429" xr:uid="{6F1BAEFE-1736-475B-BDEB-182989D7DFAB}"/>
    <cellStyle name="SAPBEXItemHeader 2 3 13 2" xfId="19430" xr:uid="{1026A6FD-D31F-46E5-A7F4-6A1B6A1EB847}"/>
    <cellStyle name="SAPBEXItemHeader 2 3 14" xfId="19431" xr:uid="{FAF5F321-BC5A-410F-9256-ED0EC8AC533D}"/>
    <cellStyle name="SAPBEXItemHeader 2 3 14 2" xfId="19432" xr:uid="{D953782E-47BF-4D4C-A9CC-AC7CCD639379}"/>
    <cellStyle name="SAPBEXItemHeader 2 3 15" xfId="19433" xr:uid="{7DA70D72-06BD-4441-9A88-E22C3EADB52D}"/>
    <cellStyle name="SAPBEXItemHeader 2 3 15 2" xfId="19434" xr:uid="{F8CA0420-0A36-45E6-B6D0-630075ED5CA8}"/>
    <cellStyle name="SAPBEXItemHeader 2 3 16" xfId="19435" xr:uid="{0A8C6460-E7E8-4C27-8CD0-53DBBDF62DE0}"/>
    <cellStyle name="SAPBEXItemHeader 2 3 2" xfId="19436" xr:uid="{42FAF09E-4219-4ED9-8665-AE5E99D10952}"/>
    <cellStyle name="SAPBEXItemHeader 2 3 2 2" xfId="19437" xr:uid="{F81BB080-3D80-49B9-88FF-5213DE782CA5}"/>
    <cellStyle name="SAPBEXItemHeader 2 3 3" xfId="19438" xr:uid="{A4A550EF-BDE9-4070-8AEC-D9C20E4D49E9}"/>
    <cellStyle name="SAPBEXItemHeader 2 3 3 2" xfId="19439" xr:uid="{F3E69FE6-56A4-41B8-AAE1-73F40F6D4D3E}"/>
    <cellStyle name="SAPBEXItemHeader 2 3 4" xfId="19440" xr:uid="{63321699-5E97-4509-837E-26DA4585D552}"/>
    <cellStyle name="SAPBEXItemHeader 2 3 4 2" xfId="19441" xr:uid="{C52557E0-8B20-4126-8923-EC8DE5DACAB4}"/>
    <cellStyle name="SAPBEXItemHeader 2 3 5" xfId="19442" xr:uid="{AA5EAD03-FC1B-4997-8F1E-C33C5B84AFC8}"/>
    <cellStyle name="SAPBEXItemHeader 2 3 5 2" xfId="19443" xr:uid="{C9AF1DB6-DB41-47BE-BFA2-2765CD3C0EC2}"/>
    <cellStyle name="SAPBEXItemHeader 2 3 6" xfId="19444" xr:uid="{1BCBF954-6641-464A-BBBF-3C6F5A26C383}"/>
    <cellStyle name="SAPBEXItemHeader 2 3 6 2" xfId="19445" xr:uid="{D5157327-E518-45DB-B613-A728AC328848}"/>
    <cellStyle name="SAPBEXItemHeader 2 3 7" xfId="19446" xr:uid="{7045974B-2500-40B3-ACA4-8C071103C85F}"/>
    <cellStyle name="SAPBEXItemHeader 2 3 7 2" xfId="19447" xr:uid="{34D56395-EA67-4E66-83FC-F1374BFBAEB6}"/>
    <cellStyle name="SAPBEXItemHeader 2 3 8" xfId="19448" xr:uid="{9329F85A-745B-4954-9ED4-8CE3C1A00FEE}"/>
    <cellStyle name="SAPBEXItemHeader 2 3 8 2" xfId="19449" xr:uid="{08714C40-6DE6-45DB-B418-1E882D66B071}"/>
    <cellStyle name="SAPBEXItemHeader 2 3 9" xfId="19450" xr:uid="{41276806-D552-4AAC-9799-61E4DC591C7F}"/>
    <cellStyle name="SAPBEXItemHeader 2 3 9 2" xfId="19451" xr:uid="{1A9A65FE-BA69-4812-98EE-48DBB1099CC5}"/>
    <cellStyle name="SAPBEXItemHeader 2 4" xfId="19452" xr:uid="{24649880-A3BE-4C3C-8D3A-51B56118CF3B}"/>
    <cellStyle name="SAPBEXItemHeader 2 4 2" xfId="19453" xr:uid="{E6E14CE5-1688-452D-9B2C-3C08ABBA0E50}"/>
    <cellStyle name="SAPBEXItemHeader 2 5" xfId="19454" xr:uid="{016C67A2-7D5F-429E-B4FA-1B6D7719653B}"/>
    <cellStyle name="SAPBEXItemHeader 2 5 2" xfId="19455" xr:uid="{AE002635-70C4-46B0-82CB-309A0D37BCC4}"/>
    <cellStyle name="SAPBEXItemHeader 2 6" xfId="19456" xr:uid="{C4926EAD-D885-4407-A704-03B683B8C3F7}"/>
    <cellStyle name="SAPBEXItemHeader 2 6 2" xfId="19457" xr:uid="{F37AF120-BFEE-40FD-9D96-E88547565DDB}"/>
    <cellStyle name="SAPBEXItemHeader 2 7" xfId="19458" xr:uid="{732A45B6-647B-454F-BF8C-ED528389A146}"/>
    <cellStyle name="SAPBEXItemHeader 2 7 2" xfId="19459" xr:uid="{3D1B019D-4F71-4ECC-A14B-CFC39CFEBA87}"/>
    <cellStyle name="SAPBEXItemHeader 2 8" xfId="19460" xr:uid="{C86221DC-A0B9-4086-B63B-25CD403B3FBC}"/>
    <cellStyle name="SAPBEXItemHeader 2 8 2" xfId="19461" xr:uid="{2118F826-F9A1-4392-BD60-397724791E2D}"/>
    <cellStyle name="SAPBEXItemHeader 2 9" xfId="19462" xr:uid="{B150319C-DA66-4EE1-8FB1-C6DFDB817726}"/>
    <cellStyle name="SAPBEXItemHeader 2 9 2" xfId="19463" xr:uid="{C6BEAE81-3A18-4901-9FB5-20F51C75B910}"/>
    <cellStyle name="SAPBEXItemHeader 3" xfId="19464" xr:uid="{48C81DC0-862E-4031-87E5-066AA329E410}"/>
    <cellStyle name="SAPBEXItemHeader 3 10" xfId="19465" xr:uid="{BAB6E797-39A5-47DA-BE51-159D03ABCA36}"/>
    <cellStyle name="SAPBEXItemHeader 3 10 2" xfId="19466" xr:uid="{4B0233D3-B1D7-47ED-845A-B5514535E0D0}"/>
    <cellStyle name="SAPBEXItemHeader 3 11" xfId="19467" xr:uid="{C3891153-8217-4274-9D9C-6B5182ECF035}"/>
    <cellStyle name="SAPBEXItemHeader 3 11 2" xfId="19468" xr:uid="{0E6D7D33-C779-4679-89EC-0A6F37E3436D}"/>
    <cellStyle name="SAPBEXItemHeader 3 12" xfId="19469" xr:uid="{A21F00A4-7B0D-4663-A3D8-346353C83B9F}"/>
    <cellStyle name="SAPBEXItemHeader 3 12 2" xfId="19470" xr:uid="{F3ADA797-94E7-4414-B1C1-A5DCFB9EAABA}"/>
    <cellStyle name="SAPBEXItemHeader 3 13" xfId="19471" xr:uid="{B0C68075-5460-435B-A7DB-76D5BD1EA336}"/>
    <cellStyle name="SAPBEXItemHeader 3 13 2" xfId="19472" xr:uid="{F54119AF-34AC-4645-9D78-C1D47F3996C4}"/>
    <cellStyle name="SAPBEXItemHeader 3 14" xfId="19473" xr:uid="{3639E3A5-3782-44E0-9985-3E069EE12727}"/>
    <cellStyle name="SAPBEXItemHeader 3 14 2" xfId="19474" xr:uid="{332E084B-494E-43C0-B0D2-04C59213DB9A}"/>
    <cellStyle name="SAPBEXItemHeader 3 15" xfId="19475" xr:uid="{5DAA7E85-2CEB-459E-ACCB-CCB657DE06C7}"/>
    <cellStyle name="SAPBEXItemHeader 3 15 2" xfId="19476" xr:uid="{A67F739C-8CB8-473C-A0AA-CA563ECCA3B6}"/>
    <cellStyle name="SAPBEXItemHeader 3 16" xfId="19477" xr:uid="{FB076907-8A53-4594-B775-900E9CD99079}"/>
    <cellStyle name="SAPBEXItemHeader 3 16 2" xfId="19478" xr:uid="{33B7363A-10B9-49FC-AF9B-DB0D8BFBDE4A}"/>
    <cellStyle name="SAPBEXItemHeader 3 17" xfId="19479" xr:uid="{4B55CE2C-494E-493E-BDBA-549459BF6E5B}"/>
    <cellStyle name="SAPBEXItemHeader 3 17 2" xfId="19480" xr:uid="{1F55C82C-89E8-4CE0-A8D0-E68B10B6CC22}"/>
    <cellStyle name="SAPBEXItemHeader 3 18" xfId="19481" xr:uid="{58ED04E1-3A28-4A5A-97FE-A2D4191A1DA8}"/>
    <cellStyle name="SAPBEXItemHeader 3 2" xfId="19482" xr:uid="{49AB32FF-BA55-4689-A685-502CACA0DDB8}"/>
    <cellStyle name="SAPBEXItemHeader 3 2 10" xfId="19483" xr:uid="{E12B48F4-3A92-4D97-98D0-274F863F3B46}"/>
    <cellStyle name="SAPBEXItemHeader 3 2 10 2" xfId="19484" xr:uid="{21E83D98-AB7C-472B-8A5C-7F2B77A1D42F}"/>
    <cellStyle name="SAPBEXItemHeader 3 2 11" xfId="19485" xr:uid="{B73AB3E3-C5AF-4DE7-99AD-C50A38180DEB}"/>
    <cellStyle name="SAPBEXItemHeader 3 2 11 2" xfId="19486" xr:uid="{4EAEACA9-4663-42EC-8E19-954D14564311}"/>
    <cellStyle name="SAPBEXItemHeader 3 2 12" xfId="19487" xr:uid="{F3E7C237-0D31-47C8-9CF4-69FDF1A03C34}"/>
    <cellStyle name="SAPBEXItemHeader 3 2 12 2" xfId="19488" xr:uid="{2C2B4B14-F2F9-40D6-A34C-4053B018784F}"/>
    <cellStyle name="SAPBEXItemHeader 3 2 13" xfId="19489" xr:uid="{94BA27B6-3006-4CDA-83F9-503C71960FF4}"/>
    <cellStyle name="SAPBEXItemHeader 3 2 13 2" xfId="19490" xr:uid="{90741ECE-18A8-4156-BC9F-85E1F7A6A0D1}"/>
    <cellStyle name="SAPBEXItemHeader 3 2 14" xfId="19491" xr:uid="{813A4CE8-B5F5-4045-B920-3C4FD11A30EC}"/>
    <cellStyle name="SAPBEXItemHeader 3 2 14 2" xfId="19492" xr:uid="{0C72D96E-6952-4F3D-B88E-9B3EDB5F90AC}"/>
    <cellStyle name="SAPBEXItemHeader 3 2 15" xfId="19493" xr:uid="{765608A5-DF14-4BCE-A5C7-01CDDE3BB1F7}"/>
    <cellStyle name="SAPBEXItemHeader 3 2 15 2" xfId="19494" xr:uid="{B8293B5D-3A71-4E8F-A840-0801FAFDFF1C}"/>
    <cellStyle name="SAPBEXItemHeader 3 2 16" xfId="19495" xr:uid="{9A4A617C-92A8-4C66-8AB6-775A93F519AF}"/>
    <cellStyle name="SAPBEXItemHeader 3 2 2" xfId="19496" xr:uid="{7899317C-D67D-4E6E-ABB5-7E58C3C11AAD}"/>
    <cellStyle name="SAPBEXItemHeader 3 2 2 2" xfId="19497" xr:uid="{355D22CB-DABB-4C46-AC15-C3CCC2E158C3}"/>
    <cellStyle name="SAPBEXItemHeader 3 2 3" xfId="19498" xr:uid="{37A281D9-413A-4CA4-AC78-EBDDE9EBED79}"/>
    <cellStyle name="SAPBEXItemHeader 3 2 3 2" xfId="19499" xr:uid="{AB0F2900-77BD-4D2F-A632-CC10B8CB7DBF}"/>
    <cellStyle name="SAPBEXItemHeader 3 2 4" xfId="19500" xr:uid="{4B05BB51-312D-4135-BE40-9F56D233B01B}"/>
    <cellStyle name="SAPBEXItemHeader 3 2 4 2" xfId="19501" xr:uid="{71A5C20F-5C5E-416E-B523-B4555FA6DB7C}"/>
    <cellStyle name="SAPBEXItemHeader 3 2 5" xfId="19502" xr:uid="{E6BE4E8B-D851-445E-9819-B18F4EED1ADF}"/>
    <cellStyle name="SAPBEXItemHeader 3 2 5 2" xfId="19503" xr:uid="{4F3F5D93-640A-4969-BC44-1501D61A65F5}"/>
    <cellStyle name="SAPBEXItemHeader 3 2 6" xfId="19504" xr:uid="{92990915-6FB8-4B28-93FB-1A7BECBE2B14}"/>
    <cellStyle name="SAPBEXItemHeader 3 2 6 2" xfId="19505" xr:uid="{10FF407D-B666-496D-AA3F-D6EDA4CCA979}"/>
    <cellStyle name="SAPBEXItemHeader 3 2 7" xfId="19506" xr:uid="{398A2A65-F2D6-4435-B605-2F4B692F4B56}"/>
    <cellStyle name="SAPBEXItemHeader 3 2 7 2" xfId="19507" xr:uid="{A6352420-B79B-4117-A505-D6DFE397BF10}"/>
    <cellStyle name="SAPBEXItemHeader 3 2 8" xfId="19508" xr:uid="{0B80F11C-CA6B-403A-8D20-C6C9C28A2795}"/>
    <cellStyle name="SAPBEXItemHeader 3 2 8 2" xfId="19509" xr:uid="{AB942187-85E9-49F2-BF5A-7E571991A5E4}"/>
    <cellStyle name="SAPBEXItemHeader 3 2 9" xfId="19510" xr:uid="{289E39C7-B907-4B66-B6F9-A09FD3FDF89A}"/>
    <cellStyle name="SAPBEXItemHeader 3 2 9 2" xfId="19511" xr:uid="{6382220E-29BE-4A10-8467-C17AE4318E99}"/>
    <cellStyle name="SAPBEXItemHeader 3 3" xfId="19512" xr:uid="{2AA17C5E-44BC-4A34-B241-DDE00EA4FDFF}"/>
    <cellStyle name="SAPBEXItemHeader 3 3 10" xfId="19513" xr:uid="{C2C1B97F-360F-4297-9D44-86207406D646}"/>
    <cellStyle name="SAPBEXItemHeader 3 3 10 2" xfId="19514" xr:uid="{6D4214D3-F806-4363-A37E-EEFAD4A7F511}"/>
    <cellStyle name="SAPBEXItemHeader 3 3 11" xfId="19515" xr:uid="{D8FA0036-E4B4-47E0-918F-5BF4581A8FF9}"/>
    <cellStyle name="SAPBEXItemHeader 3 3 11 2" xfId="19516" xr:uid="{A6568007-08C5-43C0-B79D-EA605A921653}"/>
    <cellStyle name="SAPBEXItemHeader 3 3 12" xfId="19517" xr:uid="{827FB3F5-F98A-436B-B3C1-9EA4403FA2AB}"/>
    <cellStyle name="SAPBEXItemHeader 3 3 12 2" xfId="19518" xr:uid="{B14C250C-16A1-46FF-BEFA-982F11D49FAE}"/>
    <cellStyle name="SAPBEXItemHeader 3 3 13" xfId="19519" xr:uid="{C4220F7E-9AA7-4F0A-921D-0C8EB9D9CEFF}"/>
    <cellStyle name="SAPBEXItemHeader 3 3 13 2" xfId="19520" xr:uid="{4E70AB08-17EC-4FDF-B4C1-18A81F02E14E}"/>
    <cellStyle name="SAPBEXItemHeader 3 3 14" xfId="19521" xr:uid="{5C86B5D1-DB2A-4E8C-86B6-978C1E28EC40}"/>
    <cellStyle name="SAPBEXItemHeader 3 3 14 2" xfId="19522" xr:uid="{03755892-D680-43E3-B2B1-1717EA29C081}"/>
    <cellStyle name="SAPBEXItemHeader 3 3 15" xfId="19523" xr:uid="{8DF122BC-34FD-42C5-928B-7168A4E6E3FB}"/>
    <cellStyle name="SAPBEXItemHeader 3 3 15 2" xfId="19524" xr:uid="{E9555DEB-369B-4A99-9ADB-7A037ED7FB5D}"/>
    <cellStyle name="SAPBEXItemHeader 3 3 16" xfId="19525" xr:uid="{159FF4BD-0436-4FB2-876C-6EBBBE7B8C95}"/>
    <cellStyle name="SAPBEXItemHeader 3 3 2" xfId="19526" xr:uid="{71DA5375-DBA4-4C4D-A6DE-A01AE8B7E481}"/>
    <cellStyle name="SAPBEXItemHeader 3 3 2 2" xfId="19527" xr:uid="{47F1FBBA-47C8-4CC6-8D8A-1E9E01A8E2E0}"/>
    <cellStyle name="SAPBEXItemHeader 3 3 3" xfId="19528" xr:uid="{0B809EDB-C257-4A83-9542-7206B4C548CB}"/>
    <cellStyle name="SAPBEXItemHeader 3 3 3 2" xfId="19529" xr:uid="{6F0563AD-C959-4504-A7EC-6633EF991675}"/>
    <cellStyle name="SAPBEXItemHeader 3 3 4" xfId="19530" xr:uid="{719D6921-16A2-4D77-A7F0-4C6A0299003B}"/>
    <cellStyle name="SAPBEXItemHeader 3 3 4 2" xfId="19531" xr:uid="{600D3BDC-AEFA-4929-AAF8-6FBFA3785595}"/>
    <cellStyle name="SAPBEXItemHeader 3 3 5" xfId="19532" xr:uid="{A980232D-7541-4654-B5CB-8D11021ADCFB}"/>
    <cellStyle name="SAPBEXItemHeader 3 3 5 2" xfId="19533" xr:uid="{F4C497A9-5411-4386-B408-ADB53E7C5DB7}"/>
    <cellStyle name="SAPBEXItemHeader 3 3 6" xfId="19534" xr:uid="{AD060C09-206C-4C55-89CF-6D7B80FA766C}"/>
    <cellStyle name="SAPBEXItemHeader 3 3 6 2" xfId="19535" xr:uid="{B404B9C0-B962-45FB-9612-0BE26138700E}"/>
    <cellStyle name="SAPBEXItemHeader 3 3 7" xfId="19536" xr:uid="{5D26F377-6B9E-4984-946D-BFEDBDB76F6F}"/>
    <cellStyle name="SAPBEXItemHeader 3 3 7 2" xfId="19537" xr:uid="{A5E83031-EA66-4F10-B927-9D2F1644F5E5}"/>
    <cellStyle name="SAPBEXItemHeader 3 3 8" xfId="19538" xr:uid="{2CA5CB83-2AF2-477A-9293-524DDAE5FA9A}"/>
    <cellStyle name="SAPBEXItemHeader 3 3 8 2" xfId="19539" xr:uid="{F6ADB1F2-0CC5-4FE5-B2CC-8265E9D11031}"/>
    <cellStyle name="SAPBEXItemHeader 3 3 9" xfId="19540" xr:uid="{FDF414D9-4A54-472C-A24B-6AADC31BCA12}"/>
    <cellStyle name="SAPBEXItemHeader 3 3 9 2" xfId="19541" xr:uid="{79BB266C-97B3-456E-9432-5B5F6E5DCDF9}"/>
    <cellStyle name="SAPBEXItemHeader 3 4" xfId="19542" xr:uid="{7FC102B0-1445-4169-A64B-E24DE01C50A7}"/>
    <cellStyle name="SAPBEXItemHeader 3 4 2" xfId="19543" xr:uid="{088CB076-A6A0-46B8-BEBF-3C35CE6572E5}"/>
    <cellStyle name="SAPBEXItemHeader 3 5" xfId="19544" xr:uid="{D14B309F-A14F-44E8-8074-C4D6164D04C7}"/>
    <cellStyle name="SAPBEXItemHeader 3 5 2" xfId="19545" xr:uid="{CAA784DE-199C-432A-80CE-3E33FD36DAB8}"/>
    <cellStyle name="SAPBEXItemHeader 3 6" xfId="19546" xr:uid="{541E7CB0-77D9-4195-821F-B95A1FBC1956}"/>
    <cellStyle name="SAPBEXItemHeader 3 6 2" xfId="19547" xr:uid="{0A414C96-6983-4931-880E-AE4E4B031051}"/>
    <cellStyle name="SAPBEXItemHeader 3 7" xfId="19548" xr:uid="{6F15164E-0F4B-47D2-B49C-A72FEB998F31}"/>
    <cellStyle name="SAPBEXItemHeader 3 7 2" xfId="19549" xr:uid="{41E49044-E2CE-4299-9FB5-0644148A2502}"/>
    <cellStyle name="SAPBEXItemHeader 3 8" xfId="19550" xr:uid="{DF7DAF67-C929-4E81-89B3-8FF64FD176D5}"/>
    <cellStyle name="SAPBEXItemHeader 3 8 2" xfId="19551" xr:uid="{CA656B2A-D815-4700-AD86-4799B8890550}"/>
    <cellStyle name="SAPBEXItemHeader 3 9" xfId="19552" xr:uid="{6B50E064-A4DB-405D-AB1C-57451A3C84FC}"/>
    <cellStyle name="SAPBEXItemHeader 3 9 2" xfId="19553" xr:uid="{DD3962BC-BFF8-4DB5-B596-A94606553F6F}"/>
    <cellStyle name="SAPBEXItemHeader 4" xfId="19554" xr:uid="{D59A696E-E559-49CC-A24B-E0EC8D82497A}"/>
    <cellStyle name="SAPBEXItemHeader 4 2" xfId="19555" xr:uid="{A2EC1AA6-4145-4553-AAAB-F2C1462AF3E2}"/>
    <cellStyle name="SAPBEXItemHeader 5" xfId="19556" xr:uid="{282C5399-E63E-40A1-9EE9-3E9183034360}"/>
    <cellStyle name="SAPBEXItemHeader 5 2" xfId="19557" xr:uid="{86C9450C-8A17-4B3C-A90E-040B468047CC}"/>
    <cellStyle name="SAPBEXItemHeader 6" xfId="19558" xr:uid="{713D383C-9C81-4179-8FE3-6708CE6639AC}"/>
    <cellStyle name="SAPBEXItemHeader 6 2" xfId="19559" xr:uid="{965EDAC4-29B1-4CDB-9649-4EAFC042EFB0}"/>
    <cellStyle name="SAPBEXItemHeader 7" xfId="19560" xr:uid="{3898A413-BAA5-4CCE-969C-CE85B7B6A9F7}"/>
    <cellStyle name="SAPBEXItemHeader 7 2" xfId="19561" xr:uid="{42E6552D-E77B-409A-8DBF-E3218BC46E2A}"/>
    <cellStyle name="SAPBEXItemHeader 8" xfId="19562" xr:uid="{8A9DEA79-85B4-498B-B612-C48108D30439}"/>
    <cellStyle name="SAPBEXItemHeader 8 2" xfId="19563" xr:uid="{794C45F1-CDB4-4A43-B40D-A0FF2B1078C2}"/>
    <cellStyle name="SAPBEXItemHeader 9" xfId="19564" xr:uid="{524941F4-4D5D-4D4A-9640-24DC9AC17D5B}"/>
    <cellStyle name="SAPBEXItemHeader 9 2" xfId="19565" xr:uid="{FA6EE750-C630-46BD-93E0-EA47E1EF2730}"/>
    <cellStyle name="SAPBEXresData" xfId="754" xr:uid="{00000000-0005-0000-0000-0000A3050000}"/>
    <cellStyle name="SAPBEXresData 10" xfId="19567" xr:uid="{540FE0CB-CCAC-433C-95B0-60B0C4E0D199}"/>
    <cellStyle name="SAPBEXresData 10 2" xfId="19568" xr:uid="{F95C7A4C-3247-45E2-BB7B-E4DDD2EA8752}"/>
    <cellStyle name="SAPBEXresData 11" xfId="19569" xr:uid="{7399103A-B77E-4D57-95C4-EF05ACE2AED8}"/>
    <cellStyle name="SAPBEXresData 11 2" xfId="19570" xr:uid="{C085268D-B297-403F-A664-B4B79683CD45}"/>
    <cellStyle name="SAPBEXresData 12" xfId="19571" xr:uid="{0D58D702-D787-44A3-9D77-F042BDE64857}"/>
    <cellStyle name="SAPBEXresData 12 2" xfId="19572" xr:uid="{05C29136-D468-4162-812C-9BE7248916AE}"/>
    <cellStyle name="SAPBEXresData 13" xfId="19573" xr:uid="{FEF31D2C-E6E8-46A7-BEE2-7A543FD41CCB}"/>
    <cellStyle name="SAPBEXresData 13 2" xfId="19574" xr:uid="{C8616A47-EC34-4315-ABED-D1EFA456AE3B}"/>
    <cellStyle name="SAPBEXresData 14" xfId="19575" xr:uid="{0A811FA1-D094-4370-AC5E-ECBD45C2BA59}"/>
    <cellStyle name="SAPBEXresData 14 2" xfId="19576" xr:uid="{6733ABDB-4BCA-44CC-A75E-BCC1105A3DCB}"/>
    <cellStyle name="SAPBEXresData 15" xfId="19577" xr:uid="{86D5D601-19BD-4834-9D61-08D4AFCF187D}"/>
    <cellStyle name="SAPBEXresData 15 2" xfId="19578" xr:uid="{8A147DFE-F646-4229-A70D-A1327583D9E4}"/>
    <cellStyle name="SAPBEXresData 16" xfId="19579" xr:uid="{BB3175D2-C15E-411E-8059-537DF38758DB}"/>
    <cellStyle name="SAPBEXresData 16 2" xfId="19580" xr:uid="{71C73423-CBDB-4F2D-89A6-0FFCB43485D0}"/>
    <cellStyle name="SAPBEXresData 17" xfId="19581" xr:uid="{D0C5C8E5-502E-4D23-8FF1-8DEAA299FC84}"/>
    <cellStyle name="SAPBEXresData 17 2" xfId="19582" xr:uid="{97171154-5F9E-47D1-AACD-9DDC8D689B2C}"/>
    <cellStyle name="SAPBEXresData 18" xfId="19583" xr:uid="{D7952D48-1D16-4EA0-B6FD-4DA52154B0B5}"/>
    <cellStyle name="SAPBEXresData 18 2" xfId="19584" xr:uid="{2B4753E6-532B-442B-9EF1-FD1C18D1FAA6}"/>
    <cellStyle name="SAPBEXresData 19" xfId="19585" xr:uid="{BCA2BF29-0B7C-4E55-B521-1882D1DA55BB}"/>
    <cellStyle name="SAPBEXresData 19 2" xfId="19586" xr:uid="{B0D07BBE-CA68-4669-AA76-24C5BE48710D}"/>
    <cellStyle name="SAPBEXresData 2" xfId="1568" xr:uid="{00000000-0005-0000-0000-0000A4050000}"/>
    <cellStyle name="SAPBEXresData 2 10" xfId="19588" xr:uid="{D5D626F5-01D3-4FBA-82EA-648FD0E86EA5}"/>
    <cellStyle name="SAPBEXresData 2 10 2" xfId="19589" xr:uid="{D5566E79-B6D4-4848-8E80-D19B6717EEA0}"/>
    <cellStyle name="SAPBEXresData 2 11" xfId="19590" xr:uid="{883F50D5-FD3E-4C34-A08A-2CA0866BE036}"/>
    <cellStyle name="SAPBEXresData 2 11 2" xfId="19591" xr:uid="{CB279A4B-FE70-44B4-B8E4-39D78BAB3353}"/>
    <cellStyle name="SAPBEXresData 2 12" xfId="19592" xr:uid="{3294F030-7D73-40D5-90B6-E64F5091F658}"/>
    <cellStyle name="SAPBEXresData 2 12 2" xfId="19593" xr:uid="{0A9E0A83-C77F-4665-8DFD-5B466B3B7FF4}"/>
    <cellStyle name="SAPBEXresData 2 13" xfId="19594" xr:uid="{44206CA2-4DB9-44FA-8AD4-3CA99CB3BB12}"/>
    <cellStyle name="SAPBEXresData 2 13 2" xfId="19595" xr:uid="{39322FA7-E476-4D1B-ADE5-989A4C7AC5D1}"/>
    <cellStyle name="SAPBEXresData 2 14" xfId="19596" xr:uid="{8AC0D1C5-CEDC-4217-A48B-E7B58E53BADD}"/>
    <cellStyle name="SAPBEXresData 2 14 2" xfId="19597" xr:uid="{54269736-789A-4DA9-8CEE-3173B149A61D}"/>
    <cellStyle name="SAPBEXresData 2 15" xfId="19598" xr:uid="{7C9D8B81-1E99-46F7-9558-64D9294ACEF9}"/>
    <cellStyle name="SAPBEXresData 2 15 2" xfId="19599" xr:uid="{19502AFC-63D2-4627-809E-ACD02EEDF2AA}"/>
    <cellStyle name="SAPBEXresData 2 16" xfId="19600" xr:uid="{9CD09F7D-860B-487E-A166-84085139123A}"/>
    <cellStyle name="SAPBEXresData 2 16 2" xfId="19601" xr:uid="{3412E024-C5D9-4019-B336-6C84FDA999BD}"/>
    <cellStyle name="SAPBEXresData 2 17" xfId="19602" xr:uid="{972DB9F7-5B90-48A7-AC14-866847218B22}"/>
    <cellStyle name="SAPBEXresData 2 17 2" xfId="19603" xr:uid="{21BC3175-204D-40A1-8C7C-0F1EC300D478}"/>
    <cellStyle name="SAPBEXresData 2 18" xfId="19604" xr:uid="{88BAF8B6-AFF1-47FA-9508-990D165F5FAD}"/>
    <cellStyle name="SAPBEXresData 2 2" xfId="19605" xr:uid="{11682872-E242-4CC8-B239-28FF5B0A1784}"/>
    <cellStyle name="SAPBEXresData 2 2 10" xfId="19606" xr:uid="{E3378104-02A5-4A3F-BADD-D5B67D4A0B1C}"/>
    <cellStyle name="SAPBEXresData 2 2 10 2" xfId="19607" xr:uid="{BCED5FF2-6197-4170-9B2B-2EBAEA2CCA23}"/>
    <cellStyle name="SAPBEXresData 2 2 11" xfId="19608" xr:uid="{AFBB1370-F361-477B-9BB1-711EE5311B6A}"/>
    <cellStyle name="SAPBEXresData 2 2 11 2" xfId="19609" xr:uid="{B14E4A66-A54F-4FF3-99B7-44EB60345B70}"/>
    <cellStyle name="SAPBEXresData 2 2 12" xfId="19610" xr:uid="{9DD743AD-E276-4318-A12A-F1DD6D18BE4A}"/>
    <cellStyle name="SAPBEXresData 2 2 12 2" xfId="19611" xr:uid="{DEB45207-4B10-49FC-815E-78F8FB1C558C}"/>
    <cellStyle name="SAPBEXresData 2 2 13" xfId="19612" xr:uid="{1C00DBC9-F742-4AA8-9C81-F290508CCDE4}"/>
    <cellStyle name="SAPBEXresData 2 2 13 2" xfId="19613" xr:uid="{FA37F9E4-140D-4DBB-ABEA-465965BE5422}"/>
    <cellStyle name="SAPBEXresData 2 2 14" xfId="19614" xr:uid="{08CE8880-7662-42CC-9348-C8CE6AAAD5F4}"/>
    <cellStyle name="SAPBEXresData 2 2 14 2" xfId="19615" xr:uid="{3DFAF365-0ACC-4DA7-BF59-BB253F439616}"/>
    <cellStyle name="SAPBEXresData 2 2 15" xfId="19616" xr:uid="{119755DC-0354-4EE7-A2AC-563DFC5E55F2}"/>
    <cellStyle name="SAPBEXresData 2 2 15 2" xfId="19617" xr:uid="{FA617909-12A8-4A68-AC4B-50EC8D473DAD}"/>
    <cellStyle name="SAPBEXresData 2 2 16" xfId="19618" xr:uid="{3734B34E-A7BB-4097-AAFB-A7285F1A42FA}"/>
    <cellStyle name="SAPBEXresData 2 2 16 2" xfId="19619" xr:uid="{8F20FCA5-8F9A-4942-854E-C3F4ECD259F7}"/>
    <cellStyle name="SAPBEXresData 2 2 17" xfId="19620" xr:uid="{A1616653-452F-4B4D-8E46-31194A8CCA44}"/>
    <cellStyle name="SAPBEXresData 2 2 17 2" xfId="19621" xr:uid="{780DF743-4D60-4A73-A12B-D3BE30064AB4}"/>
    <cellStyle name="SAPBEXresData 2 2 18" xfId="19622" xr:uid="{445116F7-C39B-423D-9CC4-68477B131B58}"/>
    <cellStyle name="SAPBEXresData 2 2 2" xfId="19623" xr:uid="{D33E4345-4C2E-4D69-B0A3-FE76AF84380F}"/>
    <cellStyle name="SAPBEXresData 2 2 2 10" xfId="19624" xr:uid="{9C5B3598-A3D9-4F3C-BE0A-F38BF1E8A795}"/>
    <cellStyle name="SAPBEXresData 2 2 2 10 2" xfId="19625" xr:uid="{4FE2F949-1179-4C5E-B4A6-90B896306D1C}"/>
    <cellStyle name="SAPBEXresData 2 2 2 11" xfId="19626" xr:uid="{C0D47BC6-6A8A-4900-A2A3-B126E829291E}"/>
    <cellStyle name="SAPBEXresData 2 2 2 11 2" xfId="19627" xr:uid="{C04D57CE-F2B0-47AE-B4DC-594EE073DC13}"/>
    <cellStyle name="SAPBEXresData 2 2 2 12" xfId="19628" xr:uid="{E884D1AE-6DC0-4B90-9C69-E176A9B072D6}"/>
    <cellStyle name="SAPBEXresData 2 2 2 12 2" xfId="19629" xr:uid="{D700E0F6-B64E-43DF-8C10-E9BCFC676DA2}"/>
    <cellStyle name="SAPBEXresData 2 2 2 13" xfId="19630" xr:uid="{D8072C96-4F20-4D18-9962-3A208F8972E8}"/>
    <cellStyle name="SAPBEXresData 2 2 2 13 2" xfId="19631" xr:uid="{2FFF06F8-AFE1-436B-8858-C0AFF71C0F4C}"/>
    <cellStyle name="SAPBEXresData 2 2 2 14" xfId="19632" xr:uid="{C7EA3CAD-4B7F-4F19-8D76-6AF32047C6F3}"/>
    <cellStyle name="SAPBEXresData 2 2 2 14 2" xfId="19633" xr:uid="{E19C14BD-7BE4-4F46-A70F-8F87E9D81556}"/>
    <cellStyle name="SAPBEXresData 2 2 2 15" xfId="19634" xr:uid="{93472255-403A-40F7-976A-92961476A651}"/>
    <cellStyle name="SAPBEXresData 2 2 2 15 2" xfId="19635" xr:uid="{57ADF3A1-564C-4BD9-994B-BD72E75E03BE}"/>
    <cellStyle name="SAPBEXresData 2 2 2 16" xfId="19636" xr:uid="{72DED84C-19B0-42C3-844A-CB1DA4D0D8BD}"/>
    <cellStyle name="SAPBEXresData 2 2 2 2" xfId="19637" xr:uid="{094F4FA1-84C0-4A74-88F1-58320ED267EC}"/>
    <cellStyle name="SAPBEXresData 2 2 2 2 2" xfId="19638" xr:uid="{A480AF0D-A5B4-4F68-9407-F07C6EADBFB1}"/>
    <cellStyle name="SAPBEXresData 2 2 2 3" xfId="19639" xr:uid="{7E4F8FEB-BD5B-45FA-8EF4-3B3550248206}"/>
    <cellStyle name="SAPBEXresData 2 2 2 3 2" xfId="19640" xr:uid="{A94DA457-39F3-4E61-8020-2B7E53ED0D25}"/>
    <cellStyle name="SAPBEXresData 2 2 2 4" xfId="19641" xr:uid="{F0677C12-9930-448B-853A-137FDFCBB46C}"/>
    <cellStyle name="SAPBEXresData 2 2 2 4 2" xfId="19642" xr:uid="{5D162BF0-B189-4044-954B-18E3E634A76D}"/>
    <cellStyle name="SAPBEXresData 2 2 2 5" xfId="19643" xr:uid="{366DC924-616D-4A52-90B4-FDC95B35073A}"/>
    <cellStyle name="SAPBEXresData 2 2 2 5 2" xfId="19644" xr:uid="{763AD894-59DE-4740-9F23-0659C916FF6D}"/>
    <cellStyle name="SAPBEXresData 2 2 2 6" xfId="19645" xr:uid="{8EC3A13A-F893-4BE1-B992-1B19C8C96F5A}"/>
    <cellStyle name="SAPBEXresData 2 2 2 6 2" xfId="19646" xr:uid="{E45A1700-6ACA-413B-A32C-B2362E1DDE0D}"/>
    <cellStyle name="SAPBEXresData 2 2 2 7" xfId="19647" xr:uid="{473F2978-88F4-4DC7-8542-6C43A82371B4}"/>
    <cellStyle name="SAPBEXresData 2 2 2 7 2" xfId="19648" xr:uid="{2C16D822-EFDF-4B34-9CDC-B1EA7CFF9803}"/>
    <cellStyle name="SAPBEXresData 2 2 2 8" xfId="19649" xr:uid="{1FDA6B94-61B3-49BB-A2AE-362C9231BA3E}"/>
    <cellStyle name="SAPBEXresData 2 2 2 8 2" xfId="19650" xr:uid="{63420C0F-CC22-446F-8DCD-FF81B477B16B}"/>
    <cellStyle name="SAPBEXresData 2 2 2 9" xfId="19651" xr:uid="{B6106D13-93CC-427C-8C7D-0B9FE54DE2F9}"/>
    <cellStyle name="SAPBEXresData 2 2 2 9 2" xfId="19652" xr:uid="{DA13D13E-F180-4FC9-91C9-65383BF0FAE3}"/>
    <cellStyle name="SAPBEXresData 2 2 3" xfId="19653" xr:uid="{F600C188-EFE4-43A0-99DA-0D4697D7144B}"/>
    <cellStyle name="SAPBEXresData 2 2 3 10" xfId="19654" xr:uid="{891CA8F8-98E6-4F9B-992E-06D1F6120F83}"/>
    <cellStyle name="SAPBEXresData 2 2 3 10 2" xfId="19655" xr:uid="{3ED9EBD9-C86D-493F-9BF8-667091C60AB4}"/>
    <cellStyle name="SAPBEXresData 2 2 3 11" xfId="19656" xr:uid="{1ABD6B7C-CAD8-4D2F-B822-F8178492748A}"/>
    <cellStyle name="SAPBEXresData 2 2 3 11 2" xfId="19657" xr:uid="{054FB9EE-E7C1-42C2-B244-F79E4D3D67CA}"/>
    <cellStyle name="SAPBEXresData 2 2 3 12" xfId="19658" xr:uid="{C8A9C640-7FED-4962-B850-2734BF490FE9}"/>
    <cellStyle name="SAPBEXresData 2 2 3 12 2" xfId="19659" xr:uid="{71A4B587-469C-4D34-893B-000D2FBE790A}"/>
    <cellStyle name="SAPBEXresData 2 2 3 13" xfId="19660" xr:uid="{ED7CE3FE-6DF5-4E98-A015-91FDC89127E7}"/>
    <cellStyle name="SAPBEXresData 2 2 3 13 2" xfId="19661" xr:uid="{4BA1F959-FC88-452A-A0E7-FA1ADA2789CD}"/>
    <cellStyle name="SAPBEXresData 2 2 3 14" xfId="19662" xr:uid="{54656391-C8C5-43AB-9276-993FE093CBA9}"/>
    <cellStyle name="SAPBEXresData 2 2 3 14 2" xfId="19663" xr:uid="{6284826F-EE2A-4B9D-83E7-C412348C99D9}"/>
    <cellStyle name="SAPBEXresData 2 2 3 15" xfId="19664" xr:uid="{CAB792B5-DE68-4E00-91DD-A4076D0AEE36}"/>
    <cellStyle name="SAPBEXresData 2 2 3 15 2" xfId="19665" xr:uid="{5A6ABDD6-FE78-4E7C-9FB5-3CEED3A21CD7}"/>
    <cellStyle name="SAPBEXresData 2 2 3 16" xfId="19666" xr:uid="{CA430B58-9E6A-42A0-98BD-37869CD3BB7C}"/>
    <cellStyle name="SAPBEXresData 2 2 3 2" xfId="19667" xr:uid="{C26525CD-4E62-42F9-939A-45854620607F}"/>
    <cellStyle name="SAPBEXresData 2 2 3 2 2" xfId="19668" xr:uid="{8AB705FE-6D68-4B26-9606-99CBA52AB363}"/>
    <cellStyle name="SAPBEXresData 2 2 3 3" xfId="19669" xr:uid="{85E363FE-8998-4224-B324-9396F7B1D3B7}"/>
    <cellStyle name="SAPBEXresData 2 2 3 3 2" xfId="19670" xr:uid="{7C028390-4252-4C0C-9A21-55C180910352}"/>
    <cellStyle name="SAPBEXresData 2 2 3 4" xfId="19671" xr:uid="{8B0C2A68-27A3-4E21-B9FD-E8B248B85E14}"/>
    <cellStyle name="SAPBEXresData 2 2 3 4 2" xfId="19672" xr:uid="{7E97035B-3D96-444D-A2FE-44ABCA1D58C1}"/>
    <cellStyle name="SAPBEXresData 2 2 3 5" xfId="19673" xr:uid="{57E82816-18A4-4B8C-BFFA-423965B286F4}"/>
    <cellStyle name="SAPBEXresData 2 2 3 5 2" xfId="19674" xr:uid="{1F5DF13A-F05F-499F-A9AC-E4AB36C0B894}"/>
    <cellStyle name="SAPBEXresData 2 2 3 6" xfId="19675" xr:uid="{F0B655C9-AC89-42A5-B7A0-37E9F39C14C0}"/>
    <cellStyle name="SAPBEXresData 2 2 3 6 2" xfId="19676" xr:uid="{D737377F-9285-401A-8AC4-AB4B1889BAA6}"/>
    <cellStyle name="SAPBEXresData 2 2 3 7" xfId="19677" xr:uid="{2D78B8D0-29D9-4708-AE58-47C3B319FD56}"/>
    <cellStyle name="SAPBEXresData 2 2 3 7 2" xfId="19678" xr:uid="{A85131C9-3D31-4093-B783-5377A22EE217}"/>
    <cellStyle name="SAPBEXresData 2 2 3 8" xfId="19679" xr:uid="{D2D8470A-0308-4394-969F-2781DCEEF986}"/>
    <cellStyle name="SAPBEXresData 2 2 3 8 2" xfId="19680" xr:uid="{E11B6501-23BA-497D-B535-F3E9302C7BD2}"/>
    <cellStyle name="SAPBEXresData 2 2 3 9" xfId="19681" xr:uid="{901ABA1C-DDED-4B05-AFAD-B9FE064BF143}"/>
    <cellStyle name="SAPBEXresData 2 2 3 9 2" xfId="19682" xr:uid="{BA89214C-D472-4C8F-A4F5-4A7A497C2891}"/>
    <cellStyle name="SAPBEXresData 2 2 4" xfId="19683" xr:uid="{8E6CADAB-2C06-4CAE-B6DE-EAE3FDD25ECE}"/>
    <cellStyle name="SAPBEXresData 2 2 4 2" xfId="19684" xr:uid="{4473445D-E150-40D5-8D9E-A582FCB6D065}"/>
    <cellStyle name="SAPBEXresData 2 2 5" xfId="19685" xr:uid="{F622292C-75FC-489A-B551-C7CB87630EE4}"/>
    <cellStyle name="SAPBEXresData 2 2 5 2" xfId="19686" xr:uid="{C4947C44-0226-42E9-9714-B7A60832A799}"/>
    <cellStyle name="SAPBEXresData 2 2 6" xfId="19687" xr:uid="{FCA93402-611A-49FE-842F-C416EFA289CA}"/>
    <cellStyle name="SAPBEXresData 2 2 6 2" xfId="19688" xr:uid="{F1CC60A3-8902-469B-9D5E-523E96CAC826}"/>
    <cellStyle name="SAPBEXresData 2 2 7" xfId="19689" xr:uid="{EFB51F2B-F4C3-4822-8B17-35D78A0B8904}"/>
    <cellStyle name="SAPBEXresData 2 2 7 2" xfId="19690" xr:uid="{8F2667D3-7E87-4992-B010-4360CEFE9BDC}"/>
    <cellStyle name="SAPBEXresData 2 2 8" xfId="19691" xr:uid="{C2159711-58C8-43C9-A89A-4CD6C28870B4}"/>
    <cellStyle name="SAPBEXresData 2 2 8 2" xfId="19692" xr:uid="{B3433581-51BD-4D68-8566-97CD4C27F3AD}"/>
    <cellStyle name="SAPBEXresData 2 2 9" xfId="19693" xr:uid="{7C733AEF-7661-4AA6-AF3F-5F3C618DB231}"/>
    <cellStyle name="SAPBEXresData 2 2 9 2" xfId="19694" xr:uid="{4DF0C0F4-3EC1-4D4F-9A8B-565CA5314BCD}"/>
    <cellStyle name="SAPBEXresData 2 3" xfId="19695" xr:uid="{48C0B019-2D71-43DA-9696-AA576098D84F}"/>
    <cellStyle name="SAPBEXresData 2 3 10" xfId="19696" xr:uid="{BFCFA168-9B9D-48C6-BA28-1D456B63CFBC}"/>
    <cellStyle name="SAPBEXresData 2 3 10 2" xfId="19697" xr:uid="{BB34D8B5-8348-429E-901B-70D232BDDE04}"/>
    <cellStyle name="SAPBEXresData 2 3 11" xfId="19698" xr:uid="{076395FE-5662-42BD-8D43-A9B14F8370AE}"/>
    <cellStyle name="SAPBEXresData 2 3 11 2" xfId="19699" xr:uid="{DDBA61BB-3750-4317-8DB5-B6A46CFBC379}"/>
    <cellStyle name="SAPBEXresData 2 3 12" xfId="19700" xr:uid="{F314ECFC-D68B-4A90-9C22-3930E0FBDEF5}"/>
    <cellStyle name="SAPBEXresData 2 3 12 2" xfId="19701" xr:uid="{8D3E4A70-2A2B-4A56-B70E-5F0ED80E829B}"/>
    <cellStyle name="SAPBEXresData 2 3 13" xfId="19702" xr:uid="{D26AB213-B0D1-40A4-80B5-323E241E8CE3}"/>
    <cellStyle name="SAPBEXresData 2 3 13 2" xfId="19703" xr:uid="{D8B68962-636C-4DBD-911C-9018C0807718}"/>
    <cellStyle name="SAPBEXresData 2 3 14" xfId="19704" xr:uid="{6AF858D7-CCA9-4477-B026-D4015458C024}"/>
    <cellStyle name="SAPBEXresData 2 3 14 2" xfId="19705" xr:uid="{16BDE88F-09C6-4FE2-9D7C-0B4B30A18068}"/>
    <cellStyle name="SAPBEXresData 2 3 15" xfId="19706" xr:uid="{3856C3CD-BFFB-405B-B5B0-400C06D21B0E}"/>
    <cellStyle name="SAPBEXresData 2 3 15 2" xfId="19707" xr:uid="{B89DAFA1-C1CE-408C-A295-68EE12AC1F3C}"/>
    <cellStyle name="SAPBEXresData 2 3 16" xfId="19708" xr:uid="{6FD36AB1-1975-4434-BE6C-D903909BEE70}"/>
    <cellStyle name="SAPBEXresData 2 3 16 2" xfId="19709" xr:uid="{984CE323-8471-4BC5-AEB5-C0F7E5DF4F9B}"/>
    <cellStyle name="SAPBEXresData 2 3 17" xfId="19710" xr:uid="{E921FDAC-B2AF-4C60-87ED-61120038FB1F}"/>
    <cellStyle name="SAPBEXresData 2 3 17 2" xfId="19711" xr:uid="{95ABFC9F-DD65-4099-9DBB-D1EB4B25E9C9}"/>
    <cellStyle name="SAPBEXresData 2 3 18" xfId="19712" xr:uid="{A541F4F7-4C6E-4794-AAF9-38CD896F223F}"/>
    <cellStyle name="SAPBEXresData 2 3 2" xfId="19713" xr:uid="{87D9634A-F011-4088-8FA3-0734EB16DECE}"/>
    <cellStyle name="SAPBEXresData 2 3 2 10" xfId="19714" xr:uid="{4690AE00-2560-44F5-A783-A6059E8AE1E8}"/>
    <cellStyle name="SAPBEXresData 2 3 2 10 2" xfId="19715" xr:uid="{34B3D4CB-9D8E-42AB-ACE6-823A29848199}"/>
    <cellStyle name="SAPBEXresData 2 3 2 11" xfId="19716" xr:uid="{F9759670-BFB6-4E10-A783-0FCAC048A7F2}"/>
    <cellStyle name="SAPBEXresData 2 3 2 11 2" xfId="19717" xr:uid="{E6F6F272-63CA-45F5-ABD8-85F33A18C14F}"/>
    <cellStyle name="SAPBEXresData 2 3 2 12" xfId="19718" xr:uid="{5145981C-D78C-4652-A2E6-3D71C9BF6549}"/>
    <cellStyle name="SAPBEXresData 2 3 2 12 2" xfId="19719" xr:uid="{FBB8E331-12C2-4ABC-8B21-388C5375EF5A}"/>
    <cellStyle name="SAPBEXresData 2 3 2 13" xfId="19720" xr:uid="{9227A967-8AB1-47E1-9A47-6A19237B2D55}"/>
    <cellStyle name="SAPBEXresData 2 3 2 13 2" xfId="19721" xr:uid="{0804989A-AC59-41FF-AA52-62A9576CBF58}"/>
    <cellStyle name="SAPBEXresData 2 3 2 14" xfId="19722" xr:uid="{D5581F4B-409B-4EBC-88B3-821BCAEA16AB}"/>
    <cellStyle name="SAPBEXresData 2 3 2 14 2" xfId="19723" xr:uid="{4D6F3BAC-5A46-4927-A80D-A9F2CB2EDFAE}"/>
    <cellStyle name="SAPBEXresData 2 3 2 15" xfId="19724" xr:uid="{BB567A10-BE57-4E57-B8F7-62A52B53671E}"/>
    <cellStyle name="SAPBEXresData 2 3 2 15 2" xfId="19725" xr:uid="{668A1273-2696-48E9-9E81-EDB2771769E1}"/>
    <cellStyle name="SAPBEXresData 2 3 2 16" xfId="19726" xr:uid="{557BE896-5BAA-4A98-BC89-7B3AC87452EF}"/>
    <cellStyle name="SAPBEXresData 2 3 2 2" xfId="19727" xr:uid="{3911BCFD-BF84-46E2-8631-E29A02B177A8}"/>
    <cellStyle name="SAPBEXresData 2 3 2 2 2" xfId="19728" xr:uid="{AF56CE18-20DF-4E6C-98FC-1D062E8635A6}"/>
    <cellStyle name="SAPBEXresData 2 3 2 3" xfId="19729" xr:uid="{72C9BF0F-297F-44C2-94A8-47C5253763A9}"/>
    <cellStyle name="SAPBEXresData 2 3 2 3 2" xfId="19730" xr:uid="{D445BD38-C0A3-4F35-B0DF-5110CCB9BB9C}"/>
    <cellStyle name="SAPBEXresData 2 3 2 4" xfId="19731" xr:uid="{20B00E20-9301-48B5-9AB5-614447473095}"/>
    <cellStyle name="SAPBEXresData 2 3 2 4 2" xfId="19732" xr:uid="{B4A61ADA-918E-47BF-BC40-4C20E8C171AC}"/>
    <cellStyle name="SAPBEXresData 2 3 2 5" xfId="19733" xr:uid="{35767EDE-773A-4268-9283-CAA0C1092634}"/>
    <cellStyle name="SAPBEXresData 2 3 2 5 2" xfId="19734" xr:uid="{FB79B7CE-1C3D-400C-B310-312AB0C3785F}"/>
    <cellStyle name="SAPBEXresData 2 3 2 6" xfId="19735" xr:uid="{0E287044-4EF6-43A2-8816-BA002245B4FE}"/>
    <cellStyle name="SAPBEXresData 2 3 2 6 2" xfId="19736" xr:uid="{294F8041-FE5B-4633-9EBB-3C98F93C707B}"/>
    <cellStyle name="SAPBEXresData 2 3 2 7" xfId="19737" xr:uid="{54548E36-61F9-4C95-A8DA-503583238C07}"/>
    <cellStyle name="SAPBEXresData 2 3 2 7 2" xfId="19738" xr:uid="{046C6DAD-3538-4948-94EC-7D3B18B82528}"/>
    <cellStyle name="SAPBEXresData 2 3 2 8" xfId="19739" xr:uid="{F5BAD1E3-828F-45BD-80F5-51B7D99FB696}"/>
    <cellStyle name="SAPBEXresData 2 3 2 8 2" xfId="19740" xr:uid="{ABE991B5-DAAB-4CBB-B22D-F664FF563709}"/>
    <cellStyle name="SAPBEXresData 2 3 2 9" xfId="19741" xr:uid="{69F95996-6F54-49D7-83AA-06ADE11949E3}"/>
    <cellStyle name="SAPBEXresData 2 3 2 9 2" xfId="19742" xr:uid="{6CFF1477-DF12-420F-B02E-12FFC12E06C5}"/>
    <cellStyle name="SAPBEXresData 2 3 3" xfId="19743" xr:uid="{10B8CA7D-F2D4-4751-BC38-D7AC0BD73BB7}"/>
    <cellStyle name="SAPBEXresData 2 3 3 10" xfId="19744" xr:uid="{CDAF9F42-4109-4E01-8FA7-09C027D39B24}"/>
    <cellStyle name="SAPBEXresData 2 3 3 10 2" xfId="19745" xr:uid="{61BFD896-2AC6-4B23-A87F-65DB85A00E2B}"/>
    <cellStyle name="SAPBEXresData 2 3 3 11" xfId="19746" xr:uid="{BE885D0E-D577-4EEB-BDBA-36F52138FC7E}"/>
    <cellStyle name="SAPBEXresData 2 3 3 11 2" xfId="19747" xr:uid="{56EEF957-1654-43C6-88AA-A62873C973F0}"/>
    <cellStyle name="SAPBEXresData 2 3 3 12" xfId="19748" xr:uid="{5CB28525-3A13-4285-850D-694F25EDB236}"/>
    <cellStyle name="SAPBEXresData 2 3 3 12 2" xfId="19749" xr:uid="{6FAEEA69-2E1D-40CB-93C0-86C0DE9D5CB6}"/>
    <cellStyle name="SAPBEXresData 2 3 3 13" xfId="19750" xr:uid="{7FBB5503-A64B-4327-AF36-001583B1E656}"/>
    <cellStyle name="SAPBEXresData 2 3 3 13 2" xfId="19751" xr:uid="{8A28222E-C898-454E-9DB4-DF036280F6E0}"/>
    <cellStyle name="SAPBEXresData 2 3 3 14" xfId="19752" xr:uid="{8EAD587D-8992-4969-ACB3-45B35F7F908C}"/>
    <cellStyle name="SAPBEXresData 2 3 3 14 2" xfId="19753" xr:uid="{CE806914-7D8F-4DFC-AEC4-E9AAADE30C94}"/>
    <cellStyle name="SAPBEXresData 2 3 3 15" xfId="19754" xr:uid="{BAF1A6A8-A5CF-49FE-B6FE-2489EA3CAC92}"/>
    <cellStyle name="SAPBEXresData 2 3 3 15 2" xfId="19755" xr:uid="{5DF53D48-70D2-4EC5-B403-C80F93CDDEAD}"/>
    <cellStyle name="SAPBEXresData 2 3 3 16" xfId="19756" xr:uid="{64C7454A-AC9E-48D6-B2B9-D1CBB480698E}"/>
    <cellStyle name="SAPBEXresData 2 3 3 2" xfId="19757" xr:uid="{F932DA4C-18B8-4EF0-85DC-4E2FBD3FB52A}"/>
    <cellStyle name="SAPBEXresData 2 3 3 2 2" xfId="19758" xr:uid="{9922BF04-26E6-402B-A2EE-8E643FD83D6A}"/>
    <cellStyle name="SAPBEXresData 2 3 3 3" xfId="19759" xr:uid="{8D9EA9FC-328C-45EB-8FD4-155389A2B46A}"/>
    <cellStyle name="SAPBEXresData 2 3 3 3 2" xfId="19760" xr:uid="{A41F3B96-C995-4544-B77E-1544874BDD4A}"/>
    <cellStyle name="SAPBEXresData 2 3 3 4" xfId="19761" xr:uid="{31FD4F44-90F2-4FDD-9FAB-EDFFB21FC029}"/>
    <cellStyle name="SAPBEXresData 2 3 3 4 2" xfId="19762" xr:uid="{EBBE775E-F1FA-4C0F-AB65-CD5B7329F4C3}"/>
    <cellStyle name="SAPBEXresData 2 3 3 5" xfId="19763" xr:uid="{D3DEB7B5-FFB9-4437-8EDB-AC8CDAE37713}"/>
    <cellStyle name="SAPBEXresData 2 3 3 5 2" xfId="19764" xr:uid="{80839E8B-D586-456D-B0C4-278A1021CA58}"/>
    <cellStyle name="SAPBEXresData 2 3 3 6" xfId="19765" xr:uid="{94EB04FA-4B10-4804-AE07-BD34BBEB3B55}"/>
    <cellStyle name="SAPBEXresData 2 3 3 6 2" xfId="19766" xr:uid="{B963EF83-5BD2-48AD-80AA-3EDD62AF23E9}"/>
    <cellStyle name="SAPBEXresData 2 3 3 7" xfId="19767" xr:uid="{DCE90F30-39B0-4962-BB03-C96B44C744DD}"/>
    <cellStyle name="SAPBEXresData 2 3 3 7 2" xfId="19768" xr:uid="{4143C1A8-11B5-45EC-8FFC-1496D412172F}"/>
    <cellStyle name="SAPBEXresData 2 3 3 8" xfId="19769" xr:uid="{E3D755E7-71F7-4101-B438-4C83ACCFD664}"/>
    <cellStyle name="SAPBEXresData 2 3 3 8 2" xfId="19770" xr:uid="{A2105966-D0F2-4C44-B3E0-CF4CB27EB905}"/>
    <cellStyle name="SAPBEXresData 2 3 3 9" xfId="19771" xr:uid="{3E9CE028-D294-4A52-8659-27C1089AC931}"/>
    <cellStyle name="SAPBEXresData 2 3 3 9 2" xfId="19772" xr:uid="{FBDD618A-9424-4E30-B475-260B28878623}"/>
    <cellStyle name="SAPBEXresData 2 3 4" xfId="19773" xr:uid="{B04DA992-72FC-47FE-A4B3-36D1966EE6D3}"/>
    <cellStyle name="SAPBEXresData 2 3 4 2" xfId="19774" xr:uid="{F1A285CF-11FD-4767-9380-48CC150AA04B}"/>
    <cellStyle name="SAPBEXresData 2 3 5" xfId="19775" xr:uid="{0E8B0C3F-FB17-41C3-B02A-28ED422A3277}"/>
    <cellStyle name="SAPBEXresData 2 3 5 2" xfId="19776" xr:uid="{EDD0449C-E53E-4124-A092-957381F5BB5B}"/>
    <cellStyle name="SAPBEXresData 2 3 6" xfId="19777" xr:uid="{D803ED3B-C8D3-4AF5-89F6-5338A8976331}"/>
    <cellStyle name="SAPBEXresData 2 3 6 2" xfId="19778" xr:uid="{4DD64E97-DDA3-4775-881A-ECCEA8ACF425}"/>
    <cellStyle name="SAPBEXresData 2 3 7" xfId="19779" xr:uid="{F5B38762-F15F-4267-B6B9-25411D8F819B}"/>
    <cellStyle name="SAPBEXresData 2 3 7 2" xfId="19780" xr:uid="{86007A71-F8C2-4F71-A25D-3C3FE382972B}"/>
    <cellStyle name="SAPBEXresData 2 3 8" xfId="19781" xr:uid="{A1409E5D-523B-46D1-9178-E7112396C53B}"/>
    <cellStyle name="SAPBEXresData 2 3 8 2" xfId="19782" xr:uid="{C506E8B1-2543-4F18-900D-CAC80D14D446}"/>
    <cellStyle name="SAPBEXresData 2 3 9" xfId="19783" xr:uid="{D5591605-0363-4BFD-8C45-4622D5E3B969}"/>
    <cellStyle name="SAPBEXresData 2 3 9 2" xfId="19784" xr:uid="{D8842E1C-BF31-4737-A161-77F6F82AB9C2}"/>
    <cellStyle name="SAPBEXresData 2 4" xfId="19785" xr:uid="{9F93DBF5-9FF6-40F6-B97E-F26AD51F19ED}"/>
    <cellStyle name="SAPBEXresData 2 4 2" xfId="19786" xr:uid="{6CD0B5BC-3D2C-4E8E-A929-145D684E43B1}"/>
    <cellStyle name="SAPBEXresData 2 5" xfId="19787" xr:uid="{D1DD5A27-CD4E-4CE1-8EE4-A27B834EC68F}"/>
    <cellStyle name="SAPBEXresData 2 5 2" xfId="19788" xr:uid="{5A64D1CB-85A3-4058-9769-061D312183DE}"/>
    <cellStyle name="SAPBEXresData 2 6" xfId="19789" xr:uid="{502FD44F-1841-4559-9B79-7565285ED361}"/>
    <cellStyle name="SAPBEXresData 2 6 2" xfId="19790" xr:uid="{9C04754E-8D02-4EDE-9972-7C366DE2EF64}"/>
    <cellStyle name="SAPBEXresData 2 7" xfId="19791" xr:uid="{C5557118-4DCE-4F8B-AD12-280546240B41}"/>
    <cellStyle name="SAPBEXresData 2 7 2" xfId="19792" xr:uid="{2F33DE1C-062C-4F9F-BD84-0F1F5AF0FCA4}"/>
    <cellStyle name="SAPBEXresData 2 8" xfId="19793" xr:uid="{DABC8E23-03CD-4B16-BEA7-1BA7BBB97677}"/>
    <cellStyle name="SAPBEXresData 2 8 2" xfId="19794" xr:uid="{403A9D4C-2C33-4E82-BB9B-1306B4277127}"/>
    <cellStyle name="SAPBEXresData 2 9" xfId="19795" xr:uid="{B590D54B-42BA-40C7-8CBA-FE7EC70A776A}"/>
    <cellStyle name="SAPBEXresData 2 9 2" xfId="19796" xr:uid="{19638C7A-F68B-4217-89A8-B3ABA0EB730E}"/>
    <cellStyle name="SAPBEXresData 2_T1 ANSP" xfId="19587" xr:uid="{6F648C38-52F1-4E9C-8163-6390F90184AC}"/>
    <cellStyle name="SAPBEXresData 20" xfId="19797" xr:uid="{3881DEE8-3D92-43B7-B5CA-B7335DE40DD4}"/>
    <cellStyle name="SAPBEXresData 3" xfId="1526" xr:uid="{00000000-0005-0000-0000-0000A5050000}"/>
    <cellStyle name="SAPBEXresData 3 10" xfId="19799" xr:uid="{A60A77B3-1F48-45CE-8E3A-EF2AA078E41D}"/>
    <cellStyle name="SAPBEXresData 3 10 2" xfId="19800" xr:uid="{C15F9763-5078-41E7-A99D-E3E0CD5610EF}"/>
    <cellStyle name="SAPBEXresData 3 11" xfId="19801" xr:uid="{3ABA27BC-81DA-4B13-8C02-E8328B1256D6}"/>
    <cellStyle name="SAPBEXresData 3 11 2" xfId="19802" xr:uid="{1BC30265-7B28-4776-A84B-862DCCE0322A}"/>
    <cellStyle name="SAPBEXresData 3 12" xfId="19803" xr:uid="{1FE9716E-A826-4E6E-A31E-45AC4A6B8988}"/>
    <cellStyle name="SAPBEXresData 3 12 2" xfId="19804" xr:uid="{C71742D3-121A-4463-BAC4-3738B6DA8425}"/>
    <cellStyle name="SAPBEXresData 3 13" xfId="19805" xr:uid="{FA1F4383-F553-4994-B5AD-FBB5DAF9A3A2}"/>
    <cellStyle name="SAPBEXresData 3 13 2" xfId="19806" xr:uid="{19C66B85-100B-4257-AC6E-9E616C30A1C3}"/>
    <cellStyle name="SAPBEXresData 3 14" xfId="19807" xr:uid="{E7B82B61-0C75-4CB5-B3FB-BF7E2497B7B5}"/>
    <cellStyle name="SAPBEXresData 3 14 2" xfId="19808" xr:uid="{BE766EA8-297E-4161-9643-638FB35391D1}"/>
    <cellStyle name="SAPBEXresData 3 15" xfId="19809" xr:uid="{0AAFA593-2D02-48A9-A72B-071829C0529E}"/>
    <cellStyle name="SAPBEXresData 3 15 2" xfId="19810" xr:uid="{9C6682E7-4FD0-4F7C-BD90-38463A2D70EC}"/>
    <cellStyle name="SAPBEXresData 3 16" xfId="19811" xr:uid="{051B68B1-8BE9-4FBE-9FBC-D242681265F6}"/>
    <cellStyle name="SAPBEXresData 3 16 2" xfId="19812" xr:uid="{20B7609E-A94E-46A4-97EE-3016738A1BC8}"/>
    <cellStyle name="SAPBEXresData 3 17" xfId="19813" xr:uid="{F730D59E-74BB-4E96-B1FB-FC4574678A61}"/>
    <cellStyle name="SAPBEXresData 3 17 2" xfId="19814" xr:uid="{90E2908D-E9AD-42F8-B58C-5E956FCACCD3}"/>
    <cellStyle name="SAPBEXresData 3 18" xfId="19815" xr:uid="{50FD8112-8BBE-47A3-9900-7CC3A175B4F8}"/>
    <cellStyle name="SAPBEXresData 3 2" xfId="19816" xr:uid="{5FD34491-6F23-4D31-A0B7-F3CFE44BF384}"/>
    <cellStyle name="SAPBEXresData 3 2 10" xfId="19817" xr:uid="{726D2E52-89B0-47A5-BD5F-38C353617EC6}"/>
    <cellStyle name="SAPBEXresData 3 2 10 2" xfId="19818" xr:uid="{E56662CB-2D93-4E10-8EB8-B33B98E454C2}"/>
    <cellStyle name="SAPBEXresData 3 2 11" xfId="19819" xr:uid="{E1BE1A03-85EA-4FFB-A673-0DB76F06E425}"/>
    <cellStyle name="SAPBEXresData 3 2 11 2" xfId="19820" xr:uid="{527239ED-E294-45CB-B315-DA5D12E7F86C}"/>
    <cellStyle name="SAPBEXresData 3 2 12" xfId="19821" xr:uid="{AB727617-7722-4D6A-930F-655F3F9C9B30}"/>
    <cellStyle name="SAPBEXresData 3 2 12 2" xfId="19822" xr:uid="{E342FF1C-E0BF-4D78-A8F3-A92FDDB1665E}"/>
    <cellStyle name="SAPBEXresData 3 2 13" xfId="19823" xr:uid="{B651B68E-8B67-41E8-A6BE-70101F82FBAF}"/>
    <cellStyle name="SAPBEXresData 3 2 13 2" xfId="19824" xr:uid="{02ED80FE-7DD1-47CF-B38F-8301017F8D8C}"/>
    <cellStyle name="SAPBEXresData 3 2 14" xfId="19825" xr:uid="{106F61A1-FEB2-415A-91CF-00EDB1ADA2CA}"/>
    <cellStyle name="SAPBEXresData 3 2 14 2" xfId="19826" xr:uid="{C93B9420-F6DF-4C2E-B819-9DD52D5361FF}"/>
    <cellStyle name="SAPBEXresData 3 2 15" xfId="19827" xr:uid="{06F4C421-B4F7-476B-BE4A-3568A23B13C6}"/>
    <cellStyle name="SAPBEXresData 3 2 15 2" xfId="19828" xr:uid="{A2102B4C-5399-4348-9EA7-E48C43EB9B33}"/>
    <cellStyle name="SAPBEXresData 3 2 16" xfId="19829" xr:uid="{6FCCF037-A862-442C-8930-18AA1B750BE8}"/>
    <cellStyle name="SAPBEXresData 3 2 2" xfId="19830" xr:uid="{EE7DB407-F916-484C-87F7-5F9B8F081C43}"/>
    <cellStyle name="SAPBEXresData 3 2 2 2" xfId="19831" xr:uid="{24A96526-069B-4776-9482-8FA03E4F4F3E}"/>
    <cellStyle name="SAPBEXresData 3 2 3" xfId="19832" xr:uid="{CAA80652-8469-4505-92AC-FCD4CBCCB436}"/>
    <cellStyle name="SAPBEXresData 3 2 3 2" xfId="19833" xr:uid="{8DE7CEE3-F55B-4DF6-B11D-37AF2C8F87E8}"/>
    <cellStyle name="SAPBEXresData 3 2 4" xfId="19834" xr:uid="{07D55C66-254B-48E4-A54C-DF433103FC53}"/>
    <cellStyle name="SAPBEXresData 3 2 4 2" xfId="19835" xr:uid="{E54A75EF-651F-4835-BF5B-A8ED2ED90594}"/>
    <cellStyle name="SAPBEXresData 3 2 5" xfId="19836" xr:uid="{4CAE103F-3E25-4D72-A028-2CEBD9027350}"/>
    <cellStyle name="SAPBEXresData 3 2 5 2" xfId="19837" xr:uid="{EF1A12CA-59D6-4B18-B91E-69293309BF02}"/>
    <cellStyle name="SAPBEXresData 3 2 6" xfId="19838" xr:uid="{033C2A4F-C3E2-4018-A5F5-76232D6F291A}"/>
    <cellStyle name="SAPBEXresData 3 2 6 2" xfId="19839" xr:uid="{55134162-D916-449C-AB1D-D68E355D6026}"/>
    <cellStyle name="SAPBEXresData 3 2 7" xfId="19840" xr:uid="{3CF89A95-A5DB-44C5-99E5-7A63C52B1B42}"/>
    <cellStyle name="SAPBEXresData 3 2 7 2" xfId="19841" xr:uid="{8FCC2309-70EF-4F43-83AD-9D8AD907AA4D}"/>
    <cellStyle name="SAPBEXresData 3 2 8" xfId="19842" xr:uid="{8D94BE14-22C7-46C8-9F70-55A1F99FACC4}"/>
    <cellStyle name="SAPBEXresData 3 2 8 2" xfId="19843" xr:uid="{8AFCCBA4-7A74-4EA8-B00C-39F65AA480A1}"/>
    <cellStyle name="SAPBEXresData 3 2 9" xfId="19844" xr:uid="{D8A64FF7-6C55-4B8E-A2B9-F3E5439467F9}"/>
    <cellStyle name="SAPBEXresData 3 2 9 2" xfId="19845" xr:uid="{540E3528-06C0-4929-9D2B-E5885B4D1278}"/>
    <cellStyle name="SAPBEXresData 3 3" xfId="19846" xr:uid="{B1DAAD93-EF6F-45EE-8AEE-C47E6AD81130}"/>
    <cellStyle name="SAPBEXresData 3 3 10" xfId="19847" xr:uid="{B7CACDEB-3BA1-4D5A-99C7-0B966409F33F}"/>
    <cellStyle name="SAPBEXresData 3 3 10 2" xfId="19848" xr:uid="{4F8B24A2-B51C-4D96-9880-578608AA2C01}"/>
    <cellStyle name="SAPBEXresData 3 3 11" xfId="19849" xr:uid="{F24A1839-51A3-4056-8C61-CEF6BF286E23}"/>
    <cellStyle name="SAPBEXresData 3 3 11 2" xfId="19850" xr:uid="{49BDB091-D268-41D8-B925-E4E6F9FC37F0}"/>
    <cellStyle name="SAPBEXresData 3 3 12" xfId="19851" xr:uid="{F3D3A2FF-275C-4B84-9AE3-36B0FDD91F26}"/>
    <cellStyle name="SAPBEXresData 3 3 12 2" xfId="19852" xr:uid="{975AA7EF-7852-4645-A09B-082E392C77B7}"/>
    <cellStyle name="SAPBEXresData 3 3 13" xfId="19853" xr:uid="{EC05F477-48A3-4F8C-8EB0-0DCE3F6D62DB}"/>
    <cellStyle name="SAPBEXresData 3 3 13 2" xfId="19854" xr:uid="{4D318C59-BC9B-4F2D-9EA1-89242AFA5AAB}"/>
    <cellStyle name="SAPBEXresData 3 3 14" xfId="19855" xr:uid="{18DFC7BA-4756-4461-97E4-CB38241AFBD7}"/>
    <cellStyle name="SAPBEXresData 3 3 14 2" xfId="19856" xr:uid="{854CCC4A-5B01-43E8-89BA-0E9A9B910F24}"/>
    <cellStyle name="SAPBEXresData 3 3 15" xfId="19857" xr:uid="{6474CC2A-97FB-47D1-AC6F-FB9DBA8F5E52}"/>
    <cellStyle name="SAPBEXresData 3 3 15 2" xfId="19858" xr:uid="{BA61D91A-B410-4237-811F-C36A2A1806AD}"/>
    <cellStyle name="SAPBEXresData 3 3 16" xfId="19859" xr:uid="{BE7D2C56-7DB8-40CA-9A9E-A6A8B62F3046}"/>
    <cellStyle name="SAPBEXresData 3 3 2" xfId="19860" xr:uid="{1A4C0302-543C-4CCD-BCC1-509976DECCBA}"/>
    <cellStyle name="SAPBEXresData 3 3 2 2" xfId="19861" xr:uid="{4B995763-E778-4D04-88B2-FADC1078C7B5}"/>
    <cellStyle name="SAPBEXresData 3 3 3" xfId="19862" xr:uid="{14B30A13-1C12-4D72-BF99-964BF9C147B5}"/>
    <cellStyle name="SAPBEXresData 3 3 3 2" xfId="19863" xr:uid="{77A73768-6368-4043-92F2-F434CCF27D30}"/>
    <cellStyle name="SAPBEXresData 3 3 4" xfId="19864" xr:uid="{EBE37AB7-9E53-4C32-912C-4C92B2854A11}"/>
    <cellStyle name="SAPBEXresData 3 3 4 2" xfId="19865" xr:uid="{E1594870-563F-45B2-B2EC-D2BE91862CC5}"/>
    <cellStyle name="SAPBEXresData 3 3 5" xfId="19866" xr:uid="{0BE5A93F-FA70-463F-8D61-9777A0A1C548}"/>
    <cellStyle name="SAPBEXresData 3 3 5 2" xfId="19867" xr:uid="{C7C2573A-5439-4083-AE16-8F9156DE1E34}"/>
    <cellStyle name="SAPBEXresData 3 3 6" xfId="19868" xr:uid="{6A764748-6A1A-4975-8DC1-427C9D5F2BC7}"/>
    <cellStyle name="SAPBEXresData 3 3 6 2" xfId="19869" xr:uid="{D1843FE2-1235-4C25-AE2F-985E25802C71}"/>
    <cellStyle name="SAPBEXresData 3 3 7" xfId="19870" xr:uid="{B08AA840-C40E-4DA5-B5BA-0F28F37D48C0}"/>
    <cellStyle name="SAPBEXresData 3 3 7 2" xfId="19871" xr:uid="{BCD47FF4-A6D6-40B8-BB4B-FEDC45E7497B}"/>
    <cellStyle name="SAPBEXresData 3 3 8" xfId="19872" xr:uid="{100E66E4-7E74-40DF-B01B-FEFFA18E9584}"/>
    <cellStyle name="SAPBEXresData 3 3 8 2" xfId="19873" xr:uid="{D2C2787E-A07B-449B-9CE3-A345E7292281}"/>
    <cellStyle name="SAPBEXresData 3 3 9" xfId="19874" xr:uid="{DCD7CE8D-0102-4E4A-8A21-09BE2CEE4DDD}"/>
    <cellStyle name="SAPBEXresData 3 3 9 2" xfId="19875" xr:uid="{0DD799E3-E7E9-4966-B9EA-E2A9335E5E89}"/>
    <cellStyle name="SAPBEXresData 3 4" xfId="19876" xr:uid="{E20C64A1-751E-4957-A13A-F32345E7904E}"/>
    <cellStyle name="SAPBEXresData 3 4 2" xfId="19877" xr:uid="{94AEAC99-C95B-4905-86C6-0AACB2B4DECD}"/>
    <cellStyle name="SAPBEXresData 3 5" xfId="19878" xr:uid="{6028F761-E567-4692-AB87-97A4D7470283}"/>
    <cellStyle name="SAPBEXresData 3 5 2" xfId="19879" xr:uid="{0DEB8A0C-1A17-4572-9BD1-435A3A113AAF}"/>
    <cellStyle name="SAPBEXresData 3 6" xfId="19880" xr:uid="{CB854EDE-088A-4DC8-B290-9611228B09FF}"/>
    <cellStyle name="SAPBEXresData 3 6 2" xfId="19881" xr:uid="{4E2D6174-B278-41AE-AF76-D4D0A0FBA8F7}"/>
    <cellStyle name="SAPBEXresData 3 7" xfId="19882" xr:uid="{38A4D39A-AD3F-4AF6-A817-CC6A8B1054F3}"/>
    <cellStyle name="SAPBEXresData 3 7 2" xfId="19883" xr:uid="{2A131AAD-9492-49AF-A42E-089219023CA0}"/>
    <cellStyle name="SAPBEXresData 3 8" xfId="19884" xr:uid="{E1FD297C-D0A9-4ECD-8AD1-27F41B5FA0F2}"/>
    <cellStyle name="SAPBEXresData 3 8 2" xfId="19885" xr:uid="{3499ADE4-1E87-4EA5-9858-CE9CBF09CA0B}"/>
    <cellStyle name="SAPBEXresData 3 9" xfId="19886" xr:uid="{A6FE5BD8-8D60-4B1F-9B71-423ED8388EF6}"/>
    <cellStyle name="SAPBEXresData 3 9 2" xfId="19887" xr:uid="{A6375C41-21E6-4891-8667-95D1ABB68FAA}"/>
    <cellStyle name="SAPBEXresData 3_T1 ANSP" xfId="19798" xr:uid="{D7F71513-6E07-4B0B-BC2F-E23839CE7479}"/>
    <cellStyle name="SAPBEXresData 4" xfId="19888" xr:uid="{FEDA796D-8BC2-4692-9503-2E14626C2015}"/>
    <cellStyle name="SAPBEXresData 4 10" xfId="19889" xr:uid="{2FD3DCEA-6436-44AB-95E7-3D9388D17009}"/>
    <cellStyle name="SAPBEXresData 4 10 2" xfId="19890" xr:uid="{AF00CEDD-D83C-423F-9674-8A9BE496A55E}"/>
    <cellStyle name="SAPBEXresData 4 11" xfId="19891" xr:uid="{56A8BB4D-AC2D-4CA5-AD75-1E82B96F4CA7}"/>
    <cellStyle name="SAPBEXresData 4 11 2" xfId="19892" xr:uid="{AB2E202F-F8F6-4807-A80C-3F4840A6C8C4}"/>
    <cellStyle name="SAPBEXresData 4 12" xfId="19893" xr:uid="{CED4CF77-F376-4160-B5C1-355085AC6C02}"/>
    <cellStyle name="SAPBEXresData 4 12 2" xfId="19894" xr:uid="{73DBDF13-3DA7-4391-A5D2-6CB86399ADFE}"/>
    <cellStyle name="SAPBEXresData 4 13" xfId="19895" xr:uid="{4908B0E4-9DF9-4511-A0AB-9DBAD119E296}"/>
    <cellStyle name="SAPBEXresData 4 13 2" xfId="19896" xr:uid="{872E24D1-823B-4A12-82FA-232EC9A514DC}"/>
    <cellStyle name="SAPBEXresData 4 14" xfId="19897" xr:uid="{948F1CB7-2139-48D4-A31A-3B635B0E2D36}"/>
    <cellStyle name="SAPBEXresData 4 14 2" xfId="19898" xr:uid="{7F18FBE2-CEE0-40B2-89E8-FC37DA439C27}"/>
    <cellStyle name="SAPBEXresData 4 15" xfId="19899" xr:uid="{439D43F7-0E18-4AFB-93D8-A36AD408A16B}"/>
    <cellStyle name="SAPBEXresData 4 15 2" xfId="19900" xr:uid="{1DDBB67A-24A7-491E-8453-D1D3FA274853}"/>
    <cellStyle name="SAPBEXresData 4 16" xfId="19901" xr:uid="{78676861-8E8D-476A-BFFB-E9101D8CFC99}"/>
    <cellStyle name="SAPBEXresData 4 16 2" xfId="19902" xr:uid="{25DB09A9-CE51-4993-974D-5AE7B634BA0E}"/>
    <cellStyle name="SAPBEXresData 4 17" xfId="19903" xr:uid="{0D6EA608-09FF-4FCC-93E9-6599F35B6A5C}"/>
    <cellStyle name="SAPBEXresData 4 17 2" xfId="19904" xr:uid="{9B4D5D22-DB8E-4B38-99F5-D2492E263E92}"/>
    <cellStyle name="SAPBEXresData 4 18" xfId="19905" xr:uid="{DBCCA2C4-E377-4885-9642-06B97F6504E1}"/>
    <cellStyle name="SAPBEXresData 4 2" xfId="19906" xr:uid="{7C7D67A5-D05E-4B47-88A4-1F56F5F8410B}"/>
    <cellStyle name="SAPBEXresData 4 2 10" xfId="19907" xr:uid="{8E0B863C-D562-4F8C-B9D7-0A70A11F9FB0}"/>
    <cellStyle name="SAPBEXresData 4 2 10 2" xfId="19908" xr:uid="{3B6C9CF6-61E3-4772-B4D7-74A2C87A9E26}"/>
    <cellStyle name="SAPBEXresData 4 2 11" xfId="19909" xr:uid="{E34DC514-EDA8-45DA-B667-A79600908EF9}"/>
    <cellStyle name="SAPBEXresData 4 2 11 2" xfId="19910" xr:uid="{58DB2AD3-C34B-4D11-A0A3-2D7026B2B4B5}"/>
    <cellStyle name="SAPBEXresData 4 2 12" xfId="19911" xr:uid="{69E535EC-B328-42E7-8B59-A9336770440B}"/>
    <cellStyle name="SAPBEXresData 4 2 12 2" xfId="19912" xr:uid="{02657176-91EF-4537-B7CC-C7BB9546023F}"/>
    <cellStyle name="SAPBEXresData 4 2 13" xfId="19913" xr:uid="{6D18F76D-847B-4117-BA2A-6CD6DC272BDB}"/>
    <cellStyle name="SAPBEXresData 4 2 13 2" xfId="19914" xr:uid="{C3042661-E1F8-4BF0-96B8-C3C7F1FDA94F}"/>
    <cellStyle name="SAPBEXresData 4 2 14" xfId="19915" xr:uid="{C74475BC-550A-4E6E-9763-07F8A519B976}"/>
    <cellStyle name="SAPBEXresData 4 2 14 2" xfId="19916" xr:uid="{A75ACFBA-2040-4C03-8514-16A51817C147}"/>
    <cellStyle name="SAPBEXresData 4 2 15" xfId="19917" xr:uid="{76EB7DEE-B1AB-4B3C-84F5-BF2722B4EAD0}"/>
    <cellStyle name="SAPBEXresData 4 2 15 2" xfId="19918" xr:uid="{19D1CE05-55F2-4F35-9709-2F8C1D7F0ED3}"/>
    <cellStyle name="SAPBEXresData 4 2 16" xfId="19919" xr:uid="{D09D1266-B463-4CE7-AE1D-6AABA93310FB}"/>
    <cellStyle name="SAPBEXresData 4 2 2" xfId="19920" xr:uid="{DD628738-635A-4FD5-9149-2CA792E0FF14}"/>
    <cellStyle name="SAPBEXresData 4 2 2 2" xfId="19921" xr:uid="{1181E641-E832-4EAC-BC21-E0798ED3D1B2}"/>
    <cellStyle name="SAPBEXresData 4 2 3" xfId="19922" xr:uid="{F44A03B2-B21D-41E2-B5F3-CE7908A7499E}"/>
    <cellStyle name="SAPBEXresData 4 2 3 2" xfId="19923" xr:uid="{42949735-3A65-4D67-8E8F-D01DA87CDA7D}"/>
    <cellStyle name="SAPBEXresData 4 2 4" xfId="19924" xr:uid="{A09C26BB-6AC0-4E97-A755-4C7A8A437BA5}"/>
    <cellStyle name="SAPBEXresData 4 2 4 2" xfId="19925" xr:uid="{FF10852D-9187-4014-8676-CDB041B93D2F}"/>
    <cellStyle name="SAPBEXresData 4 2 5" xfId="19926" xr:uid="{688D848D-0A82-4D6C-94F0-1717BD4EBF45}"/>
    <cellStyle name="SAPBEXresData 4 2 5 2" xfId="19927" xr:uid="{573D7EFB-2C13-4B81-8778-0FF4F0BF6077}"/>
    <cellStyle name="SAPBEXresData 4 2 6" xfId="19928" xr:uid="{19E75F83-7CEE-4520-BA67-D2004F3EAB04}"/>
    <cellStyle name="SAPBEXresData 4 2 6 2" xfId="19929" xr:uid="{1578CBE0-41E7-4551-ABA1-7F2AC00A6319}"/>
    <cellStyle name="SAPBEXresData 4 2 7" xfId="19930" xr:uid="{C1E3D4F3-3EAD-410A-A7AE-0CAF0458AA02}"/>
    <cellStyle name="SAPBEXresData 4 2 7 2" xfId="19931" xr:uid="{AA75F7EA-2198-4CE3-8135-E9B412E30D61}"/>
    <cellStyle name="SAPBEXresData 4 2 8" xfId="19932" xr:uid="{F908C3C2-155B-49E8-80C4-8556C8FA2D3E}"/>
    <cellStyle name="SAPBEXresData 4 2 8 2" xfId="19933" xr:uid="{C8F11092-8526-4ABF-A3EF-440FD0C9E9DA}"/>
    <cellStyle name="SAPBEXresData 4 2 9" xfId="19934" xr:uid="{577FE4A2-C9BE-4FE4-AB4E-E95A638E298A}"/>
    <cellStyle name="SAPBEXresData 4 2 9 2" xfId="19935" xr:uid="{1D883A6A-EAE3-4DE6-B1FE-1CA690572AB3}"/>
    <cellStyle name="SAPBEXresData 4 3" xfId="19936" xr:uid="{AF7A69EC-60F8-427B-AA33-D4032F40CF63}"/>
    <cellStyle name="SAPBEXresData 4 3 10" xfId="19937" xr:uid="{F7E3E530-3619-4E40-AEB6-6106007B2AB5}"/>
    <cellStyle name="SAPBEXresData 4 3 10 2" xfId="19938" xr:uid="{11E640DE-66E7-45A1-9143-902E58D5041C}"/>
    <cellStyle name="SAPBEXresData 4 3 11" xfId="19939" xr:uid="{E0A879E0-5555-410D-AF09-EC57399555F4}"/>
    <cellStyle name="SAPBEXresData 4 3 11 2" xfId="19940" xr:uid="{AB74D56B-1452-4D7B-8B8E-12258F53EE6A}"/>
    <cellStyle name="SAPBEXresData 4 3 12" xfId="19941" xr:uid="{AA401A3B-0892-4402-B073-B5FBC009F997}"/>
    <cellStyle name="SAPBEXresData 4 3 12 2" xfId="19942" xr:uid="{F5E0B7F0-0CF8-4138-855E-4F0D735F662D}"/>
    <cellStyle name="SAPBEXresData 4 3 13" xfId="19943" xr:uid="{A5470669-1745-4B60-AC15-B4EA80669110}"/>
    <cellStyle name="SAPBEXresData 4 3 13 2" xfId="19944" xr:uid="{0422300E-9F6E-4086-A1DA-0AC44760D70D}"/>
    <cellStyle name="SAPBEXresData 4 3 14" xfId="19945" xr:uid="{4908B2CC-30B6-4B64-9654-1A1A951E2ABC}"/>
    <cellStyle name="SAPBEXresData 4 3 14 2" xfId="19946" xr:uid="{F2020AAB-0CD6-46ED-9C55-64B4992AC0EF}"/>
    <cellStyle name="SAPBEXresData 4 3 15" xfId="19947" xr:uid="{9B55260B-415C-43C7-8F67-44953F775BCC}"/>
    <cellStyle name="SAPBEXresData 4 3 15 2" xfId="19948" xr:uid="{79A4E0CD-5E26-4325-AB00-91CA5314E05A}"/>
    <cellStyle name="SAPBEXresData 4 3 16" xfId="19949" xr:uid="{6EA13D4B-DEBA-4C14-AA95-82AC54F4D40D}"/>
    <cellStyle name="SAPBEXresData 4 3 2" xfId="19950" xr:uid="{14DCFCCA-C96D-4988-808C-20CD3DBD6749}"/>
    <cellStyle name="SAPBEXresData 4 3 2 2" xfId="19951" xr:uid="{F25C345B-DE59-4061-A405-277EF119BFC7}"/>
    <cellStyle name="SAPBEXresData 4 3 3" xfId="19952" xr:uid="{20AC323F-89A5-4EAB-99D5-420B2590C0DF}"/>
    <cellStyle name="SAPBEXresData 4 3 3 2" xfId="19953" xr:uid="{4417D033-DDA3-45AE-B28B-C7C94E7CFDB2}"/>
    <cellStyle name="SAPBEXresData 4 3 4" xfId="19954" xr:uid="{F0700612-3863-415F-A032-FD4F10A3D152}"/>
    <cellStyle name="SAPBEXresData 4 3 4 2" xfId="19955" xr:uid="{7C5D03CA-C551-401A-9704-A411EE933815}"/>
    <cellStyle name="SAPBEXresData 4 3 5" xfId="19956" xr:uid="{3EDFA6BD-618B-4512-B551-2C0EFE3A717C}"/>
    <cellStyle name="SAPBEXresData 4 3 5 2" xfId="19957" xr:uid="{8D209EB0-E541-45B4-AF77-928B14A16E83}"/>
    <cellStyle name="SAPBEXresData 4 3 6" xfId="19958" xr:uid="{609590C8-DF2B-42B5-9091-E73340B0249F}"/>
    <cellStyle name="SAPBEXresData 4 3 6 2" xfId="19959" xr:uid="{706954FA-6E2E-40C9-A452-EEB3154F6F2A}"/>
    <cellStyle name="SAPBEXresData 4 3 7" xfId="19960" xr:uid="{CD6192B4-B76B-443A-87C9-0A9E55D2F301}"/>
    <cellStyle name="SAPBEXresData 4 3 7 2" xfId="19961" xr:uid="{80BBE231-68D1-4093-B05D-347F61705B8E}"/>
    <cellStyle name="SAPBEXresData 4 3 8" xfId="19962" xr:uid="{8DF6BA8E-CF9C-4D3B-A345-65C1CA94AC29}"/>
    <cellStyle name="SAPBEXresData 4 3 8 2" xfId="19963" xr:uid="{8D64BAC8-4FCB-4B6E-B508-A0F0B5A3F7B3}"/>
    <cellStyle name="SAPBEXresData 4 3 9" xfId="19964" xr:uid="{E709053D-BE7B-4239-8CE7-67635A7A8A9B}"/>
    <cellStyle name="SAPBEXresData 4 3 9 2" xfId="19965" xr:uid="{5DB1B300-DE2E-4B87-915A-343C398936BD}"/>
    <cellStyle name="SAPBEXresData 4 4" xfId="19966" xr:uid="{7D1987A5-FCC6-4396-9544-8991E4365B1C}"/>
    <cellStyle name="SAPBEXresData 4 4 2" xfId="19967" xr:uid="{6A569DDB-3748-4048-A41D-2E25421E473E}"/>
    <cellStyle name="SAPBEXresData 4 5" xfId="19968" xr:uid="{32256559-42AC-4287-8126-8B1493F7870E}"/>
    <cellStyle name="SAPBEXresData 4 5 2" xfId="19969" xr:uid="{6BE7DCEF-A25C-449A-8045-38A172AB38BF}"/>
    <cellStyle name="SAPBEXresData 4 6" xfId="19970" xr:uid="{4966E35C-6CB0-4B57-8C23-236F90533A1C}"/>
    <cellStyle name="SAPBEXresData 4 6 2" xfId="19971" xr:uid="{FDE11819-6896-481C-B9E4-4F23BB7CFEC8}"/>
    <cellStyle name="SAPBEXresData 4 7" xfId="19972" xr:uid="{806837A9-119E-45BA-B4A3-BC966B3602D6}"/>
    <cellStyle name="SAPBEXresData 4 7 2" xfId="19973" xr:uid="{719BC609-EEE4-4C2B-910A-BDF721238419}"/>
    <cellStyle name="SAPBEXresData 4 8" xfId="19974" xr:uid="{66747506-7829-4EC3-ACED-AB9720B2B734}"/>
    <cellStyle name="SAPBEXresData 4 8 2" xfId="19975" xr:uid="{3A04E79F-597B-460E-9117-5BC9899F0677}"/>
    <cellStyle name="SAPBEXresData 4 9" xfId="19976" xr:uid="{2C7CEC03-9043-483E-8B6D-CA3B6F8B4923}"/>
    <cellStyle name="SAPBEXresData 4 9 2" xfId="19977" xr:uid="{4242C960-5B61-4821-8D52-85BA2EC8C8A4}"/>
    <cellStyle name="SAPBEXresData 5" xfId="19978" xr:uid="{086F8015-8262-4C62-BA36-79D5D1CDC649}"/>
    <cellStyle name="SAPBEXresData 5 10" xfId="19979" xr:uid="{EFA19E0F-F190-4410-9A3A-2F139C180A51}"/>
    <cellStyle name="SAPBEXresData 5 10 2" xfId="19980" xr:uid="{F636AFA9-4DD6-4192-9BA0-4384739C8CA1}"/>
    <cellStyle name="SAPBEXresData 5 11" xfId="19981" xr:uid="{0D32A027-240A-4699-8F52-6664945F6FC6}"/>
    <cellStyle name="SAPBEXresData 5 11 2" xfId="19982" xr:uid="{0F511D24-8DD2-4903-938B-342812917616}"/>
    <cellStyle name="SAPBEXresData 5 12" xfId="19983" xr:uid="{9757FCAD-3553-495D-B620-E930CE8ACA40}"/>
    <cellStyle name="SAPBEXresData 5 12 2" xfId="19984" xr:uid="{31586DAC-3039-45A3-9542-71F8885465C3}"/>
    <cellStyle name="SAPBEXresData 5 13" xfId="19985" xr:uid="{D2B0C04E-AA46-4195-8FF6-F509189BFA6D}"/>
    <cellStyle name="SAPBEXresData 5 13 2" xfId="19986" xr:uid="{7E3B49CF-1E04-4008-B6A6-9CEACF3FF7A8}"/>
    <cellStyle name="SAPBEXresData 5 14" xfId="19987" xr:uid="{3B0797BA-EBEE-4EBA-9861-80B6927DF999}"/>
    <cellStyle name="SAPBEXresData 5 14 2" xfId="19988" xr:uid="{FFDC2246-E4BE-4D69-B732-A7B0212C52F2}"/>
    <cellStyle name="SAPBEXresData 5 15" xfId="19989" xr:uid="{A50E9D35-9D2A-4019-812D-AEF4077700B3}"/>
    <cellStyle name="SAPBEXresData 5 15 2" xfId="19990" xr:uid="{3AD2ED11-C5FA-4CB1-8516-C972C6A17284}"/>
    <cellStyle name="SAPBEXresData 5 16" xfId="19991" xr:uid="{99BBFB0D-D25A-4522-A12D-4E48D10C92C8}"/>
    <cellStyle name="SAPBEXresData 5 2" xfId="19992" xr:uid="{23717F4B-2946-4EA9-A64E-B36A29E54C6E}"/>
    <cellStyle name="SAPBEXresData 5 2 2" xfId="19993" xr:uid="{B7D8E641-D05E-432A-8259-9B61F6DCA2B7}"/>
    <cellStyle name="SAPBEXresData 5 3" xfId="19994" xr:uid="{5B3A6CCB-66B5-45AA-90F6-A5B7C005E4B2}"/>
    <cellStyle name="SAPBEXresData 5 3 2" xfId="19995" xr:uid="{DC8A8448-79E3-45E1-BAAB-F1247CAC0583}"/>
    <cellStyle name="SAPBEXresData 5 4" xfId="19996" xr:uid="{E10E96FD-5112-4D85-84BA-447BBA6B4315}"/>
    <cellStyle name="SAPBEXresData 5 4 2" xfId="19997" xr:uid="{1F9DE9C8-7E88-402B-BA5D-FF6D1E753900}"/>
    <cellStyle name="SAPBEXresData 5 5" xfId="19998" xr:uid="{9B5CCDBE-8CB9-432A-8992-3572E020AAE5}"/>
    <cellStyle name="SAPBEXresData 5 5 2" xfId="19999" xr:uid="{6C2F52D5-BF4D-48D8-AE87-1E5D7768D807}"/>
    <cellStyle name="SAPBEXresData 5 6" xfId="20000" xr:uid="{A89FF192-A84B-4E8D-A55B-C9A43CDC02C8}"/>
    <cellStyle name="SAPBEXresData 5 6 2" xfId="20001" xr:uid="{AB731CC3-A80B-4833-BFA4-3BFDECB40A8C}"/>
    <cellStyle name="SAPBEXresData 5 7" xfId="20002" xr:uid="{545C692B-D627-4116-969A-1D8B7BC83A13}"/>
    <cellStyle name="SAPBEXresData 5 7 2" xfId="20003" xr:uid="{BCEC7D00-34D3-4F0E-822C-26785B216CAD}"/>
    <cellStyle name="SAPBEXresData 5 8" xfId="20004" xr:uid="{13905BED-6A39-4BC7-AFEF-D333E4790F4C}"/>
    <cellStyle name="SAPBEXresData 5 8 2" xfId="20005" xr:uid="{3DEA9C66-1A32-4E60-83D5-E63CB12AF97F}"/>
    <cellStyle name="SAPBEXresData 5 9" xfId="20006" xr:uid="{111C42FB-87DA-453B-A1AA-3A33902D0549}"/>
    <cellStyle name="SAPBEXresData 5 9 2" xfId="20007" xr:uid="{28642215-70F0-4100-BC2A-94A0A02D241A}"/>
    <cellStyle name="SAPBEXresData 6" xfId="20008" xr:uid="{01201C14-93C4-400D-808B-A4A935A985FC}"/>
    <cellStyle name="SAPBEXresData 6 2" xfId="20009" xr:uid="{08370AE2-43B2-41FA-A90D-A024E165A72A}"/>
    <cellStyle name="SAPBEXresData 7" xfId="20010" xr:uid="{20FE8F1B-708D-4439-8380-E7B50B7BE47D}"/>
    <cellStyle name="SAPBEXresData 7 2" xfId="20011" xr:uid="{2C89C631-F9CF-494B-8CEE-01E0FF20091B}"/>
    <cellStyle name="SAPBEXresData 8" xfId="20012" xr:uid="{69F13DD0-53E3-477F-8A63-8BAFE56F3E78}"/>
    <cellStyle name="SAPBEXresData 8 2" xfId="20013" xr:uid="{60374EEE-E32E-4265-8644-C0F81911097E}"/>
    <cellStyle name="SAPBEXresData 9" xfId="20014" xr:uid="{D84890E7-24AB-4E2A-A46F-CDBEA4D0A4B8}"/>
    <cellStyle name="SAPBEXresData 9 2" xfId="20015" xr:uid="{44652546-D28D-41E4-B67F-B8D0467C97E7}"/>
    <cellStyle name="SAPBEXresData_T1 ANSP" xfId="19566" xr:uid="{54FE8498-375F-4D91-A2F3-7E47E799900B}"/>
    <cellStyle name="SAPBEXresDataEmph" xfId="755" xr:uid="{00000000-0005-0000-0000-0000A6050000}"/>
    <cellStyle name="SAPBEXresDataEmph 10" xfId="20017" xr:uid="{46FE4E23-9BD9-4214-88EC-2B96CB897570}"/>
    <cellStyle name="SAPBEXresDataEmph 10 2" xfId="20018" xr:uid="{26AA15AC-F261-4183-B083-D21905A166F2}"/>
    <cellStyle name="SAPBEXresDataEmph 11" xfId="20019" xr:uid="{CE094FD8-A3C5-46A3-AD20-0402582D0AC5}"/>
    <cellStyle name="SAPBEXresDataEmph 11 2" xfId="20020" xr:uid="{55236F0E-63C2-4F4F-9AD9-564D297033DC}"/>
    <cellStyle name="SAPBEXresDataEmph 12" xfId="20021" xr:uid="{765DCBE2-15A2-4DA8-ADA6-F3EC039E0583}"/>
    <cellStyle name="SAPBEXresDataEmph 12 2" xfId="20022" xr:uid="{DEEC3248-C5D9-4899-AD56-B73103F5F277}"/>
    <cellStyle name="SAPBEXresDataEmph 13" xfId="20023" xr:uid="{053985ED-34C0-4192-88F8-2ADF3B308460}"/>
    <cellStyle name="SAPBEXresDataEmph 13 2" xfId="20024" xr:uid="{316745F1-701B-4D6E-9C61-D47D0405B55D}"/>
    <cellStyle name="SAPBEXresDataEmph 14" xfId="20025" xr:uid="{426EEEFA-EDF2-44C6-9E53-233AE457FF49}"/>
    <cellStyle name="SAPBEXresDataEmph 14 2" xfId="20026" xr:uid="{6ADB78CB-6CB0-4E80-8998-16DAD9A08BC4}"/>
    <cellStyle name="SAPBEXresDataEmph 15" xfId="20027" xr:uid="{1EC02344-17AF-4EE7-8444-00BC60B2B39E}"/>
    <cellStyle name="SAPBEXresDataEmph 15 2" xfId="20028" xr:uid="{609FBE45-71EC-4CBD-98BE-5BA455521323}"/>
    <cellStyle name="SAPBEXresDataEmph 16" xfId="20029" xr:uid="{5E547912-8778-45E1-9257-B4793FB2D014}"/>
    <cellStyle name="SAPBEXresDataEmph 16 2" xfId="20030" xr:uid="{B18FDAE7-86D0-464F-A898-CC1378F782C5}"/>
    <cellStyle name="SAPBEXresDataEmph 17" xfId="20031" xr:uid="{F47B57E7-4DC5-48C7-8633-E2CBED5454DA}"/>
    <cellStyle name="SAPBEXresDataEmph 17 2" xfId="20032" xr:uid="{22F68EF5-43A5-4562-90F2-D7918A97A882}"/>
    <cellStyle name="SAPBEXresDataEmph 18" xfId="20033" xr:uid="{2F8E3C85-DB3A-4762-A721-185BDE95A59F}"/>
    <cellStyle name="SAPBEXresDataEmph 18 2" xfId="20034" xr:uid="{30FF72A1-624A-4E34-A24F-CDD99CC37CA2}"/>
    <cellStyle name="SAPBEXresDataEmph 19" xfId="20035" xr:uid="{60C0EF77-6060-4224-A7DA-143482A1AE37}"/>
    <cellStyle name="SAPBEXresDataEmph 19 2" xfId="20036" xr:uid="{FC24F347-F0FE-4CCC-ADD0-82CB2E3842EC}"/>
    <cellStyle name="SAPBEXresDataEmph 2" xfId="1569" xr:uid="{00000000-0005-0000-0000-0000A7050000}"/>
    <cellStyle name="SAPBEXresDataEmph 2 2" xfId="20038" xr:uid="{E96861ED-A4F4-4E56-A931-95B32E6EA632}"/>
    <cellStyle name="SAPBEXresDataEmph 2 2 2" xfId="20039" xr:uid="{10750F6C-4C8C-4938-93AC-41EBEAAE7762}"/>
    <cellStyle name="SAPBEXresDataEmph 2 2 2 2" xfId="20040" xr:uid="{DFBA032D-C4B0-4F93-8F28-A4201FF83309}"/>
    <cellStyle name="SAPBEXresDataEmph 2 2 3" xfId="20041" xr:uid="{489AAAF9-AAC0-480A-86E9-9C1B05330CCE}"/>
    <cellStyle name="SAPBEXresDataEmph 2 2 3 2" xfId="20042" xr:uid="{29BD39E1-8A40-4DB4-8A9B-7394F23EEDB0}"/>
    <cellStyle name="SAPBEXresDataEmph 2 2 4" xfId="20043" xr:uid="{F6F9434C-E254-47B0-BA21-4513349CD26D}"/>
    <cellStyle name="SAPBEXresDataEmph 2 2 4 2" xfId="20044" xr:uid="{D53D8DBF-60BA-4D17-8DDC-3ADEA9749A90}"/>
    <cellStyle name="SAPBEXresDataEmph 2 2 5" xfId="20045" xr:uid="{9053D197-F48D-43D1-B533-BBD4E368315A}"/>
    <cellStyle name="SAPBEXresDataEmph 2 2 5 2" xfId="20046" xr:uid="{43E011AA-D796-4BB1-A584-E8C2D266065F}"/>
    <cellStyle name="SAPBEXresDataEmph 2 2 6" xfId="20047" xr:uid="{C8466C54-53B9-4297-B15A-6205C27AB802}"/>
    <cellStyle name="SAPBEXresDataEmph 2 2 6 2" xfId="20048" xr:uid="{86EDF079-F09C-4D03-85A8-B42D3093E012}"/>
    <cellStyle name="SAPBEXresDataEmph 2 2 7" xfId="20049" xr:uid="{4340658B-E307-440A-B3CD-011864743247}"/>
    <cellStyle name="SAPBEXresDataEmph 2 3" xfId="20050" xr:uid="{8CB4B456-A862-4E16-A5F0-7C0A5921E002}"/>
    <cellStyle name="SAPBEXresDataEmph 2 3 2" xfId="20051" xr:uid="{54D2AD89-2E2F-4706-8185-0A2A730FD09C}"/>
    <cellStyle name="SAPBEXresDataEmph 2 3 2 2" xfId="20052" xr:uid="{FFDCE147-FB55-4602-ADCC-7D9148EC6E5A}"/>
    <cellStyle name="SAPBEXresDataEmph 2 3 3" xfId="20053" xr:uid="{092BF864-C7E1-4B86-B752-7564A1C74613}"/>
    <cellStyle name="SAPBEXresDataEmph 2 3 3 2" xfId="20054" xr:uid="{D172E11F-596B-4E16-81EB-99C8CB67EFDC}"/>
    <cellStyle name="SAPBEXresDataEmph 2 3 4" xfId="20055" xr:uid="{9028DD04-26C2-48DF-A9F0-3C0B1069BA45}"/>
    <cellStyle name="SAPBEXresDataEmph 2 3 4 2" xfId="20056" xr:uid="{75D8D7EE-8D4A-4CC7-BECE-AA6A89DCBB9E}"/>
    <cellStyle name="SAPBEXresDataEmph 2 3 5" xfId="20057" xr:uid="{0F9037E7-1B59-4D97-BD77-FECC1D617743}"/>
    <cellStyle name="SAPBEXresDataEmph 2 3 5 2" xfId="20058" xr:uid="{8D7D0CF5-6467-4B7E-B64C-5DD124A5AD60}"/>
    <cellStyle name="SAPBEXresDataEmph 2 3 6" xfId="20059" xr:uid="{1A5A89B4-7AE6-4C0F-82DC-E715318FB5B8}"/>
    <cellStyle name="SAPBEXresDataEmph 2 3 6 2" xfId="20060" xr:uid="{E670A500-D126-440D-B3C0-5A9C6CE259E0}"/>
    <cellStyle name="SAPBEXresDataEmph 2 3 7" xfId="20061" xr:uid="{5E4A76AA-11C9-4B83-B552-9B756D4528BC}"/>
    <cellStyle name="SAPBEXresDataEmph 2 4" xfId="20062" xr:uid="{3A07C562-4AA4-41C1-8CFC-0A9804E9F2E0}"/>
    <cellStyle name="SAPBEXresDataEmph 2 4 2" xfId="20063" xr:uid="{64BBE9F2-1A5B-4F7A-B24C-040F7BE1DF16}"/>
    <cellStyle name="SAPBEXresDataEmph 2 5" xfId="20064" xr:uid="{5B0B6FF8-4226-4D92-A4DD-9348FF4028BC}"/>
    <cellStyle name="SAPBEXresDataEmph 2 5 2" xfId="20065" xr:uid="{144AF280-EC62-4F03-BB13-605148A11403}"/>
    <cellStyle name="SAPBEXresDataEmph 2 6" xfId="20066" xr:uid="{4B2972FB-A7E3-4E4C-B8BC-103AF8F147B5}"/>
    <cellStyle name="SAPBEXresDataEmph 2 6 2" xfId="20067" xr:uid="{284C87EC-E8C0-48B8-99DB-32482D82DA45}"/>
    <cellStyle name="SAPBEXresDataEmph 2 7" xfId="20068" xr:uid="{026CE268-1ABE-43C0-9DD1-780C02C03485}"/>
    <cellStyle name="SAPBEXresDataEmph 2 7 2" xfId="20069" xr:uid="{502F67A8-4ED8-4C1C-B03A-50E8A04B9C75}"/>
    <cellStyle name="SAPBEXresDataEmph 2 8" xfId="20070" xr:uid="{742CF0C2-6298-4FB8-98BD-66A82161EAA9}"/>
    <cellStyle name="SAPBEXresDataEmph 2 8 2" xfId="20071" xr:uid="{1808457B-EA5B-48B7-9938-569F6D515308}"/>
    <cellStyle name="SAPBEXresDataEmph 2 9" xfId="20072" xr:uid="{468ED2E1-D6E5-47FA-822F-DBC43914522D}"/>
    <cellStyle name="SAPBEXresDataEmph 2_T1 ANSP" xfId="20037" xr:uid="{533F53D5-0ACB-456F-84E2-2EFFAFD7767C}"/>
    <cellStyle name="SAPBEXresDataEmph 20" xfId="20073" xr:uid="{4843A8C7-5A8C-446E-BC97-C06BA05AA5DB}"/>
    <cellStyle name="SAPBEXresDataEmph 3" xfId="1527" xr:uid="{00000000-0005-0000-0000-0000A8050000}"/>
    <cellStyle name="SAPBEXresDataEmph 3 10" xfId="20075" xr:uid="{59D33265-FEAF-44F3-A980-3657CC9C0B33}"/>
    <cellStyle name="SAPBEXresDataEmph 3 10 2" xfId="20076" xr:uid="{5C1440AA-B08C-455E-8F87-36CE81E3B79F}"/>
    <cellStyle name="SAPBEXresDataEmph 3 11" xfId="20077" xr:uid="{07322BCC-0DDD-437F-ACE3-98446AD60544}"/>
    <cellStyle name="SAPBEXresDataEmph 3 11 2" xfId="20078" xr:uid="{942690E0-D306-4EFC-A88F-9F4A29135B31}"/>
    <cellStyle name="SAPBEXresDataEmph 3 12" xfId="20079" xr:uid="{B6D09172-C798-4332-AF7E-6C6555C42D88}"/>
    <cellStyle name="SAPBEXresDataEmph 3 12 2" xfId="20080" xr:uid="{CA71D43C-032B-45D4-BB03-2DA06CAB368A}"/>
    <cellStyle name="SAPBEXresDataEmph 3 13" xfId="20081" xr:uid="{86835427-8628-49A4-96D0-90BBC88080E2}"/>
    <cellStyle name="SAPBEXresDataEmph 3 13 2" xfId="20082" xr:uid="{08F3B82D-3011-46C3-AB7E-55D4432BE8D3}"/>
    <cellStyle name="SAPBEXresDataEmph 3 14" xfId="20083" xr:uid="{5DA957A9-750F-4D38-91F5-68D590B8657B}"/>
    <cellStyle name="SAPBEXresDataEmph 3 14 2" xfId="20084" xr:uid="{0895F9E7-0E8D-41AA-8315-2A11605E3EEE}"/>
    <cellStyle name="SAPBEXresDataEmph 3 15" xfId="20085" xr:uid="{509EB47B-7434-43BE-A40C-1954BAD3795C}"/>
    <cellStyle name="SAPBEXresDataEmph 3 15 2" xfId="20086" xr:uid="{EE81B75A-3B94-493D-830F-6458138A5EEC}"/>
    <cellStyle name="SAPBEXresDataEmph 3 16" xfId="20087" xr:uid="{5C6EB012-8BB3-451F-B106-95640BE4040C}"/>
    <cellStyle name="SAPBEXresDataEmph 3 16 2" xfId="20088" xr:uid="{BDFA4F95-ABAE-4AC0-8EF6-5DBDDC3AFC4A}"/>
    <cellStyle name="SAPBEXresDataEmph 3 17" xfId="20089" xr:uid="{434003A5-F20C-4E5B-BA2D-F3B3EB734DD0}"/>
    <cellStyle name="SAPBEXresDataEmph 3 17 2" xfId="20090" xr:uid="{52A2C750-9A64-417E-B290-104FAC8E10B1}"/>
    <cellStyle name="SAPBEXresDataEmph 3 18" xfId="20091" xr:uid="{E966CE94-4D2A-4CC6-B6B2-41E2143B3177}"/>
    <cellStyle name="SAPBEXresDataEmph 3 2" xfId="20092" xr:uid="{14A1940D-62DC-4C41-BA60-473C3FC88444}"/>
    <cellStyle name="SAPBEXresDataEmph 3 2 10" xfId="20093" xr:uid="{1F8CB706-1BA1-4EC8-9F99-3DB413D189B8}"/>
    <cellStyle name="SAPBEXresDataEmph 3 2 10 2" xfId="20094" xr:uid="{630A4AA1-49B8-4CDB-8DA5-6A0200929568}"/>
    <cellStyle name="SAPBEXresDataEmph 3 2 11" xfId="20095" xr:uid="{E2CD93D0-6F7A-4B22-9017-958FA7C59595}"/>
    <cellStyle name="SAPBEXresDataEmph 3 2 11 2" xfId="20096" xr:uid="{E9DD61E3-7B87-4A10-90C5-52BC13DAE20E}"/>
    <cellStyle name="SAPBEXresDataEmph 3 2 12" xfId="20097" xr:uid="{0E5DE334-F7C6-42A3-B738-42F292730682}"/>
    <cellStyle name="SAPBEXresDataEmph 3 2 12 2" xfId="20098" xr:uid="{AC0E13E5-25C8-40F7-9C65-8DBBD06C839B}"/>
    <cellStyle name="SAPBEXresDataEmph 3 2 13" xfId="20099" xr:uid="{1CE16E1B-4B1D-447B-801C-2283ABF81106}"/>
    <cellStyle name="SAPBEXresDataEmph 3 2 13 2" xfId="20100" xr:uid="{0463C2A3-9634-4336-A87A-50863A050F55}"/>
    <cellStyle name="SAPBEXresDataEmph 3 2 14" xfId="20101" xr:uid="{73F663D1-04E0-414D-AD1E-71EBFF69BB76}"/>
    <cellStyle name="SAPBEXresDataEmph 3 2 14 2" xfId="20102" xr:uid="{764CF6C9-D1A5-43DF-AA4A-76EE3030383B}"/>
    <cellStyle name="SAPBEXresDataEmph 3 2 15" xfId="20103" xr:uid="{38F50C01-0B72-4F60-AE2C-6DACD795C87E}"/>
    <cellStyle name="SAPBEXresDataEmph 3 2 15 2" xfId="20104" xr:uid="{853FF058-F6D0-4E47-9BE7-F78447075AC3}"/>
    <cellStyle name="SAPBEXresDataEmph 3 2 16" xfId="20105" xr:uid="{49077B2F-BA45-4FB3-B28F-513516AC6F6F}"/>
    <cellStyle name="SAPBEXresDataEmph 3 2 2" xfId="20106" xr:uid="{BAE39B79-EA2D-4CC8-B294-28D1F7BA0462}"/>
    <cellStyle name="SAPBEXresDataEmph 3 2 2 2" xfId="20107" xr:uid="{E1D159AA-3F5B-4543-A484-CCF2C18C1333}"/>
    <cellStyle name="SAPBEXresDataEmph 3 2 3" xfId="20108" xr:uid="{FBED67CB-CA60-46A9-B31C-C913EB7BE0FA}"/>
    <cellStyle name="SAPBEXresDataEmph 3 2 3 2" xfId="20109" xr:uid="{45232F43-93BB-4244-9CF9-6A2A8FD27F9E}"/>
    <cellStyle name="SAPBEXresDataEmph 3 2 4" xfId="20110" xr:uid="{5A857745-4140-473B-869D-559A84935E78}"/>
    <cellStyle name="SAPBEXresDataEmph 3 2 4 2" xfId="20111" xr:uid="{0FD03B7B-AD96-4F76-87C7-EC9F6683462F}"/>
    <cellStyle name="SAPBEXresDataEmph 3 2 5" xfId="20112" xr:uid="{99CE26B3-C185-48D9-B047-98608D7AB19E}"/>
    <cellStyle name="SAPBEXresDataEmph 3 2 5 2" xfId="20113" xr:uid="{0F0EA25B-9D1E-472C-B082-B2851A8233F0}"/>
    <cellStyle name="SAPBEXresDataEmph 3 2 6" xfId="20114" xr:uid="{AB844147-6369-41E4-9618-0C758B54D059}"/>
    <cellStyle name="SAPBEXresDataEmph 3 2 6 2" xfId="20115" xr:uid="{7660EDA5-11B6-4605-8276-9B8D490502F2}"/>
    <cellStyle name="SAPBEXresDataEmph 3 2 7" xfId="20116" xr:uid="{A85E3E2C-B350-41CA-B9BC-111494667B0A}"/>
    <cellStyle name="SAPBEXresDataEmph 3 2 7 2" xfId="20117" xr:uid="{3E5F4867-3E11-46D1-BB71-8A461F0E50C9}"/>
    <cellStyle name="SAPBEXresDataEmph 3 2 8" xfId="20118" xr:uid="{5FBFBA25-8C87-45C0-B877-9258EC488650}"/>
    <cellStyle name="SAPBEXresDataEmph 3 2 8 2" xfId="20119" xr:uid="{4044FC24-AB5E-4DEF-9B3E-4AA08FC82570}"/>
    <cellStyle name="SAPBEXresDataEmph 3 2 9" xfId="20120" xr:uid="{551EC962-89D9-4B54-87AB-63B6D8AD5D1F}"/>
    <cellStyle name="SAPBEXresDataEmph 3 2 9 2" xfId="20121" xr:uid="{BEF2AA30-64B7-4E9A-8C8A-237DCA63E1F8}"/>
    <cellStyle name="SAPBEXresDataEmph 3 3" xfId="20122" xr:uid="{672C935F-B7C7-40DD-906D-326EBBDC067F}"/>
    <cellStyle name="SAPBEXresDataEmph 3 3 10" xfId="20123" xr:uid="{5E75FF0A-C8DE-4427-BE7C-208474AD3555}"/>
    <cellStyle name="SAPBEXresDataEmph 3 3 10 2" xfId="20124" xr:uid="{78ECB25F-D113-4B94-AF9A-2BAA8B678EE7}"/>
    <cellStyle name="SAPBEXresDataEmph 3 3 11" xfId="20125" xr:uid="{41649CA4-A942-4268-971B-A699253A8857}"/>
    <cellStyle name="SAPBEXresDataEmph 3 3 11 2" xfId="20126" xr:uid="{B4C78195-3EB9-4A7D-A1C1-1FACF7F20C1A}"/>
    <cellStyle name="SAPBEXresDataEmph 3 3 12" xfId="20127" xr:uid="{10CE34C5-8231-4047-B219-9B2A861638E8}"/>
    <cellStyle name="SAPBEXresDataEmph 3 3 12 2" xfId="20128" xr:uid="{9714BB86-CE0A-43D8-8660-5F7B73CA5B0D}"/>
    <cellStyle name="SAPBEXresDataEmph 3 3 13" xfId="20129" xr:uid="{F6336249-0182-4CC0-B1A9-9B2ECF64B4B5}"/>
    <cellStyle name="SAPBEXresDataEmph 3 3 13 2" xfId="20130" xr:uid="{D3535F6E-767C-4F0D-BB1A-10932FB25E77}"/>
    <cellStyle name="SAPBEXresDataEmph 3 3 14" xfId="20131" xr:uid="{97F2C99C-1098-4AB1-837B-95D8194DD461}"/>
    <cellStyle name="SAPBEXresDataEmph 3 3 14 2" xfId="20132" xr:uid="{42965DDA-A681-45DD-BC74-5FCD4E391B46}"/>
    <cellStyle name="SAPBEXresDataEmph 3 3 15" xfId="20133" xr:uid="{345A9C43-CCBE-4B39-B39E-44EBCB2BC6CE}"/>
    <cellStyle name="SAPBEXresDataEmph 3 3 15 2" xfId="20134" xr:uid="{D5A13F0A-2DDF-4B2D-A0FB-808B1A122821}"/>
    <cellStyle name="SAPBEXresDataEmph 3 3 16" xfId="20135" xr:uid="{16ACFC28-B884-415B-88A8-93C5AD7BCB67}"/>
    <cellStyle name="SAPBEXresDataEmph 3 3 2" xfId="20136" xr:uid="{2524A314-01A5-4512-A121-CBF2982EFF2B}"/>
    <cellStyle name="SAPBEXresDataEmph 3 3 2 2" xfId="20137" xr:uid="{BB103BA4-3E2F-48C2-8861-8A4B1B3F78B5}"/>
    <cellStyle name="SAPBEXresDataEmph 3 3 3" xfId="20138" xr:uid="{3E9C0EE3-70FB-4013-ACE1-8548CAF707E1}"/>
    <cellStyle name="SAPBEXresDataEmph 3 3 3 2" xfId="20139" xr:uid="{A64B056D-B2E6-40EF-B73F-9FD0BEFA4F74}"/>
    <cellStyle name="SAPBEXresDataEmph 3 3 4" xfId="20140" xr:uid="{E6FC5022-2B51-443B-9807-9D5F5F6038A0}"/>
    <cellStyle name="SAPBEXresDataEmph 3 3 4 2" xfId="20141" xr:uid="{964A21E9-F1A8-4D39-9DB4-ACEE222E9398}"/>
    <cellStyle name="SAPBEXresDataEmph 3 3 5" xfId="20142" xr:uid="{7FFDE4D7-10AD-4A98-9072-23547E1F054C}"/>
    <cellStyle name="SAPBEXresDataEmph 3 3 5 2" xfId="20143" xr:uid="{86AB8A09-5E75-49B5-AD90-10FDFF94616D}"/>
    <cellStyle name="SAPBEXresDataEmph 3 3 6" xfId="20144" xr:uid="{ECD15AB1-B697-4343-86DC-BD2C61218A1B}"/>
    <cellStyle name="SAPBEXresDataEmph 3 3 6 2" xfId="20145" xr:uid="{3E417A47-B5BB-478B-BBD8-DAD95D54A4CB}"/>
    <cellStyle name="SAPBEXresDataEmph 3 3 7" xfId="20146" xr:uid="{AC397963-38DC-4ED1-B801-3A1D7C714411}"/>
    <cellStyle name="SAPBEXresDataEmph 3 3 7 2" xfId="20147" xr:uid="{3FBE3A6C-4A6F-4E61-A0E5-1A879F97119D}"/>
    <cellStyle name="SAPBEXresDataEmph 3 3 8" xfId="20148" xr:uid="{DF5A25DA-4CFE-498A-8E10-62BBC1636697}"/>
    <cellStyle name="SAPBEXresDataEmph 3 3 8 2" xfId="20149" xr:uid="{75FA772A-8C2F-4D0C-85C7-FDD289C969D2}"/>
    <cellStyle name="SAPBEXresDataEmph 3 3 9" xfId="20150" xr:uid="{0280F8E7-6A58-46F7-9D5C-1024FFBC1A2E}"/>
    <cellStyle name="SAPBEXresDataEmph 3 3 9 2" xfId="20151" xr:uid="{BE63C945-9062-4D20-B041-C4FD4D6191BA}"/>
    <cellStyle name="SAPBEXresDataEmph 3 4" xfId="20152" xr:uid="{63FA660E-8260-4B19-954C-5702F73B7FAF}"/>
    <cellStyle name="SAPBEXresDataEmph 3 4 2" xfId="20153" xr:uid="{1D6E2585-2597-4940-9C36-594409753E5D}"/>
    <cellStyle name="SAPBEXresDataEmph 3 5" xfId="20154" xr:uid="{C1B7BBE9-6070-4EE4-85CF-EC4AD0FA43F5}"/>
    <cellStyle name="SAPBEXresDataEmph 3 5 2" xfId="20155" xr:uid="{3260FB65-49BA-4159-95FB-9AD716227F50}"/>
    <cellStyle name="SAPBEXresDataEmph 3 6" xfId="20156" xr:uid="{48421657-3DA7-46CE-88A6-59FB36A2FE27}"/>
    <cellStyle name="SAPBEXresDataEmph 3 6 2" xfId="20157" xr:uid="{848E2489-2040-48F2-8F0E-BA193EA627DA}"/>
    <cellStyle name="SAPBEXresDataEmph 3 7" xfId="20158" xr:uid="{0DC10ACC-1EFE-458D-811A-7397CAF8D24A}"/>
    <cellStyle name="SAPBEXresDataEmph 3 7 2" xfId="20159" xr:uid="{30CB8311-D84F-430F-9763-13820F8B8053}"/>
    <cellStyle name="SAPBEXresDataEmph 3 8" xfId="20160" xr:uid="{A55E2E6D-11C7-4581-9DA2-27E3EEE621FC}"/>
    <cellStyle name="SAPBEXresDataEmph 3 8 2" xfId="20161" xr:uid="{180D5B81-97FF-4342-8C3B-A302B54AB4DD}"/>
    <cellStyle name="SAPBEXresDataEmph 3 9" xfId="20162" xr:uid="{CBE83240-7B7F-48BA-A62A-3D78C43F87B3}"/>
    <cellStyle name="SAPBEXresDataEmph 3 9 2" xfId="20163" xr:uid="{B5EDC38C-65CF-4929-9F95-4F80D61F46B1}"/>
    <cellStyle name="SAPBEXresDataEmph 3_T1 ANSP" xfId="20074" xr:uid="{7A409C53-68CE-4790-81D6-2E12BF41DC7D}"/>
    <cellStyle name="SAPBEXresDataEmph 4" xfId="20164" xr:uid="{387F2A1A-B55A-42B2-ADEB-D338761B2F84}"/>
    <cellStyle name="SAPBEXresDataEmph 4 10" xfId="20165" xr:uid="{4C905CE3-793F-485F-B6FC-2AF0D06C0FE2}"/>
    <cellStyle name="SAPBEXresDataEmph 4 10 2" xfId="20166" xr:uid="{ECAE0059-D6C0-4E66-AEFF-AAEDA6EA45A9}"/>
    <cellStyle name="SAPBEXresDataEmph 4 11" xfId="20167" xr:uid="{673CCEA0-7500-4125-A3F0-A2287F6271FE}"/>
    <cellStyle name="SAPBEXresDataEmph 4 11 2" xfId="20168" xr:uid="{E5031CDD-8E42-414F-AAAE-5451CD313988}"/>
    <cellStyle name="SAPBEXresDataEmph 4 12" xfId="20169" xr:uid="{F58DAF22-5273-45A8-B593-37A0E48680B6}"/>
    <cellStyle name="SAPBEXresDataEmph 4 12 2" xfId="20170" xr:uid="{3CE7DAF8-9AEA-4BC9-A452-111194D02060}"/>
    <cellStyle name="SAPBEXresDataEmph 4 13" xfId="20171" xr:uid="{B251ECBC-1323-4C9A-9D52-8E81A94A8C69}"/>
    <cellStyle name="SAPBEXresDataEmph 4 13 2" xfId="20172" xr:uid="{72E193E7-93D1-482D-ADF2-30BE844EE38C}"/>
    <cellStyle name="SAPBEXresDataEmph 4 14" xfId="20173" xr:uid="{F24EA9D6-46B7-41E7-936B-416DA59524F2}"/>
    <cellStyle name="SAPBEXresDataEmph 4 14 2" xfId="20174" xr:uid="{08B0312F-3C56-4353-8B5B-2317E4152D59}"/>
    <cellStyle name="SAPBEXresDataEmph 4 15" xfId="20175" xr:uid="{99FADD6D-89A7-4A66-AF95-9175A4B9C93D}"/>
    <cellStyle name="SAPBEXresDataEmph 4 15 2" xfId="20176" xr:uid="{CEEBE478-167D-47E7-8F93-986BD4F0A64D}"/>
    <cellStyle name="SAPBEXresDataEmph 4 16" xfId="20177" xr:uid="{175CF2F6-E8DD-4E00-88F8-3937370D5D2D}"/>
    <cellStyle name="SAPBEXresDataEmph 4 16 2" xfId="20178" xr:uid="{5085793C-A753-4B29-9B11-3AF258B432F9}"/>
    <cellStyle name="SAPBEXresDataEmph 4 17" xfId="20179" xr:uid="{EE2AACA9-732B-4791-B66F-D787D96ABB6D}"/>
    <cellStyle name="SAPBEXresDataEmph 4 17 2" xfId="20180" xr:uid="{085C6004-FAAC-454B-A1B8-D4F7D3066E99}"/>
    <cellStyle name="SAPBEXresDataEmph 4 18" xfId="20181" xr:uid="{9D219162-9B60-4B08-A1A8-1195447C7255}"/>
    <cellStyle name="SAPBEXresDataEmph 4 2" xfId="20182" xr:uid="{761EDAA9-55B7-4CEE-9FB0-ACB0AB9FFF71}"/>
    <cellStyle name="SAPBEXresDataEmph 4 2 10" xfId="20183" xr:uid="{E32A1642-C42E-4586-A549-771B96D5DA22}"/>
    <cellStyle name="SAPBEXresDataEmph 4 2 10 2" xfId="20184" xr:uid="{6EC171C1-0EDF-45AE-AD47-1A0878714867}"/>
    <cellStyle name="SAPBEXresDataEmph 4 2 11" xfId="20185" xr:uid="{08813274-FBFA-4119-AC71-1AFA2C16BEEF}"/>
    <cellStyle name="SAPBEXresDataEmph 4 2 11 2" xfId="20186" xr:uid="{B8EB5741-3934-4A54-8580-F2FA4C4884B5}"/>
    <cellStyle name="SAPBEXresDataEmph 4 2 12" xfId="20187" xr:uid="{9514037D-8C74-4F5C-AB55-ADC261CFB999}"/>
    <cellStyle name="SAPBEXresDataEmph 4 2 12 2" xfId="20188" xr:uid="{4EC21063-ACA1-4A39-B5AB-76FC5380597E}"/>
    <cellStyle name="SAPBEXresDataEmph 4 2 13" xfId="20189" xr:uid="{EBABCDDA-764F-48E9-B411-4FEB8984D2BF}"/>
    <cellStyle name="SAPBEXresDataEmph 4 2 13 2" xfId="20190" xr:uid="{475F8A31-EAAA-447B-80E7-4EDC910CDC7F}"/>
    <cellStyle name="SAPBEXresDataEmph 4 2 14" xfId="20191" xr:uid="{CDB75859-C3E6-41EB-89CF-02C21E99EA0A}"/>
    <cellStyle name="SAPBEXresDataEmph 4 2 14 2" xfId="20192" xr:uid="{384B5BD7-38B5-4B79-AD8E-9FD817ECFD56}"/>
    <cellStyle name="SAPBEXresDataEmph 4 2 15" xfId="20193" xr:uid="{6684ADDA-873A-41A8-AE74-BFDFA1A986AD}"/>
    <cellStyle name="SAPBEXresDataEmph 4 2 15 2" xfId="20194" xr:uid="{C7138BB0-045A-4581-BE5B-A3D0C669274D}"/>
    <cellStyle name="SAPBEXresDataEmph 4 2 16" xfId="20195" xr:uid="{D8639CED-927C-4A01-A928-4B977475417C}"/>
    <cellStyle name="SAPBEXresDataEmph 4 2 2" xfId="20196" xr:uid="{2D3FBB25-2CE9-432D-9293-775360485A29}"/>
    <cellStyle name="SAPBEXresDataEmph 4 2 2 2" xfId="20197" xr:uid="{20CD6CA8-E3AC-478C-9468-3AD5C30D76C0}"/>
    <cellStyle name="SAPBEXresDataEmph 4 2 3" xfId="20198" xr:uid="{7153CE78-7A4C-4050-80EC-A669F195A013}"/>
    <cellStyle name="SAPBEXresDataEmph 4 2 3 2" xfId="20199" xr:uid="{A75D3C8F-1A7C-4028-BBC0-F8E014C8EA70}"/>
    <cellStyle name="SAPBEXresDataEmph 4 2 4" xfId="20200" xr:uid="{4C424EAE-ACF6-4BBA-8700-1AB5F835F043}"/>
    <cellStyle name="SAPBEXresDataEmph 4 2 4 2" xfId="20201" xr:uid="{9088C018-6239-43A3-81CC-39737BDE2F4F}"/>
    <cellStyle name="SAPBEXresDataEmph 4 2 5" xfId="20202" xr:uid="{68FFCF07-DB76-4577-803A-8B370A4C90CF}"/>
    <cellStyle name="SAPBEXresDataEmph 4 2 5 2" xfId="20203" xr:uid="{1DA08F3E-ADEE-4FFE-8D9C-66E5849D6088}"/>
    <cellStyle name="SAPBEXresDataEmph 4 2 6" xfId="20204" xr:uid="{A8EED721-92E7-4FDE-8CD3-9243ECFEA4B7}"/>
    <cellStyle name="SAPBEXresDataEmph 4 2 6 2" xfId="20205" xr:uid="{0E414A70-8057-4C43-B8E4-9CD8F56CB217}"/>
    <cellStyle name="SAPBEXresDataEmph 4 2 7" xfId="20206" xr:uid="{E3632E50-557F-43EA-A337-A3A6F8917340}"/>
    <cellStyle name="SAPBEXresDataEmph 4 2 7 2" xfId="20207" xr:uid="{71EF464B-3C84-4DC9-9D46-977F8AD1F5B3}"/>
    <cellStyle name="SAPBEXresDataEmph 4 2 8" xfId="20208" xr:uid="{99D1D17F-97D6-4ACE-BD83-C8D13B0B57A9}"/>
    <cellStyle name="SAPBEXresDataEmph 4 2 8 2" xfId="20209" xr:uid="{182D5435-A158-49E4-8659-9D5FC17381F5}"/>
    <cellStyle name="SAPBEXresDataEmph 4 2 9" xfId="20210" xr:uid="{1EB2FFC0-B709-4C20-A0F8-0B2DD046262D}"/>
    <cellStyle name="SAPBEXresDataEmph 4 2 9 2" xfId="20211" xr:uid="{F984B3DD-B7FF-46E0-9E74-48CC0E2956D2}"/>
    <cellStyle name="SAPBEXresDataEmph 4 3" xfId="20212" xr:uid="{3283EDD4-92E6-41FE-9374-C9EEC703EEAA}"/>
    <cellStyle name="SAPBEXresDataEmph 4 3 10" xfId="20213" xr:uid="{F2A11DB9-8A32-4EF1-8912-266B6B349436}"/>
    <cellStyle name="SAPBEXresDataEmph 4 3 10 2" xfId="20214" xr:uid="{C9C2ECB7-849B-4401-A9D2-33ACA53CEC83}"/>
    <cellStyle name="SAPBEXresDataEmph 4 3 11" xfId="20215" xr:uid="{9A3B88A6-7659-49CF-99B2-F198D4C18599}"/>
    <cellStyle name="SAPBEXresDataEmph 4 3 11 2" xfId="20216" xr:uid="{6E0E3AC5-63ED-4DC1-A7FB-0F84FB77F671}"/>
    <cellStyle name="SAPBEXresDataEmph 4 3 12" xfId="20217" xr:uid="{5C38430E-80AB-4F6D-9CC3-2AA4C1190D8E}"/>
    <cellStyle name="SAPBEXresDataEmph 4 3 12 2" xfId="20218" xr:uid="{B9767DC1-9AD5-407B-A541-BAB744805088}"/>
    <cellStyle name="SAPBEXresDataEmph 4 3 13" xfId="20219" xr:uid="{6A4167B5-4081-4E5C-A5DC-A09A4E5E3D35}"/>
    <cellStyle name="SAPBEXresDataEmph 4 3 13 2" xfId="20220" xr:uid="{73C90670-43FF-42F1-BF05-BBEEC5EFC0D9}"/>
    <cellStyle name="SAPBEXresDataEmph 4 3 14" xfId="20221" xr:uid="{F185E40F-09D8-43BA-A63D-71E232BDA6A3}"/>
    <cellStyle name="SAPBEXresDataEmph 4 3 14 2" xfId="20222" xr:uid="{080A14BF-AAB1-4ABC-9196-77FCDB9F559B}"/>
    <cellStyle name="SAPBEXresDataEmph 4 3 15" xfId="20223" xr:uid="{7C5D3FC2-8153-477B-B330-FF901C9C9A56}"/>
    <cellStyle name="SAPBEXresDataEmph 4 3 15 2" xfId="20224" xr:uid="{486EBA92-147E-4FF7-B684-6656FFB56822}"/>
    <cellStyle name="SAPBEXresDataEmph 4 3 16" xfId="20225" xr:uid="{BD1FD3DD-AC67-4934-999E-0E1AD0AFCB55}"/>
    <cellStyle name="SAPBEXresDataEmph 4 3 2" xfId="20226" xr:uid="{86BD31F6-20C4-4DA1-946C-72E6A07BEC0E}"/>
    <cellStyle name="SAPBEXresDataEmph 4 3 2 2" xfId="20227" xr:uid="{2DF5405D-A85B-4904-99F3-1D8D39F8B15B}"/>
    <cellStyle name="SAPBEXresDataEmph 4 3 3" xfId="20228" xr:uid="{CFE44718-EC21-4954-A666-31E793C5150B}"/>
    <cellStyle name="SAPBEXresDataEmph 4 3 3 2" xfId="20229" xr:uid="{8BBA5187-9F39-4B17-A33E-49EAF6DC681E}"/>
    <cellStyle name="SAPBEXresDataEmph 4 3 4" xfId="20230" xr:uid="{6CCA430E-3497-4C6D-842C-FD96FE219F12}"/>
    <cellStyle name="SAPBEXresDataEmph 4 3 4 2" xfId="20231" xr:uid="{3A4E7A6A-9023-4CFE-94A8-7EAD08EB71D1}"/>
    <cellStyle name="SAPBEXresDataEmph 4 3 5" xfId="20232" xr:uid="{33916052-2D51-4052-8C17-B796607B3D13}"/>
    <cellStyle name="SAPBEXresDataEmph 4 3 5 2" xfId="20233" xr:uid="{8F76D851-2BA9-4821-B81E-83C0838C1F55}"/>
    <cellStyle name="SAPBEXresDataEmph 4 3 6" xfId="20234" xr:uid="{60F2D8D1-A68D-40F8-B55C-11FBF841D63A}"/>
    <cellStyle name="SAPBEXresDataEmph 4 3 6 2" xfId="20235" xr:uid="{0AE07090-B005-4834-BF67-EE9C32C80574}"/>
    <cellStyle name="SAPBEXresDataEmph 4 3 7" xfId="20236" xr:uid="{701956FB-6390-4501-903C-54FA15659079}"/>
    <cellStyle name="SAPBEXresDataEmph 4 3 7 2" xfId="20237" xr:uid="{6DF024AC-784F-479C-971A-A449EC4A5AB3}"/>
    <cellStyle name="SAPBEXresDataEmph 4 3 8" xfId="20238" xr:uid="{59815BEA-56B2-4A94-B943-C9C65D161A62}"/>
    <cellStyle name="SAPBEXresDataEmph 4 3 8 2" xfId="20239" xr:uid="{93E5B4B1-811D-4464-B67C-EBE3332DE238}"/>
    <cellStyle name="SAPBEXresDataEmph 4 3 9" xfId="20240" xr:uid="{7E5C2223-8B8B-48DD-A8A6-CC72AA178E01}"/>
    <cellStyle name="SAPBEXresDataEmph 4 3 9 2" xfId="20241" xr:uid="{34D9F5C2-0E23-40E7-BB12-59FB79CAEAE8}"/>
    <cellStyle name="SAPBEXresDataEmph 4 4" xfId="20242" xr:uid="{EE345AFB-B7E4-41C9-8AB3-C780D6A02D32}"/>
    <cellStyle name="SAPBEXresDataEmph 4 4 2" xfId="20243" xr:uid="{73673E53-36F8-44DF-AD0B-9FB896B2BCB5}"/>
    <cellStyle name="SAPBEXresDataEmph 4 5" xfId="20244" xr:uid="{FE266DC5-7902-4AD5-9175-6542A8B1F3FB}"/>
    <cellStyle name="SAPBEXresDataEmph 4 5 2" xfId="20245" xr:uid="{A47D2BBF-2EDB-47EA-89A5-9A965B8FFE84}"/>
    <cellStyle name="SAPBEXresDataEmph 4 6" xfId="20246" xr:uid="{CA7A3869-AB7F-4906-A9F3-869CB5D80FBA}"/>
    <cellStyle name="SAPBEXresDataEmph 4 6 2" xfId="20247" xr:uid="{A1FAA629-610C-428A-8A88-74FB2D56E2B2}"/>
    <cellStyle name="SAPBEXresDataEmph 4 7" xfId="20248" xr:uid="{E845962E-B5BC-4C54-A540-DCD10979CCB3}"/>
    <cellStyle name="SAPBEXresDataEmph 4 7 2" xfId="20249" xr:uid="{FD414335-9BFD-4B07-BFA7-0B98EAAFE054}"/>
    <cellStyle name="SAPBEXresDataEmph 4 8" xfId="20250" xr:uid="{275B5DD2-2A7D-4BE0-944D-FC2A6F3DDEC1}"/>
    <cellStyle name="SAPBEXresDataEmph 4 8 2" xfId="20251" xr:uid="{E9C1B915-3EA5-4318-BADA-86BDB1CB53E6}"/>
    <cellStyle name="SAPBEXresDataEmph 4 9" xfId="20252" xr:uid="{48EF2CFF-84AF-4630-AE34-0979EDE45B6D}"/>
    <cellStyle name="SAPBEXresDataEmph 4 9 2" xfId="20253" xr:uid="{B62D5591-000C-40B8-8219-BD26C1630EC2}"/>
    <cellStyle name="SAPBEXresDataEmph 5" xfId="20254" xr:uid="{5B9C6108-4112-4F25-80F6-6CA5BAC6FE29}"/>
    <cellStyle name="SAPBEXresDataEmph 5 10" xfId="20255" xr:uid="{E48878B3-F749-4A12-93BC-5D469077683D}"/>
    <cellStyle name="SAPBEXresDataEmph 5 10 2" xfId="20256" xr:uid="{3A832DAF-D3B1-470E-B18E-87644C7653ED}"/>
    <cellStyle name="SAPBEXresDataEmph 5 11" xfId="20257" xr:uid="{0BE13C24-1A63-45B5-B2A0-FB18B7CD1E01}"/>
    <cellStyle name="SAPBEXresDataEmph 5 11 2" xfId="20258" xr:uid="{F4653648-146B-4FC4-95D9-6D71D7DE42E2}"/>
    <cellStyle name="SAPBEXresDataEmph 5 12" xfId="20259" xr:uid="{80632EF9-50F7-4D07-B2DC-4224A45DD88C}"/>
    <cellStyle name="SAPBEXresDataEmph 5 12 2" xfId="20260" xr:uid="{3A8F6C10-B64B-45E9-BAD4-DAA2852FFE3B}"/>
    <cellStyle name="SAPBEXresDataEmph 5 13" xfId="20261" xr:uid="{097C0F66-F6B4-4C61-B4B6-01E802B2EC47}"/>
    <cellStyle name="SAPBEXresDataEmph 5 13 2" xfId="20262" xr:uid="{1FC612B0-00D0-4638-A093-F127532236FB}"/>
    <cellStyle name="SAPBEXresDataEmph 5 14" xfId="20263" xr:uid="{57A3D64D-C326-4C2B-AD11-70076CD1AC9D}"/>
    <cellStyle name="SAPBEXresDataEmph 5 14 2" xfId="20264" xr:uid="{3EE3A0F5-4541-468E-9340-46A619667AB8}"/>
    <cellStyle name="SAPBEXresDataEmph 5 15" xfId="20265" xr:uid="{34AE3E7C-8437-4FAE-9872-B5AE427AC41C}"/>
    <cellStyle name="SAPBEXresDataEmph 5 15 2" xfId="20266" xr:uid="{62C63286-7395-4AFB-BB8C-24E97EC54571}"/>
    <cellStyle name="SAPBEXresDataEmph 5 16" xfId="20267" xr:uid="{7EF19744-651B-405E-AB32-3E2EECA432EB}"/>
    <cellStyle name="SAPBEXresDataEmph 5 2" xfId="20268" xr:uid="{784E59F9-EA1E-4123-A2F9-6BBC32D12E9B}"/>
    <cellStyle name="SAPBEXresDataEmph 5 2 2" xfId="20269" xr:uid="{B18ECDF6-A407-498B-923B-015D333961A7}"/>
    <cellStyle name="SAPBEXresDataEmph 5 3" xfId="20270" xr:uid="{3E78F1B2-FEF3-4D8D-A57C-393092C8FC52}"/>
    <cellStyle name="SAPBEXresDataEmph 5 3 2" xfId="20271" xr:uid="{12CEB055-6F6E-4D86-9D5D-3D69EA013CA6}"/>
    <cellStyle name="SAPBEXresDataEmph 5 4" xfId="20272" xr:uid="{E60FC448-415A-4D07-92F1-4B22E3B68C95}"/>
    <cellStyle name="SAPBEXresDataEmph 5 4 2" xfId="20273" xr:uid="{B67FD1BC-8675-4DDE-A171-BB3C05E6EC19}"/>
    <cellStyle name="SAPBEXresDataEmph 5 5" xfId="20274" xr:uid="{D8CA4129-9803-418F-8DC5-CA51D04F44C5}"/>
    <cellStyle name="SAPBEXresDataEmph 5 5 2" xfId="20275" xr:uid="{BE8D712D-1322-4531-B49C-8C50F9D9884A}"/>
    <cellStyle name="SAPBEXresDataEmph 5 6" xfId="20276" xr:uid="{7750E128-F71F-48E5-B8F2-4DC82B35768C}"/>
    <cellStyle name="SAPBEXresDataEmph 5 6 2" xfId="20277" xr:uid="{D9F68DB3-2F97-480F-84EC-63A7142EDC19}"/>
    <cellStyle name="SAPBEXresDataEmph 5 7" xfId="20278" xr:uid="{3E6C5D08-2085-4A54-8354-AF27BCB7F02B}"/>
    <cellStyle name="SAPBEXresDataEmph 5 7 2" xfId="20279" xr:uid="{E6A76971-96E4-46AA-AEFE-1DED255EF79F}"/>
    <cellStyle name="SAPBEXresDataEmph 5 8" xfId="20280" xr:uid="{660DF3EC-67A4-4F0C-859D-52D9E0EE7FA6}"/>
    <cellStyle name="SAPBEXresDataEmph 5 8 2" xfId="20281" xr:uid="{960E2B48-C1A8-4DED-9AA3-A6E444623928}"/>
    <cellStyle name="SAPBEXresDataEmph 5 9" xfId="20282" xr:uid="{9E448240-92FA-4E10-A65C-5D88CC87F09C}"/>
    <cellStyle name="SAPBEXresDataEmph 5 9 2" xfId="20283" xr:uid="{0A09403B-7AD6-4C37-8BF7-5D37A5033DF5}"/>
    <cellStyle name="SAPBEXresDataEmph 6" xfId="20284" xr:uid="{BA3D42E5-7FF6-4706-A587-2A56D70244E4}"/>
    <cellStyle name="SAPBEXresDataEmph 6 2" xfId="20285" xr:uid="{7F05B8CF-FEB5-4418-9101-D931A64D7CFE}"/>
    <cellStyle name="SAPBEXresDataEmph 7" xfId="20286" xr:uid="{428AABBC-A8A7-47E1-AB3C-F9386C7EA896}"/>
    <cellStyle name="SAPBEXresDataEmph 7 2" xfId="20287" xr:uid="{527A2C1A-FD12-443A-9A18-6CC49D6903F3}"/>
    <cellStyle name="SAPBEXresDataEmph 8" xfId="20288" xr:uid="{EC64A341-8B6A-40D7-91B8-F72996DA7633}"/>
    <cellStyle name="SAPBEXresDataEmph 8 2" xfId="20289" xr:uid="{3DC197E2-1D7E-45A7-976A-D4AC8800213B}"/>
    <cellStyle name="SAPBEXresDataEmph 9" xfId="20290" xr:uid="{053C2F9F-675D-4273-8B64-EAF3014844F3}"/>
    <cellStyle name="SAPBEXresDataEmph 9 2" xfId="20291" xr:uid="{8C9AA295-7B4C-442F-A10C-CB43107F6134}"/>
    <cellStyle name="SAPBEXresDataEmph_T1 ANSP" xfId="20016" xr:uid="{C6A93591-ED3D-4918-B539-78B1CA9276A3}"/>
    <cellStyle name="SAPBEXresItem" xfId="756" xr:uid="{00000000-0005-0000-0000-0000A9050000}"/>
    <cellStyle name="SAPBEXresItem 10" xfId="20293" xr:uid="{8317257E-DEF1-4726-A25E-9609EEE61A13}"/>
    <cellStyle name="SAPBEXresItem 10 2" xfId="20294" xr:uid="{09104989-AE36-43D0-B0D0-8B1B13454C09}"/>
    <cellStyle name="SAPBEXresItem 11" xfId="20295" xr:uid="{51FEAE20-6131-4FD0-B246-8BC6BF055362}"/>
    <cellStyle name="SAPBEXresItem 11 2" xfId="20296" xr:uid="{5066EF8B-ED0A-428E-818D-BC0871B9A4AD}"/>
    <cellStyle name="SAPBEXresItem 12" xfId="20297" xr:uid="{FCA6BFE8-8053-44BA-AB9A-2F0174A2E335}"/>
    <cellStyle name="SAPBEXresItem 12 2" xfId="20298" xr:uid="{C300E2AC-6720-4C23-BD9C-7DDA1D1B5792}"/>
    <cellStyle name="SAPBEXresItem 13" xfId="20299" xr:uid="{E9D4897B-7F02-4318-B47C-8491D86D62CE}"/>
    <cellStyle name="SAPBEXresItem 13 2" xfId="20300" xr:uid="{3D14ECB8-DC5C-4EBD-B5B0-91931FDA2FC2}"/>
    <cellStyle name="SAPBEXresItem 14" xfId="20301" xr:uid="{0DE8FF7F-BA53-4AB5-9AE7-24FDE306F18C}"/>
    <cellStyle name="SAPBEXresItem 14 2" xfId="20302" xr:uid="{5EEE84EF-5ACD-4A49-93FD-C1C726F160B3}"/>
    <cellStyle name="SAPBEXresItem 15" xfId="20303" xr:uid="{9527CEA1-4567-42F0-8E1A-6E3D065DFCF0}"/>
    <cellStyle name="SAPBEXresItem 15 2" xfId="20304" xr:uid="{52CF315B-9D9A-456E-9644-42E36AB38E7B}"/>
    <cellStyle name="SAPBEXresItem 16" xfId="20305" xr:uid="{01635B42-4292-4C20-9293-785178D7E62D}"/>
    <cellStyle name="SAPBEXresItem 16 2" xfId="20306" xr:uid="{F8CB9830-6E31-4A76-BA5E-BCB62A054C8F}"/>
    <cellStyle name="SAPBEXresItem 17" xfId="20307" xr:uid="{824BEC6F-6DC8-4F3E-9B19-643959735A49}"/>
    <cellStyle name="SAPBEXresItem 17 2" xfId="20308" xr:uid="{74143FFF-ABCA-4735-A93D-6798DBAEBBB2}"/>
    <cellStyle name="SAPBEXresItem 18" xfId="20309" xr:uid="{9DCB318B-89C0-4B49-9177-E35287BC4EBC}"/>
    <cellStyle name="SAPBEXresItem 18 2" xfId="20310" xr:uid="{4CB71300-95EB-4CD2-9817-0654A7D44C76}"/>
    <cellStyle name="SAPBEXresItem 19" xfId="20311" xr:uid="{FC6CA82E-B0D6-44D8-9163-3EB0E122865A}"/>
    <cellStyle name="SAPBEXresItem 19 2" xfId="20312" xr:uid="{9D5526DD-D68C-4DA5-BFC6-84132C632EDE}"/>
    <cellStyle name="SAPBEXresItem 2" xfId="1570" xr:uid="{00000000-0005-0000-0000-0000AA050000}"/>
    <cellStyle name="SAPBEXresItem 2 10" xfId="20314" xr:uid="{06412EEC-F31E-4516-AABD-A7516731724E}"/>
    <cellStyle name="SAPBEXresItem 2 10 2" xfId="20315" xr:uid="{3DFE7EFC-216D-42C8-B608-8CAC5204AE8D}"/>
    <cellStyle name="SAPBEXresItem 2 11" xfId="20316" xr:uid="{F8937187-71CF-44B4-8E5F-D35F69CC2E14}"/>
    <cellStyle name="SAPBEXresItem 2 11 2" xfId="20317" xr:uid="{1DEA5C6E-0BE1-455A-8715-6B795BCF6AD0}"/>
    <cellStyle name="SAPBEXresItem 2 12" xfId="20318" xr:uid="{5C86561C-E2D4-443D-8DC5-617663314A2B}"/>
    <cellStyle name="SAPBEXresItem 2 12 2" xfId="20319" xr:uid="{CBC35CA6-440C-4071-8B9D-D35E835A92C3}"/>
    <cellStyle name="SAPBEXresItem 2 13" xfId="20320" xr:uid="{04497314-F6FC-4492-95EB-77D760240DED}"/>
    <cellStyle name="SAPBEXresItem 2 13 2" xfId="20321" xr:uid="{4FD88BB8-0D3F-4470-AA52-D36614D6179C}"/>
    <cellStyle name="SAPBEXresItem 2 14" xfId="20322" xr:uid="{325A3FCE-62CE-480E-B706-A2809C4F0F39}"/>
    <cellStyle name="SAPBEXresItem 2 14 2" xfId="20323" xr:uid="{73E1F3FE-BE3B-44CE-9FEC-D710DCF898DC}"/>
    <cellStyle name="SAPBEXresItem 2 15" xfId="20324" xr:uid="{5C9491A2-EEF4-4279-B8CF-5E1BABD2149F}"/>
    <cellStyle name="SAPBEXresItem 2 15 2" xfId="20325" xr:uid="{D44AD4F6-BA5A-4D48-96DA-E0723E483AEF}"/>
    <cellStyle name="SAPBEXresItem 2 16" xfId="20326" xr:uid="{26A937F3-C7A5-4FBF-9A25-980AE3D314A3}"/>
    <cellStyle name="SAPBEXresItem 2 16 2" xfId="20327" xr:uid="{850B6194-BED8-45F3-AEB5-F5D398E9E6B3}"/>
    <cellStyle name="SAPBEXresItem 2 17" xfId="20328" xr:uid="{ECE38EE0-F42E-406D-8F2D-0392C937F115}"/>
    <cellStyle name="SAPBEXresItem 2 17 2" xfId="20329" xr:uid="{E919EB4B-743C-45D0-AED5-DDF390AACFBE}"/>
    <cellStyle name="SAPBEXresItem 2 18" xfId="20330" xr:uid="{F05DF050-DB71-4B13-B76E-2BAA215786A5}"/>
    <cellStyle name="SAPBEXresItem 2 2" xfId="20331" xr:uid="{688EF2E9-26DC-497D-8553-D0702225732E}"/>
    <cellStyle name="SAPBEXresItem 2 2 10" xfId="20332" xr:uid="{946469A2-7B02-4BD7-9B3C-DDD4A264171E}"/>
    <cellStyle name="SAPBEXresItem 2 2 10 2" xfId="20333" xr:uid="{EFB720C3-6DB3-4B95-84AB-465815AB9920}"/>
    <cellStyle name="SAPBEXresItem 2 2 11" xfId="20334" xr:uid="{E4BDEE52-AEBF-4F7C-8ADC-DC80ED6E5491}"/>
    <cellStyle name="SAPBEXresItem 2 2 11 2" xfId="20335" xr:uid="{2EDC763C-A780-4DFE-9EF5-EDA9203BDD4F}"/>
    <cellStyle name="SAPBEXresItem 2 2 12" xfId="20336" xr:uid="{E7D7B27F-CC9A-445B-867D-659163BAEC8E}"/>
    <cellStyle name="SAPBEXresItem 2 2 12 2" xfId="20337" xr:uid="{A6442AE0-F3FA-45BA-AF04-0C659CBA9A1F}"/>
    <cellStyle name="SAPBEXresItem 2 2 13" xfId="20338" xr:uid="{74DCCA25-EBFF-45E2-9269-EC06E51CB993}"/>
    <cellStyle name="SAPBEXresItem 2 2 13 2" xfId="20339" xr:uid="{2384AB02-70A5-4B55-B72D-39900AF8288A}"/>
    <cellStyle name="SAPBEXresItem 2 2 14" xfId="20340" xr:uid="{63B8D187-52BD-465F-9A6C-FB6305A1D905}"/>
    <cellStyle name="SAPBEXresItem 2 2 14 2" xfId="20341" xr:uid="{616B4F7F-4EB2-499D-BCC8-B5A90C4DF652}"/>
    <cellStyle name="SAPBEXresItem 2 2 15" xfId="20342" xr:uid="{F330685C-A40F-4407-941E-3CAB127FE6E7}"/>
    <cellStyle name="SAPBEXresItem 2 2 15 2" xfId="20343" xr:uid="{C20DBB5F-E4DF-4E7C-B38D-F09D7E05F6F3}"/>
    <cellStyle name="SAPBEXresItem 2 2 16" xfId="20344" xr:uid="{ABAF5B8F-F0F1-4FB9-A1E9-9EC13A668E3F}"/>
    <cellStyle name="SAPBEXresItem 2 2 16 2" xfId="20345" xr:uid="{EA25AF1A-138B-4345-8BC8-80E0E4723B9C}"/>
    <cellStyle name="SAPBEXresItem 2 2 17" xfId="20346" xr:uid="{B8A3F27D-352E-4839-BFAB-430276B373FD}"/>
    <cellStyle name="SAPBEXresItem 2 2 17 2" xfId="20347" xr:uid="{DA18816B-0136-44FA-A544-00316B3892C2}"/>
    <cellStyle name="SAPBEXresItem 2 2 18" xfId="20348" xr:uid="{EBA4AAAF-E516-4CF8-B0BA-8FB6B57782C8}"/>
    <cellStyle name="SAPBEXresItem 2 2 2" xfId="20349" xr:uid="{D50CD4B7-13DD-4D68-8868-FEDECE252A46}"/>
    <cellStyle name="SAPBEXresItem 2 2 2 10" xfId="20350" xr:uid="{19DEBEE8-F41B-4BB5-9F36-205DD5273585}"/>
    <cellStyle name="SAPBEXresItem 2 2 2 10 2" xfId="20351" xr:uid="{DC4FCF30-3A03-4447-9904-0D8A234C6059}"/>
    <cellStyle name="SAPBEXresItem 2 2 2 11" xfId="20352" xr:uid="{EED0709B-C0E5-44B8-A270-98E3D628D77E}"/>
    <cellStyle name="SAPBEXresItem 2 2 2 11 2" xfId="20353" xr:uid="{51539E6B-B8AA-461D-A26F-5AF358F813D0}"/>
    <cellStyle name="SAPBEXresItem 2 2 2 12" xfId="20354" xr:uid="{1F0E1EF0-05CB-46C4-956B-15F1D8F228F0}"/>
    <cellStyle name="SAPBEXresItem 2 2 2 12 2" xfId="20355" xr:uid="{905DF2B9-3475-47DB-9487-0D9E74D244D0}"/>
    <cellStyle name="SAPBEXresItem 2 2 2 13" xfId="20356" xr:uid="{A9C1FF16-0246-4199-83A9-CF8488BDC8E3}"/>
    <cellStyle name="SAPBEXresItem 2 2 2 13 2" xfId="20357" xr:uid="{F7A51D21-38BA-4744-9C19-F34712C7BD1D}"/>
    <cellStyle name="SAPBEXresItem 2 2 2 14" xfId="20358" xr:uid="{A0CE2A42-E62D-43E4-A7C7-65DC2EB599EE}"/>
    <cellStyle name="SAPBEXresItem 2 2 2 14 2" xfId="20359" xr:uid="{12E9D16B-1B04-4B0E-9851-7CB657D171D1}"/>
    <cellStyle name="SAPBEXresItem 2 2 2 15" xfId="20360" xr:uid="{5ACA3BD1-7EA1-427B-BE61-30DD5061C2AF}"/>
    <cellStyle name="SAPBEXresItem 2 2 2 15 2" xfId="20361" xr:uid="{C64D736F-478B-4141-8585-C6B8427C6097}"/>
    <cellStyle name="SAPBEXresItem 2 2 2 16" xfId="20362" xr:uid="{AA90A86D-7CDF-4835-9CA5-010F9F4E6C50}"/>
    <cellStyle name="SAPBEXresItem 2 2 2 2" xfId="20363" xr:uid="{0D00CCCA-69AB-4BA0-99E1-29504B9F04E8}"/>
    <cellStyle name="SAPBEXresItem 2 2 2 2 2" xfId="20364" xr:uid="{E4A38155-FFC5-4768-9536-C8E3C9AB007A}"/>
    <cellStyle name="SAPBEXresItem 2 2 2 3" xfId="20365" xr:uid="{18FD05A7-C883-4B0C-BE42-90F56145C5D1}"/>
    <cellStyle name="SAPBEXresItem 2 2 2 3 2" xfId="20366" xr:uid="{FCCDF4F5-6D57-4A02-9A79-BD273A137735}"/>
    <cellStyle name="SAPBEXresItem 2 2 2 4" xfId="20367" xr:uid="{8B698D0D-EEE7-4D27-AC42-A351B5B32D3A}"/>
    <cellStyle name="SAPBEXresItem 2 2 2 4 2" xfId="20368" xr:uid="{4815DBEA-DD4E-46F0-803E-CD9B6057EEF8}"/>
    <cellStyle name="SAPBEXresItem 2 2 2 5" xfId="20369" xr:uid="{135F2C7D-5EA4-4B80-BC67-7EAA9727497A}"/>
    <cellStyle name="SAPBEXresItem 2 2 2 5 2" xfId="20370" xr:uid="{A5CEE9CC-25C0-4494-89BF-7903B29738C0}"/>
    <cellStyle name="SAPBEXresItem 2 2 2 6" xfId="20371" xr:uid="{B9543F21-F7C8-4A57-A129-80D3E6CCB406}"/>
    <cellStyle name="SAPBEXresItem 2 2 2 6 2" xfId="20372" xr:uid="{46DD0E47-5E16-418B-B1E9-6CFE29A248E8}"/>
    <cellStyle name="SAPBEXresItem 2 2 2 7" xfId="20373" xr:uid="{645D5348-F0BF-4CCB-AA50-873E9D03F84B}"/>
    <cellStyle name="SAPBEXresItem 2 2 2 7 2" xfId="20374" xr:uid="{8CBF572A-6A89-41A8-9AA8-D17C96614A28}"/>
    <cellStyle name="SAPBEXresItem 2 2 2 8" xfId="20375" xr:uid="{4F4A672E-216F-4C2B-B5FE-2957F9F1E33C}"/>
    <cellStyle name="SAPBEXresItem 2 2 2 8 2" xfId="20376" xr:uid="{5D274ADB-717E-47EA-A67C-40C662B28D66}"/>
    <cellStyle name="SAPBEXresItem 2 2 2 9" xfId="20377" xr:uid="{6FEF89F7-B6AF-44D1-A59F-C1EED25E742D}"/>
    <cellStyle name="SAPBEXresItem 2 2 2 9 2" xfId="20378" xr:uid="{CC516E98-356E-4520-972E-DEB892AAD587}"/>
    <cellStyle name="SAPBEXresItem 2 2 3" xfId="20379" xr:uid="{DC369F97-E89E-48C2-BAD9-9CE6DBF2B560}"/>
    <cellStyle name="SAPBEXresItem 2 2 3 10" xfId="20380" xr:uid="{6E275B3E-7D7E-440A-8F40-8FE3788C89A5}"/>
    <cellStyle name="SAPBEXresItem 2 2 3 10 2" xfId="20381" xr:uid="{81FD8BEC-00F1-4F41-A1F8-91E84174A29E}"/>
    <cellStyle name="SAPBEXresItem 2 2 3 11" xfId="20382" xr:uid="{176E547D-AD33-4E45-A205-E24ECD1B95C6}"/>
    <cellStyle name="SAPBEXresItem 2 2 3 11 2" xfId="20383" xr:uid="{694C7C4C-94F8-456C-BACE-D6566FA84EC3}"/>
    <cellStyle name="SAPBEXresItem 2 2 3 12" xfId="20384" xr:uid="{071B1A6C-E2B2-4BC5-8BD7-7E0E4006EF97}"/>
    <cellStyle name="SAPBEXresItem 2 2 3 12 2" xfId="20385" xr:uid="{C96E1661-C5A1-4412-909E-BFA0383621F5}"/>
    <cellStyle name="SAPBEXresItem 2 2 3 13" xfId="20386" xr:uid="{C0355690-036D-4A3D-8133-D48BDAF5F6B2}"/>
    <cellStyle name="SAPBEXresItem 2 2 3 13 2" xfId="20387" xr:uid="{CB979AF4-1DBD-4408-BD78-D5497CC145A8}"/>
    <cellStyle name="SAPBEXresItem 2 2 3 14" xfId="20388" xr:uid="{AF12DD3C-2547-4445-8508-09A3E179196C}"/>
    <cellStyle name="SAPBEXresItem 2 2 3 14 2" xfId="20389" xr:uid="{710CEF0F-A579-45BE-ACFE-8586931FF954}"/>
    <cellStyle name="SAPBEXresItem 2 2 3 15" xfId="20390" xr:uid="{C4A998F7-F241-4226-BD43-4576DCC629DB}"/>
    <cellStyle name="SAPBEXresItem 2 2 3 15 2" xfId="20391" xr:uid="{39F83EFB-92AF-43AA-A657-E88FD09F141B}"/>
    <cellStyle name="SAPBEXresItem 2 2 3 16" xfId="20392" xr:uid="{DFC187DC-0041-494C-B651-E1CAFA58046D}"/>
    <cellStyle name="SAPBEXresItem 2 2 3 2" xfId="20393" xr:uid="{89491514-103C-49E4-942E-02D1D0BFC02D}"/>
    <cellStyle name="SAPBEXresItem 2 2 3 2 2" xfId="20394" xr:uid="{524FF828-3CE8-4040-82BD-38BC1034DE18}"/>
    <cellStyle name="SAPBEXresItem 2 2 3 3" xfId="20395" xr:uid="{F1FA0A7D-C0D1-4895-8391-27B8F7DDAC72}"/>
    <cellStyle name="SAPBEXresItem 2 2 3 3 2" xfId="20396" xr:uid="{61B0442A-8B12-4B23-B3F4-5394EFAC99C5}"/>
    <cellStyle name="SAPBEXresItem 2 2 3 4" xfId="20397" xr:uid="{FFF2B884-ABEF-43B9-9B5B-1D355E68A20A}"/>
    <cellStyle name="SAPBEXresItem 2 2 3 4 2" xfId="20398" xr:uid="{59C7456E-D17A-439D-AB78-5F1794B0C53C}"/>
    <cellStyle name="SAPBEXresItem 2 2 3 5" xfId="20399" xr:uid="{A4A3F5E1-B2C2-4882-ACAF-55223C40DDB2}"/>
    <cellStyle name="SAPBEXresItem 2 2 3 5 2" xfId="20400" xr:uid="{5E197EE7-E115-4E66-B6C2-CB09BE52BDA4}"/>
    <cellStyle name="SAPBEXresItem 2 2 3 6" xfId="20401" xr:uid="{56A8F80D-4E43-4B9D-8995-7D2494F82397}"/>
    <cellStyle name="SAPBEXresItem 2 2 3 6 2" xfId="20402" xr:uid="{A9859681-1871-4A4A-9BE4-10ECEC057C5F}"/>
    <cellStyle name="SAPBEXresItem 2 2 3 7" xfId="20403" xr:uid="{71556E5D-F958-483F-BF92-460955C57DAF}"/>
    <cellStyle name="SAPBEXresItem 2 2 3 7 2" xfId="20404" xr:uid="{01568FBF-01F1-41F9-9595-8061FAEEF5F0}"/>
    <cellStyle name="SAPBEXresItem 2 2 3 8" xfId="20405" xr:uid="{5878FB33-3FFC-43C1-8B3A-E8C303836F30}"/>
    <cellStyle name="SAPBEXresItem 2 2 3 8 2" xfId="20406" xr:uid="{E67FB011-B99C-4EF7-8DCC-7CA6D4AAAC96}"/>
    <cellStyle name="SAPBEXresItem 2 2 3 9" xfId="20407" xr:uid="{96E4442F-4123-4A4C-8908-CE6042C73E54}"/>
    <cellStyle name="SAPBEXresItem 2 2 3 9 2" xfId="20408" xr:uid="{907916D0-A47E-4785-BAAB-2D5039A6E6F8}"/>
    <cellStyle name="SAPBEXresItem 2 2 4" xfId="20409" xr:uid="{5484D173-45DE-467D-8E53-9AD6D9740D51}"/>
    <cellStyle name="SAPBEXresItem 2 2 4 2" xfId="20410" xr:uid="{B530827E-35DD-45FB-A1D0-AD29814CEADB}"/>
    <cellStyle name="SAPBEXresItem 2 2 5" xfId="20411" xr:uid="{D0BB5691-1F01-4FDB-8F51-A6151A8E8723}"/>
    <cellStyle name="SAPBEXresItem 2 2 5 2" xfId="20412" xr:uid="{B5A04350-0938-4B45-8BDD-D70B3C8EBE5E}"/>
    <cellStyle name="SAPBEXresItem 2 2 6" xfId="20413" xr:uid="{445CFC29-B679-40F4-AFF8-E5F0DE486CCE}"/>
    <cellStyle name="SAPBEXresItem 2 2 6 2" xfId="20414" xr:uid="{5EF01602-D288-4ACF-B8C2-94B383980C28}"/>
    <cellStyle name="SAPBEXresItem 2 2 7" xfId="20415" xr:uid="{E6836F31-6451-438C-A0DB-1D3A0C8FEE83}"/>
    <cellStyle name="SAPBEXresItem 2 2 7 2" xfId="20416" xr:uid="{14A90C88-AD4E-4329-8F05-537238AF5078}"/>
    <cellStyle name="SAPBEXresItem 2 2 8" xfId="20417" xr:uid="{5E4021A9-BFB4-4A13-A244-69D8C17BA78C}"/>
    <cellStyle name="SAPBEXresItem 2 2 8 2" xfId="20418" xr:uid="{3A5B8FE0-9A53-4A37-A5FA-6751FC023402}"/>
    <cellStyle name="SAPBEXresItem 2 2 9" xfId="20419" xr:uid="{C88CAB1B-3943-4A1A-B156-755DA7C6090F}"/>
    <cellStyle name="SAPBEXresItem 2 2 9 2" xfId="20420" xr:uid="{FF1342AA-DAB4-4CE8-ACE8-07E3529632C8}"/>
    <cellStyle name="SAPBEXresItem 2 3" xfId="20421" xr:uid="{5F5D4951-1CA4-492A-B05E-B9976B72EFCF}"/>
    <cellStyle name="SAPBEXresItem 2 3 10" xfId="20422" xr:uid="{EF734683-76F6-468C-907B-FF319AE11463}"/>
    <cellStyle name="SAPBEXresItem 2 3 10 2" xfId="20423" xr:uid="{16EB499A-9830-42E0-A497-204C0D5CC6DD}"/>
    <cellStyle name="SAPBEXresItem 2 3 11" xfId="20424" xr:uid="{A4CC8117-37F8-4588-90FA-DD9E178B8ED5}"/>
    <cellStyle name="SAPBEXresItem 2 3 11 2" xfId="20425" xr:uid="{C0BB0E4F-4D73-4DF5-BDC5-F292C00AA9B4}"/>
    <cellStyle name="SAPBEXresItem 2 3 12" xfId="20426" xr:uid="{C65CD629-112A-4C96-9AD3-70E16AE3BD69}"/>
    <cellStyle name="SAPBEXresItem 2 3 12 2" xfId="20427" xr:uid="{4C80684E-C9B3-436D-A90D-233CB798C406}"/>
    <cellStyle name="SAPBEXresItem 2 3 13" xfId="20428" xr:uid="{CE6F7DB6-53A8-48C4-AFC1-45A96CBE20F2}"/>
    <cellStyle name="SAPBEXresItem 2 3 13 2" xfId="20429" xr:uid="{7073CB77-DEF6-493E-B08F-1869685DE263}"/>
    <cellStyle name="SAPBEXresItem 2 3 14" xfId="20430" xr:uid="{511467DE-B294-42AA-8613-1EFA627A8294}"/>
    <cellStyle name="SAPBEXresItem 2 3 14 2" xfId="20431" xr:uid="{FA257634-E9A9-4842-BB68-2CB661510FFD}"/>
    <cellStyle name="SAPBEXresItem 2 3 15" xfId="20432" xr:uid="{CF5A15E3-95FB-4988-B433-7ABF40147771}"/>
    <cellStyle name="SAPBEXresItem 2 3 15 2" xfId="20433" xr:uid="{E9F579E4-EFDC-4085-BDCE-799E96BE8389}"/>
    <cellStyle name="SAPBEXresItem 2 3 16" xfId="20434" xr:uid="{C5329348-2723-437E-9BA2-6B7FC8703FC1}"/>
    <cellStyle name="SAPBEXresItem 2 3 16 2" xfId="20435" xr:uid="{42B4BEB0-BEC7-47BC-89D2-9D30BCBDFD5F}"/>
    <cellStyle name="SAPBEXresItem 2 3 17" xfId="20436" xr:uid="{D4C88DAA-527B-4821-A2F8-72547A75673F}"/>
    <cellStyle name="SAPBEXresItem 2 3 17 2" xfId="20437" xr:uid="{3C896A55-5E3F-441B-A5DA-41B6F7AC6254}"/>
    <cellStyle name="SAPBEXresItem 2 3 18" xfId="20438" xr:uid="{40A41094-794C-42B9-B1AD-BC286CD4763D}"/>
    <cellStyle name="SAPBEXresItem 2 3 2" xfId="20439" xr:uid="{A17DD616-B686-4134-80F4-9EC24B3438A2}"/>
    <cellStyle name="SAPBEXresItem 2 3 2 10" xfId="20440" xr:uid="{F6BAF6CD-E0FD-4A47-A191-34A108273863}"/>
    <cellStyle name="SAPBEXresItem 2 3 2 10 2" xfId="20441" xr:uid="{5DAC4EF1-A249-4000-BA62-BF662CB4C54B}"/>
    <cellStyle name="SAPBEXresItem 2 3 2 11" xfId="20442" xr:uid="{2BE0E059-0391-4B06-8209-0C3CD163F930}"/>
    <cellStyle name="SAPBEXresItem 2 3 2 11 2" xfId="20443" xr:uid="{2A0EEB1E-E79B-4538-84E1-56DD668BCEF7}"/>
    <cellStyle name="SAPBEXresItem 2 3 2 12" xfId="20444" xr:uid="{7CD91499-90BB-454D-A503-852C76D4D203}"/>
    <cellStyle name="SAPBEXresItem 2 3 2 12 2" xfId="20445" xr:uid="{1883CF77-7034-467C-A427-A711479899FB}"/>
    <cellStyle name="SAPBEXresItem 2 3 2 13" xfId="20446" xr:uid="{EAADFD04-9D69-4BB9-9672-B534072CDD1A}"/>
    <cellStyle name="SAPBEXresItem 2 3 2 13 2" xfId="20447" xr:uid="{242A9FCE-BB6D-4C0B-8142-2FDCA478375B}"/>
    <cellStyle name="SAPBEXresItem 2 3 2 14" xfId="20448" xr:uid="{3379A1FE-6910-4F07-A643-55C41600151D}"/>
    <cellStyle name="SAPBEXresItem 2 3 2 14 2" xfId="20449" xr:uid="{D64B518D-16A7-4D28-AFFE-F41871BFCAC0}"/>
    <cellStyle name="SAPBEXresItem 2 3 2 15" xfId="20450" xr:uid="{A333E80A-FEB1-45FA-9A03-B351687E9A24}"/>
    <cellStyle name="SAPBEXresItem 2 3 2 15 2" xfId="20451" xr:uid="{517F9382-2778-4C8D-9CD3-20FAA1943987}"/>
    <cellStyle name="SAPBEXresItem 2 3 2 16" xfId="20452" xr:uid="{3098248F-3E75-4AF7-A043-E32BEA854B2F}"/>
    <cellStyle name="SAPBEXresItem 2 3 2 2" xfId="20453" xr:uid="{CB3B5DFC-3A87-45C7-A568-63C70B519351}"/>
    <cellStyle name="SAPBEXresItem 2 3 2 2 2" xfId="20454" xr:uid="{A1B0DB6D-F977-4BB6-A402-A0FBE1A3090C}"/>
    <cellStyle name="SAPBEXresItem 2 3 2 3" xfId="20455" xr:uid="{E91F0EE3-2353-4F0B-BC88-7852C538E182}"/>
    <cellStyle name="SAPBEXresItem 2 3 2 3 2" xfId="20456" xr:uid="{4FD9E5E9-5FF8-432B-95E2-5E38C2724BD7}"/>
    <cellStyle name="SAPBEXresItem 2 3 2 4" xfId="20457" xr:uid="{73807628-4C19-474E-9B33-B749E12D151C}"/>
    <cellStyle name="SAPBEXresItem 2 3 2 4 2" xfId="20458" xr:uid="{407C6EA5-207B-40BE-B776-45A01BFE5E86}"/>
    <cellStyle name="SAPBEXresItem 2 3 2 5" xfId="20459" xr:uid="{F1A9E969-64BC-4E50-9BFE-DFC636C128D0}"/>
    <cellStyle name="SAPBEXresItem 2 3 2 5 2" xfId="20460" xr:uid="{68364344-D64C-410A-8783-584C210B36E8}"/>
    <cellStyle name="SAPBEXresItem 2 3 2 6" xfId="20461" xr:uid="{B2B52321-1E23-4A08-BFB9-CB39A4B76014}"/>
    <cellStyle name="SAPBEXresItem 2 3 2 6 2" xfId="20462" xr:uid="{FEA6C5A0-A2B5-4C0F-98F5-88718769CBF0}"/>
    <cellStyle name="SAPBEXresItem 2 3 2 7" xfId="20463" xr:uid="{41F00412-1B54-4BCF-95E9-211EA069541B}"/>
    <cellStyle name="SAPBEXresItem 2 3 2 7 2" xfId="20464" xr:uid="{D0B0271A-8CA5-4FB5-937A-FDB7DBA6DA08}"/>
    <cellStyle name="SAPBEXresItem 2 3 2 8" xfId="20465" xr:uid="{155334B3-8FCB-4794-8B47-B600058DEF94}"/>
    <cellStyle name="SAPBEXresItem 2 3 2 8 2" xfId="20466" xr:uid="{8710873E-497C-434E-A135-064A5670C458}"/>
    <cellStyle name="SAPBEXresItem 2 3 2 9" xfId="20467" xr:uid="{D723B58D-7C9C-41FA-A906-36600C9CDF67}"/>
    <cellStyle name="SAPBEXresItem 2 3 2 9 2" xfId="20468" xr:uid="{7193FF60-6F53-45E6-9C44-3BEAD0F5693C}"/>
    <cellStyle name="SAPBEXresItem 2 3 3" xfId="20469" xr:uid="{A664CCDE-A4FE-41D0-B103-3249E645847B}"/>
    <cellStyle name="SAPBEXresItem 2 3 3 10" xfId="20470" xr:uid="{EA3A2E3F-C879-4064-B724-72F8AE5DD90E}"/>
    <cellStyle name="SAPBEXresItem 2 3 3 10 2" xfId="20471" xr:uid="{99107FB9-EFF4-4A12-B2B1-52D26763C2FB}"/>
    <cellStyle name="SAPBEXresItem 2 3 3 11" xfId="20472" xr:uid="{B6895CA3-F629-4749-A418-B740BDED155C}"/>
    <cellStyle name="SAPBEXresItem 2 3 3 11 2" xfId="20473" xr:uid="{96346243-F035-476F-8086-3FF596D6ABCB}"/>
    <cellStyle name="SAPBEXresItem 2 3 3 12" xfId="20474" xr:uid="{9991C0AC-081F-4BBA-A898-7217242D0C5D}"/>
    <cellStyle name="SAPBEXresItem 2 3 3 12 2" xfId="20475" xr:uid="{1C22F04D-1EAA-46C8-A87B-3E6B9D4C360C}"/>
    <cellStyle name="SAPBEXresItem 2 3 3 13" xfId="20476" xr:uid="{22199540-B044-40C2-9D45-5198CC76ADD2}"/>
    <cellStyle name="SAPBEXresItem 2 3 3 13 2" xfId="20477" xr:uid="{72E14380-3869-4346-A4D9-D39FFCA3A7BE}"/>
    <cellStyle name="SAPBEXresItem 2 3 3 14" xfId="20478" xr:uid="{1134826A-2CDF-4EFA-97AD-CFE6FF94353D}"/>
    <cellStyle name="SAPBEXresItem 2 3 3 14 2" xfId="20479" xr:uid="{FA0C2339-FF77-413D-AD40-3947D684ACFC}"/>
    <cellStyle name="SAPBEXresItem 2 3 3 15" xfId="20480" xr:uid="{D77E6C65-EFDF-47E4-8812-E3D8198D5FDA}"/>
    <cellStyle name="SAPBEXresItem 2 3 3 15 2" xfId="20481" xr:uid="{E4CE01A7-BBD9-4388-8D6A-4BA3D3B9A8E9}"/>
    <cellStyle name="SAPBEXresItem 2 3 3 16" xfId="20482" xr:uid="{47FD3D1B-580D-4CE9-B1A7-F4978FE6A546}"/>
    <cellStyle name="SAPBEXresItem 2 3 3 2" xfId="20483" xr:uid="{AD6A1CEC-A85B-468B-8EBC-B0166AC6EA7F}"/>
    <cellStyle name="SAPBEXresItem 2 3 3 2 2" xfId="20484" xr:uid="{B520D107-5F2D-43E4-8CF7-A553C504BE9E}"/>
    <cellStyle name="SAPBEXresItem 2 3 3 3" xfId="20485" xr:uid="{F746AF2F-4A7C-420C-A763-585DF6311D9B}"/>
    <cellStyle name="SAPBEXresItem 2 3 3 3 2" xfId="20486" xr:uid="{D0F0A5E7-CB01-4DD6-8FFB-625760E30951}"/>
    <cellStyle name="SAPBEXresItem 2 3 3 4" xfId="20487" xr:uid="{51361B48-1651-491A-8BB6-394225BC77DD}"/>
    <cellStyle name="SAPBEXresItem 2 3 3 4 2" xfId="20488" xr:uid="{E99E035E-7AB6-4D3A-BB22-2C23A6CEC179}"/>
    <cellStyle name="SAPBEXresItem 2 3 3 5" xfId="20489" xr:uid="{95FFA8DC-E580-4C01-81A1-1618DF995D9E}"/>
    <cellStyle name="SAPBEXresItem 2 3 3 5 2" xfId="20490" xr:uid="{50A08671-9FF2-4E11-8762-2987C8937DAA}"/>
    <cellStyle name="SAPBEXresItem 2 3 3 6" xfId="20491" xr:uid="{8647D609-0591-442B-9F87-7B383F47A013}"/>
    <cellStyle name="SAPBEXresItem 2 3 3 6 2" xfId="20492" xr:uid="{510A1D46-6069-4FF7-9B0E-3760E526B18B}"/>
    <cellStyle name="SAPBEXresItem 2 3 3 7" xfId="20493" xr:uid="{FE172153-EFA3-4B98-A5EC-76602960302F}"/>
    <cellStyle name="SAPBEXresItem 2 3 3 7 2" xfId="20494" xr:uid="{C5F1CD6C-9FD5-40E3-B708-8D887E970672}"/>
    <cellStyle name="SAPBEXresItem 2 3 3 8" xfId="20495" xr:uid="{B3D9A91E-3DB3-4181-A670-A006A3B4994C}"/>
    <cellStyle name="SAPBEXresItem 2 3 3 8 2" xfId="20496" xr:uid="{17AFD2A0-3A4B-4A11-95D8-059DFB22EFB3}"/>
    <cellStyle name="SAPBEXresItem 2 3 3 9" xfId="20497" xr:uid="{8ABF0BC7-6D85-4EF9-B5D2-6419AF357C5E}"/>
    <cellStyle name="SAPBEXresItem 2 3 3 9 2" xfId="20498" xr:uid="{769D0C29-BA70-47CB-90DB-2F85355E7F92}"/>
    <cellStyle name="SAPBEXresItem 2 3 4" xfId="20499" xr:uid="{B2CECA45-C253-4592-BB88-858E99A05AD7}"/>
    <cellStyle name="SAPBEXresItem 2 3 4 2" xfId="20500" xr:uid="{595C9288-8D4F-41CB-AA72-D4F2266E757F}"/>
    <cellStyle name="SAPBEXresItem 2 3 5" xfId="20501" xr:uid="{FB4120A3-289F-4417-89E2-18ED7B5C5483}"/>
    <cellStyle name="SAPBEXresItem 2 3 5 2" xfId="20502" xr:uid="{2F9513B4-DE26-4A33-89B0-CD9328295070}"/>
    <cellStyle name="SAPBEXresItem 2 3 6" xfId="20503" xr:uid="{300F5BAA-6DBA-4B97-A114-60B0C08C1170}"/>
    <cellStyle name="SAPBEXresItem 2 3 6 2" xfId="20504" xr:uid="{EC65F67B-0FFD-465A-8DC9-76971DFAF9B7}"/>
    <cellStyle name="SAPBEXresItem 2 3 7" xfId="20505" xr:uid="{15B0937D-75EF-4CE8-8EC4-5EE6DDCBF1B1}"/>
    <cellStyle name="SAPBEXresItem 2 3 7 2" xfId="20506" xr:uid="{F71CD64E-DC43-429F-B5C5-CA8194932C41}"/>
    <cellStyle name="SAPBEXresItem 2 3 8" xfId="20507" xr:uid="{5C02061B-642F-4728-9427-A46F8736017A}"/>
    <cellStyle name="SAPBEXresItem 2 3 8 2" xfId="20508" xr:uid="{51F15A82-C7FF-454F-B236-E2F4348865C7}"/>
    <cellStyle name="SAPBEXresItem 2 3 9" xfId="20509" xr:uid="{0A35EA95-42B3-43C4-BC9E-72AA879C6977}"/>
    <cellStyle name="SAPBEXresItem 2 3 9 2" xfId="20510" xr:uid="{A88DCB95-F441-41F0-85BD-3D341652E18E}"/>
    <cellStyle name="SAPBEXresItem 2 4" xfId="20511" xr:uid="{F9A1A673-F320-49C1-B2E9-9DEBBC126BB4}"/>
    <cellStyle name="SAPBEXresItem 2 4 2" xfId="20512" xr:uid="{C258CD2D-01AC-4A2E-BFEA-8FA55945A3B3}"/>
    <cellStyle name="SAPBEXresItem 2 5" xfId="20513" xr:uid="{08E42FEF-E5A1-43A0-8977-8564EA0A1CBD}"/>
    <cellStyle name="SAPBEXresItem 2 5 2" xfId="20514" xr:uid="{685D88E0-8A25-48E6-B3CB-6CAD17C3DE87}"/>
    <cellStyle name="SAPBEXresItem 2 6" xfId="20515" xr:uid="{E4E6A1E0-0249-4C01-98BA-EA2B9771D3DB}"/>
    <cellStyle name="SAPBEXresItem 2 6 2" xfId="20516" xr:uid="{27217EC5-A8BA-455B-A198-0A15F18D0AB9}"/>
    <cellStyle name="SAPBEXresItem 2 7" xfId="20517" xr:uid="{C5398CFF-87ED-48BB-AECD-31BA4D7389DB}"/>
    <cellStyle name="SAPBEXresItem 2 7 2" xfId="20518" xr:uid="{46B2E46A-C006-4834-AE0C-108518843729}"/>
    <cellStyle name="SAPBEXresItem 2 8" xfId="20519" xr:uid="{94F35BBF-3707-420B-8ECC-7BA902E0E97C}"/>
    <cellStyle name="SAPBEXresItem 2 8 2" xfId="20520" xr:uid="{76106570-4FD0-4C69-B2E3-F5EDDFD1F848}"/>
    <cellStyle name="SAPBEXresItem 2 9" xfId="20521" xr:uid="{24950939-2544-47BB-8CBA-84CED815F3C1}"/>
    <cellStyle name="SAPBEXresItem 2 9 2" xfId="20522" xr:uid="{E5C4139F-09E0-4081-8913-DC42DCA5CF6F}"/>
    <cellStyle name="SAPBEXresItem 2_T1 ANSP" xfId="20313" xr:uid="{366D63B5-2346-4F2F-B40B-938BED5334AD}"/>
    <cellStyle name="SAPBEXresItem 20" xfId="20523" xr:uid="{F921A1EE-18B5-4476-97AC-0E89E962D5D3}"/>
    <cellStyle name="SAPBEXresItem 3" xfId="1528" xr:uid="{00000000-0005-0000-0000-0000AB050000}"/>
    <cellStyle name="SAPBEXresItem 3 10" xfId="20525" xr:uid="{3F826562-60CB-4B2F-B5DA-DFC5F8A5848D}"/>
    <cellStyle name="SAPBEXresItem 3 10 2" xfId="20526" xr:uid="{AC9293F4-E249-490D-B136-BDE19B820D5C}"/>
    <cellStyle name="SAPBEXresItem 3 11" xfId="20527" xr:uid="{C6B688F3-BD52-4D88-A58A-AE2662BB6FD3}"/>
    <cellStyle name="SAPBEXresItem 3 11 2" xfId="20528" xr:uid="{FAE94CD6-F92E-4E7E-9162-119E6FD9AC06}"/>
    <cellStyle name="SAPBEXresItem 3 12" xfId="20529" xr:uid="{82CEDAB8-7A26-4DEA-B639-D52CDABE8BDC}"/>
    <cellStyle name="SAPBEXresItem 3 12 2" xfId="20530" xr:uid="{AC266529-2C8D-48D4-8F26-9275643915F6}"/>
    <cellStyle name="SAPBEXresItem 3 13" xfId="20531" xr:uid="{1C6FBA61-ECDF-464B-A19F-7FEDEB6B7CC5}"/>
    <cellStyle name="SAPBEXresItem 3 13 2" xfId="20532" xr:uid="{7F31AFD0-FF92-47CB-A9EC-9A38CD90F861}"/>
    <cellStyle name="SAPBEXresItem 3 14" xfId="20533" xr:uid="{8DFC66A6-9966-4706-9B7E-EC6578DF285C}"/>
    <cellStyle name="SAPBEXresItem 3 14 2" xfId="20534" xr:uid="{571775A5-5FBD-4E65-B521-D72E93C98EAD}"/>
    <cellStyle name="SAPBEXresItem 3 15" xfId="20535" xr:uid="{2E72590D-27D2-48A6-B5BD-479E0621E71E}"/>
    <cellStyle name="SAPBEXresItem 3 15 2" xfId="20536" xr:uid="{266FCC11-43FE-400D-BE89-8336B1457856}"/>
    <cellStyle name="SAPBEXresItem 3 16" xfId="20537" xr:uid="{D49FA392-CD15-402C-8295-850B6DD68DD9}"/>
    <cellStyle name="SAPBEXresItem 3 16 2" xfId="20538" xr:uid="{96CA1E35-346C-4675-9BCA-04B3AB5066E6}"/>
    <cellStyle name="SAPBEXresItem 3 17" xfId="20539" xr:uid="{EDFF80BC-4448-4C8E-90D8-105930DCA5F5}"/>
    <cellStyle name="SAPBEXresItem 3 17 2" xfId="20540" xr:uid="{5BBED71C-6C92-4339-A724-B72342F847F5}"/>
    <cellStyle name="SAPBEXresItem 3 18" xfId="20541" xr:uid="{7A512810-1CAE-404D-B0BF-DA97F0BE621A}"/>
    <cellStyle name="SAPBEXresItem 3 2" xfId="20542" xr:uid="{9CF07E7A-9D2A-446F-89D8-9FDE157E33F3}"/>
    <cellStyle name="SAPBEXresItem 3 2 10" xfId="20543" xr:uid="{92955E73-67B3-4346-8689-CB681FBAB129}"/>
    <cellStyle name="SAPBEXresItem 3 2 10 2" xfId="20544" xr:uid="{8F957D1F-ED42-4EA8-8556-87B1F6D5ABF1}"/>
    <cellStyle name="SAPBEXresItem 3 2 11" xfId="20545" xr:uid="{BD00EE63-65CC-4CB6-ACBE-0500B896EA8D}"/>
    <cellStyle name="SAPBEXresItem 3 2 11 2" xfId="20546" xr:uid="{55B8BA47-232F-42D9-85A5-70D52417F48C}"/>
    <cellStyle name="SAPBEXresItem 3 2 12" xfId="20547" xr:uid="{D8FCCDA1-E6B7-473E-9D79-CF8536AAE8D6}"/>
    <cellStyle name="SAPBEXresItem 3 2 12 2" xfId="20548" xr:uid="{46791952-81FE-4F58-984F-455556DD34B6}"/>
    <cellStyle name="SAPBEXresItem 3 2 13" xfId="20549" xr:uid="{1A4F4FC2-43B0-454F-8A28-0AD7EA7477E7}"/>
    <cellStyle name="SAPBEXresItem 3 2 13 2" xfId="20550" xr:uid="{6C15C69D-6014-4DCF-B3C0-AFD4872E7723}"/>
    <cellStyle name="SAPBEXresItem 3 2 14" xfId="20551" xr:uid="{9F50D8AC-A2F7-406D-8A31-BBBF9A019789}"/>
    <cellStyle name="SAPBEXresItem 3 2 14 2" xfId="20552" xr:uid="{F6CB1165-6A80-4321-B220-2751BE4E04A0}"/>
    <cellStyle name="SAPBEXresItem 3 2 15" xfId="20553" xr:uid="{1833E58C-FE6E-4A5A-9102-163AF37B1019}"/>
    <cellStyle name="SAPBEXresItem 3 2 15 2" xfId="20554" xr:uid="{278BEA20-D484-4414-AD3E-9B71B0C4EB38}"/>
    <cellStyle name="SAPBEXresItem 3 2 16" xfId="20555" xr:uid="{ACF3E31A-02C6-4E44-B05D-30F55D46A551}"/>
    <cellStyle name="SAPBEXresItem 3 2 2" xfId="20556" xr:uid="{4A0FE8E2-1B97-4B9B-BCCA-60A77E1983CD}"/>
    <cellStyle name="SAPBEXresItem 3 2 2 2" xfId="20557" xr:uid="{9A209622-2476-4C01-95EC-71FB1AC30036}"/>
    <cellStyle name="SAPBEXresItem 3 2 3" xfId="20558" xr:uid="{7FE25707-328B-445F-97EE-CB7DBB58A600}"/>
    <cellStyle name="SAPBEXresItem 3 2 3 2" xfId="20559" xr:uid="{89DB8CE3-FD36-4CEE-BFB6-CB56A2F5285A}"/>
    <cellStyle name="SAPBEXresItem 3 2 4" xfId="20560" xr:uid="{1F69CF76-062F-4235-B4B0-AD56EEF3F9CD}"/>
    <cellStyle name="SAPBEXresItem 3 2 4 2" xfId="20561" xr:uid="{3ED54510-9589-463B-A8B6-16A977CFA872}"/>
    <cellStyle name="SAPBEXresItem 3 2 5" xfId="20562" xr:uid="{5FA69376-6969-43DE-B8C9-6E91F72ACFF3}"/>
    <cellStyle name="SAPBEXresItem 3 2 5 2" xfId="20563" xr:uid="{E69BF9ED-48D8-4C10-8AA0-01F1E25B78BD}"/>
    <cellStyle name="SAPBEXresItem 3 2 6" xfId="20564" xr:uid="{32F22E5F-EB7F-41D5-978F-A9FA25A61809}"/>
    <cellStyle name="SAPBEXresItem 3 2 6 2" xfId="20565" xr:uid="{A8F8F066-782A-4EC2-9751-D04BD0001624}"/>
    <cellStyle name="SAPBEXresItem 3 2 7" xfId="20566" xr:uid="{C7296495-22A7-4B66-972D-4E0CCEE5BD94}"/>
    <cellStyle name="SAPBEXresItem 3 2 7 2" xfId="20567" xr:uid="{1EBA2780-E361-461B-9319-1C74974986D2}"/>
    <cellStyle name="SAPBEXresItem 3 2 8" xfId="20568" xr:uid="{16D6D219-4E3F-4DFF-908C-900B67BA5883}"/>
    <cellStyle name="SAPBEXresItem 3 2 8 2" xfId="20569" xr:uid="{3694E809-7820-4984-A9BD-A0D3BF22E945}"/>
    <cellStyle name="SAPBEXresItem 3 2 9" xfId="20570" xr:uid="{5F147EDD-CEC4-42B8-88DA-D5A2C9AE3349}"/>
    <cellStyle name="SAPBEXresItem 3 2 9 2" xfId="20571" xr:uid="{044638DC-EB06-4CFC-81B4-30D63D5D1AEC}"/>
    <cellStyle name="SAPBEXresItem 3 3" xfId="20572" xr:uid="{A0B8F47F-A081-42D2-9864-0FE9F3C43CEB}"/>
    <cellStyle name="SAPBEXresItem 3 3 10" xfId="20573" xr:uid="{D7C61259-3F0E-4645-BA2C-89A67F85CCC1}"/>
    <cellStyle name="SAPBEXresItem 3 3 10 2" xfId="20574" xr:uid="{A6F2A09B-47C7-49EE-A706-BD3D228456DA}"/>
    <cellStyle name="SAPBEXresItem 3 3 11" xfId="20575" xr:uid="{CB8E056A-0797-4EEF-B1B0-5405ABE90A0E}"/>
    <cellStyle name="SAPBEXresItem 3 3 11 2" xfId="20576" xr:uid="{052D26F0-6FA0-4986-9576-2EE5EB803B95}"/>
    <cellStyle name="SAPBEXresItem 3 3 12" xfId="20577" xr:uid="{5B792675-D75D-4111-90B6-37D05CE95988}"/>
    <cellStyle name="SAPBEXresItem 3 3 12 2" xfId="20578" xr:uid="{B9A51E81-F5E0-42D9-B6A4-3D7384539CEC}"/>
    <cellStyle name="SAPBEXresItem 3 3 13" xfId="20579" xr:uid="{C443B220-8DC0-4DB0-BD13-64B0302FCAED}"/>
    <cellStyle name="SAPBEXresItem 3 3 13 2" xfId="20580" xr:uid="{C13C3B9B-FCFD-4053-A359-0598C9847B0D}"/>
    <cellStyle name="SAPBEXresItem 3 3 14" xfId="20581" xr:uid="{E95FABD6-E7B0-43CD-AD42-7088E3701368}"/>
    <cellStyle name="SAPBEXresItem 3 3 14 2" xfId="20582" xr:uid="{2FA9C5B9-F5E9-4956-8830-A920C1A8CCC8}"/>
    <cellStyle name="SAPBEXresItem 3 3 15" xfId="20583" xr:uid="{A27C4152-A0D3-4E34-A36C-AD33D2A6144A}"/>
    <cellStyle name="SAPBEXresItem 3 3 15 2" xfId="20584" xr:uid="{98A19AB7-2EF0-4E1E-931F-C4714349EDBE}"/>
    <cellStyle name="SAPBEXresItem 3 3 16" xfId="20585" xr:uid="{5A9244F2-6990-4E88-B871-EE2C7262E36B}"/>
    <cellStyle name="SAPBEXresItem 3 3 2" xfId="20586" xr:uid="{77D5A97E-B673-400A-8534-8DF96F5D8602}"/>
    <cellStyle name="SAPBEXresItem 3 3 2 2" xfId="20587" xr:uid="{9A0E770C-E906-4744-B1BE-312CBEA77411}"/>
    <cellStyle name="SAPBEXresItem 3 3 3" xfId="20588" xr:uid="{418C3871-561F-4A72-A1DD-FB236000E091}"/>
    <cellStyle name="SAPBEXresItem 3 3 3 2" xfId="20589" xr:uid="{28F6AA31-6F8B-4E21-91E6-1EC6E1CC6AF0}"/>
    <cellStyle name="SAPBEXresItem 3 3 4" xfId="20590" xr:uid="{8CC0E1F4-30E5-4246-8738-D0F7A4BF172A}"/>
    <cellStyle name="SAPBEXresItem 3 3 4 2" xfId="20591" xr:uid="{A9556165-D341-4AE9-B060-F50047CAF8F4}"/>
    <cellStyle name="SAPBEXresItem 3 3 5" xfId="20592" xr:uid="{F40F18EE-7BAF-44B9-ABA0-732B80F67864}"/>
    <cellStyle name="SAPBEXresItem 3 3 5 2" xfId="20593" xr:uid="{9BF77A07-F1F7-4B2E-A338-DA543CBF65AF}"/>
    <cellStyle name="SAPBEXresItem 3 3 6" xfId="20594" xr:uid="{14E5DA2E-1C82-4902-B020-A7BA5497546B}"/>
    <cellStyle name="SAPBEXresItem 3 3 6 2" xfId="20595" xr:uid="{98188F6C-BBE9-42BA-9F0D-B0E47E257974}"/>
    <cellStyle name="SAPBEXresItem 3 3 7" xfId="20596" xr:uid="{FEFB4CAA-652C-4D47-8B55-E2043B34682F}"/>
    <cellStyle name="SAPBEXresItem 3 3 7 2" xfId="20597" xr:uid="{D0312FC8-2566-4F98-9516-DD8083273F7C}"/>
    <cellStyle name="SAPBEXresItem 3 3 8" xfId="20598" xr:uid="{6CCB8ED5-824E-49F0-B527-780566FEAEF5}"/>
    <cellStyle name="SAPBEXresItem 3 3 8 2" xfId="20599" xr:uid="{3A61D52C-DBB7-4629-91C3-BA5B9E472F9C}"/>
    <cellStyle name="SAPBEXresItem 3 3 9" xfId="20600" xr:uid="{8ABFE2DD-DB4B-4672-9EE6-C4C49D609C8F}"/>
    <cellStyle name="SAPBEXresItem 3 3 9 2" xfId="20601" xr:uid="{7A8423B5-10E0-4267-A5A1-8D8D3BE9B630}"/>
    <cellStyle name="SAPBEXresItem 3 4" xfId="20602" xr:uid="{BD16590D-531A-4677-8E83-ADA60A1E8D69}"/>
    <cellStyle name="SAPBEXresItem 3 4 2" xfId="20603" xr:uid="{DD50EAF5-B19F-4130-80E8-E737974E1D26}"/>
    <cellStyle name="SAPBEXresItem 3 5" xfId="20604" xr:uid="{1BDADF10-35EF-4A62-8B11-D2E4D0465FE8}"/>
    <cellStyle name="SAPBEXresItem 3 5 2" xfId="20605" xr:uid="{6BD141CF-704A-4BB1-8CDD-802FD787E5CD}"/>
    <cellStyle name="SAPBEXresItem 3 6" xfId="20606" xr:uid="{D9889F3A-CC8E-41CF-AA6F-6EB47E728030}"/>
    <cellStyle name="SAPBEXresItem 3 6 2" xfId="20607" xr:uid="{0D6F8254-9D2B-4FD4-B008-E968F2AB2BC4}"/>
    <cellStyle name="SAPBEXresItem 3 7" xfId="20608" xr:uid="{ED4019C4-D279-465D-9E77-C64BB014678A}"/>
    <cellStyle name="SAPBEXresItem 3 7 2" xfId="20609" xr:uid="{D2272343-9E5C-432C-AD8B-6730AA6BABCD}"/>
    <cellStyle name="SAPBEXresItem 3 8" xfId="20610" xr:uid="{31C14AE4-93FA-4781-AD2A-8BEE7E06025E}"/>
    <cellStyle name="SAPBEXresItem 3 8 2" xfId="20611" xr:uid="{6EB2937D-A845-4EF0-A356-B1782C5F9F09}"/>
    <cellStyle name="SAPBEXresItem 3 9" xfId="20612" xr:uid="{36772352-1AA5-4D12-AC64-A89BAF81B093}"/>
    <cellStyle name="SAPBEXresItem 3 9 2" xfId="20613" xr:uid="{B0BB36BD-61FE-4752-A521-82E72366264D}"/>
    <cellStyle name="SAPBEXresItem 3_T1 ANSP" xfId="20524" xr:uid="{0ADE9BEF-60D5-42A3-9962-8C4A77036C14}"/>
    <cellStyle name="SAPBEXresItem 4" xfId="20614" xr:uid="{270C2E9B-32E3-433D-B923-497B0677DF6C}"/>
    <cellStyle name="SAPBEXresItem 4 10" xfId="20615" xr:uid="{56D1ACC7-ECA3-4489-B67F-951205486ABE}"/>
    <cellStyle name="SAPBEXresItem 4 10 2" xfId="20616" xr:uid="{6F4F031A-B4CA-460D-BBBA-C3C51D1E02C7}"/>
    <cellStyle name="SAPBEXresItem 4 11" xfId="20617" xr:uid="{CF2B374B-F4D2-4CB2-AF96-CC3608C404C1}"/>
    <cellStyle name="SAPBEXresItem 4 11 2" xfId="20618" xr:uid="{258F47D6-33E4-410A-957F-CC32A505A5D9}"/>
    <cellStyle name="SAPBEXresItem 4 12" xfId="20619" xr:uid="{EBF12881-D32C-49FD-9228-825FF6D954F3}"/>
    <cellStyle name="SAPBEXresItem 4 12 2" xfId="20620" xr:uid="{CAE61738-289E-4EA1-8CE1-3CFA53E9079F}"/>
    <cellStyle name="SAPBEXresItem 4 13" xfId="20621" xr:uid="{25EEF056-3EB8-43BF-AB93-08F83C37F6B6}"/>
    <cellStyle name="SAPBEXresItem 4 13 2" xfId="20622" xr:uid="{320EB335-6CDC-4ED8-9919-DE0E8D1D35E0}"/>
    <cellStyle name="SAPBEXresItem 4 14" xfId="20623" xr:uid="{056292F3-8800-4768-B83C-72BF1E48DF54}"/>
    <cellStyle name="SAPBEXresItem 4 14 2" xfId="20624" xr:uid="{634575DB-6497-425A-B998-9A21577BAB24}"/>
    <cellStyle name="SAPBEXresItem 4 15" xfId="20625" xr:uid="{1F0E3A72-4EC8-4B72-847F-8E5085F26ECF}"/>
    <cellStyle name="SAPBEXresItem 4 15 2" xfId="20626" xr:uid="{64EA5615-E8D1-4053-AB92-4FFD5F5179C4}"/>
    <cellStyle name="SAPBEXresItem 4 16" xfId="20627" xr:uid="{D369A721-D87A-4B9A-8020-42F576B08EEB}"/>
    <cellStyle name="SAPBEXresItem 4 16 2" xfId="20628" xr:uid="{85D5E068-59C5-446F-984F-EFAC3FC2134D}"/>
    <cellStyle name="SAPBEXresItem 4 17" xfId="20629" xr:uid="{FEF15643-4E91-4404-9C91-3EC38B66AD53}"/>
    <cellStyle name="SAPBEXresItem 4 17 2" xfId="20630" xr:uid="{4A372FF5-1092-41BB-8C91-E773B3CC5665}"/>
    <cellStyle name="SAPBEXresItem 4 18" xfId="20631" xr:uid="{AC33C64F-1DAD-4FFE-9F25-23DB242F68D7}"/>
    <cellStyle name="SAPBEXresItem 4 2" xfId="20632" xr:uid="{9A519355-B515-4140-8FC6-0D6CE8A42E6B}"/>
    <cellStyle name="SAPBEXresItem 4 2 10" xfId="20633" xr:uid="{BC76A0AA-0B1D-49C3-946F-20AFAC233A12}"/>
    <cellStyle name="SAPBEXresItem 4 2 10 2" xfId="20634" xr:uid="{B919D3E2-2A2C-4CE8-8346-9B48A96F7C75}"/>
    <cellStyle name="SAPBEXresItem 4 2 11" xfId="20635" xr:uid="{EB8BEC77-ABB4-4B5F-832A-3B87AEDAA747}"/>
    <cellStyle name="SAPBEXresItem 4 2 11 2" xfId="20636" xr:uid="{2C084705-4DA5-4CFB-905A-F9B0CB647F9C}"/>
    <cellStyle name="SAPBEXresItem 4 2 12" xfId="20637" xr:uid="{7723BE44-F9C8-4583-97DD-9645A9625151}"/>
    <cellStyle name="SAPBEXresItem 4 2 12 2" xfId="20638" xr:uid="{AAEB9133-3F60-4E9A-B435-DB076C3F7F61}"/>
    <cellStyle name="SAPBEXresItem 4 2 13" xfId="20639" xr:uid="{ADC2D1AC-C5E7-4955-9A5F-A627693DBA89}"/>
    <cellStyle name="SAPBEXresItem 4 2 13 2" xfId="20640" xr:uid="{1471C003-E1D7-46F0-A820-BB840B83B097}"/>
    <cellStyle name="SAPBEXresItem 4 2 14" xfId="20641" xr:uid="{15FBD889-42B8-4867-BE0D-EC792142DE81}"/>
    <cellStyle name="SAPBEXresItem 4 2 14 2" xfId="20642" xr:uid="{62145280-835C-4F3A-9BE1-A132B3523183}"/>
    <cellStyle name="SAPBEXresItem 4 2 15" xfId="20643" xr:uid="{341D1D69-F81A-416F-AE2C-10001CA07934}"/>
    <cellStyle name="SAPBEXresItem 4 2 15 2" xfId="20644" xr:uid="{D7EA800C-0318-41A5-B61B-4095EBE5D3FD}"/>
    <cellStyle name="SAPBEXresItem 4 2 16" xfId="20645" xr:uid="{53CEAE51-C7CF-44CF-8EE6-DEE281C37981}"/>
    <cellStyle name="SAPBEXresItem 4 2 2" xfId="20646" xr:uid="{68D47981-9AB9-489D-A6B0-0A56BB1A34B9}"/>
    <cellStyle name="SAPBEXresItem 4 2 2 2" xfId="20647" xr:uid="{4A412C48-0639-4A23-821B-7D147142208B}"/>
    <cellStyle name="SAPBEXresItem 4 2 3" xfId="20648" xr:uid="{8134A4AF-3043-44EC-9A69-1A07E7DF4FE9}"/>
    <cellStyle name="SAPBEXresItem 4 2 3 2" xfId="20649" xr:uid="{B3D1976E-0E24-4DB2-9FF2-788D2A7E36A3}"/>
    <cellStyle name="SAPBEXresItem 4 2 4" xfId="20650" xr:uid="{FF962DCF-7DF3-44F0-9E1D-4E7443EDDBFC}"/>
    <cellStyle name="SAPBEXresItem 4 2 4 2" xfId="20651" xr:uid="{FAA54CEC-5AC4-4A58-8AD6-F20489DCCF64}"/>
    <cellStyle name="SAPBEXresItem 4 2 5" xfId="20652" xr:uid="{43F4ED15-D5FB-429B-A462-8F678C1F2B02}"/>
    <cellStyle name="SAPBEXresItem 4 2 5 2" xfId="20653" xr:uid="{329DEAF8-A826-4FB0-9FB8-EDF993ED0CB5}"/>
    <cellStyle name="SAPBEXresItem 4 2 6" xfId="20654" xr:uid="{970AE38E-C6CD-4A7C-AFCE-D535114B14D8}"/>
    <cellStyle name="SAPBEXresItem 4 2 6 2" xfId="20655" xr:uid="{80B71635-B248-4FC4-8EF7-E91262262D4B}"/>
    <cellStyle name="SAPBEXresItem 4 2 7" xfId="20656" xr:uid="{61CEB563-96E3-4A06-99FF-6133A73CAC29}"/>
    <cellStyle name="SAPBEXresItem 4 2 7 2" xfId="20657" xr:uid="{48541ED4-D86A-41A5-BF4C-AEBED8127132}"/>
    <cellStyle name="SAPBEXresItem 4 2 8" xfId="20658" xr:uid="{9065ECCE-6D9E-4EDA-B55F-7C390F083E0D}"/>
    <cellStyle name="SAPBEXresItem 4 2 8 2" xfId="20659" xr:uid="{BC257292-5364-49F8-BBAD-0ABAF7E24309}"/>
    <cellStyle name="SAPBEXresItem 4 2 9" xfId="20660" xr:uid="{1D21C048-647B-4B62-A100-D9E4206D7E0D}"/>
    <cellStyle name="SAPBEXresItem 4 2 9 2" xfId="20661" xr:uid="{EF902E6A-D2C4-4AE6-9B77-3FB54A111823}"/>
    <cellStyle name="SAPBEXresItem 4 3" xfId="20662" xr:uid="{BFD83F17-F8C7-4F14-898F-431023EFEBC1}"/>
    <cellStyle name="SAPBEXresItem 4 3 10" xfId="20663" xr:uid="{F3BCF981-4CC5-4B67-80D3-742D6ED72681}"/>
    <cellStyle name="SAPBEXresItem 4 3 10 2" xfId="20664" xr:uid="{C54B1BD0-CD40-4FAE-B0F1-D716A4875209}"/>
    <cellStyle name="SAPBEXresItem 4 3 11" xfId="20665" xr:uid="{5078A08C-FBB7-4FEC-8E5A-651B42713251}"/>
    <cellStyle name="SAPBEXresItem 4 3 11 2" xfId="20666" xr:uid="{57300958-975A-408F-9CB5-CCA86902788A}"/>
    <cellStyle name="SAPBEXresItem 4 3 12" xfId="20667" xr:uid="{E992D1D8-7C18-4BCA-B3AD-7A092EC566C0}"/>
    <cellStyle name="SAPBEXresItem 4 3 12 2" xfId="20668" xr:uid="{854A246D-F735-47A8-B90E-CC39F0B7608A}"/>
    <cellStyle name="SAPBEXresItem 4 3 13" xfId="20669" xr:uid="{30C1EFD0-7194-40D8-97A2-1930AAB1CB1B}"/>
    <cellStyle name="SAPBEXresItem 4 3 13 2" xfId="20670" xr:uid="{67E4C7AF-A266-4962-B657-05E1B3006F6C}"/>
    <cellStyle name="SAPBEXresItem 4 3 14" xfId="20671" xr:uid="{54331ED6-1FF2-43C2-9502-B2105D4864EB}"/>
    <cellStyle name="SAPBEXresItem 4 3 14 2" xfId="20672" xr:uid="{1811F3FC-F963-4750-9713-D99AD7AF0AB0}"/>
    <cellStyle name="SAPBEXresItem 4 3 15" xfId="20673" xr:uid="{1DEEAE2F-4843-4E1C-BEDA-7E9B10E7DA9E}"/>
    <cellStyle name="SAPBEXresItem 4 3 15 2" xfId="20674" xr:uid="{63D6A5F9-C0FB-43CE-881D-BB85ADDF19D2}"/>
    <cellStyle name="SAPBEXresItem 4 3 16" xfId="20675" xr:uid="{F316796E-2D2C-47F3-BF41-20ADA3771798}"/>
    <cellStyle name="SAPBEXresItem 4 3 2" xfId="20676" xr:uid="{BE628A8C-6C9D-4CC9-BD3E-3713BCEB7A69}"/>
    <cellStyle name="SAPBEXresItem 4 3 2 2" xfId="20677" xr:uid="{3A9454AA-8816-4FCE-A87C-BB9921E990A7}"/>
    <cellStyle name="SAPBEXresItem 4 3 3" xfId="20678" xr:uid="{2FB2E4AE-2200-4843-B3A5-0B9F2F9B2028}"/>
    <cellStyle name="SAPBEXresItem 4 3 3 2" xfId="20679" xr:uid="{6FB78DC6-9003-46CD-8D46-41894E9F3E15}"/>
    <cellStyle name="SAPBEXresItem 4 3 4" xfId="20680" xr:uid="{28E9FC9A-0C48-4800-B5F4-2116D2CA30D3}"/>
    <cellStyle name="SAPBEXresItem 4 3 4 2" xfId="20681" xr:uid="{AC7D7AB1-2FC3-44B7-8F02-37D274444AF4}"/>
    <cellStyle name="SAPBEXresItem 4 3 5" xfId="20682" xr:uid="{B30D46E3-B30A-42FB-AAEE-0691ECC26D71}"/>
    <cellStyle name="SAPBEXresItem 4 3 5 2" xfId="20683" xr:uid="{234BD653-394E-4BB4-B11F-7617C82D981B}"/>
    <cellStyle name="SAPBEXresItem 4 3 6" xfId="20684" xr:uid="{31B87C63-4E0A-4B82-BE19-E944E27F19CA}"/>
    <cellStyle name="SAPBEXresItem 4 3 6 2" xfId="20685" xr:uid="{AA85125C-E0CD-4099-AFDF-10C0E5D206BE}"/>
    <cellStyle name="SAPBEXresItem 4 3 7" xfId="20686" xr:uid="{A898CAD2-14FC-482F-9252-95EDFFBD0603}"/>
    <cellStyle name="SAPBEXresItem 4 3 7 2" xfId="20687" xr:uid="{EE08E44F-C9E4-4407-B63C-78B499B6852E}"/>
    <cellStyle name="SAPBEXresItem 4 3 8" xfId="20688" xr:uid="{03E3CEA3-82A6-4657-BE76-D242C3ACB091}"/>
    <cellStyle name="SAPBEXresItem 4 3 8 2" xfId="20689" xr:uid="{2F49356D-7D10-42C7-A791-CE4F9C59A481}"/>
    <cellStyle name="SAPBEXresItem 4 3 9" xfId="20690" xr:uid="{E555F21F-04D2-408B-933A-8E0FDF53B971}"/>
    <cellStyle name="SAPBEXresItem 4 3 9 2" xfId="20691" xr:uid="{4A6D3732-2843-4B6F-B0BC-52DF1E69E5E9}"/>
    <cellStyle name="SAPBEXresItem 4 4" xfId="20692" xr:uid="{8083C857-544F-4642-B1B2-2BE1ABD41274}"/>
    <cellStyle name="SAPBEXresItem 4 4 2" xfId="20693" xr:uid="{D8FD6A76-D62E-4097-9181-6C017E196768}"/>
    <cellStyle name="SAPBEXresItem 4 5" xfId="20694" xr:uid="{922B9733-2E1A-4588-B50D-E8665E9DBCCC}"/>
    <cellStyle name="SAPBEXresItem 4 5 2" xfId="20695" xr:uid="{21F344EF-A934-4F66-A194-65581CE0C544}"/>
    <cellStyle name="SAPBEXresItem 4 6" xfId="20696" xr:uid="{E858F93A-8336-4CAC-B7CB-813535754A24}"/>
    <cellStyle name="SAPBEXresItem 4 6 2" xfId="20697" xr:uid="{16C98FAF-1EE3-4C8B-9E06-F520B4B083D2}"/>
    <cellStyle name="SAPBEXresItem 4 7" xfId="20698" xr:uid="{C97AD955-D5E8-4FAC-A13B-987F98EDD8B0}"/>
    <cellStyle name="SAPBEXresItem 4 7 2" xfId="20699" xr:uid="{A1C6F335-4485-423D-9DAB-A57B0A6C5E34}"/>
    <cellStyle name="SAPBEXresItem 4 8" xfId="20700" xr:uid="{CC40D361-730E-4F8B-B5AE-2648A3A180A8}"/>
    <cellStyle name="SAPBEXresItem 4 8 2" xfId="20701" xr:uid="{937D5D1B-15E4-49D3-B7ED-2AB41553B54F}"/>
    <cellStyle name="SAPBEXresItem 4 9" xfId="20702" xr:uid="{7A06642B-E0F9-4DC9-8991-285B0DA4816A}"/>
    <cellStyle name="SAPBEXresItem 4 9 2" xfId="20703" xr:uid="{7233900E-F4A6-4D8E-8F57-CCCEEAD34A78}"/>
    <cellStyle name="SAPBEXresItem 5" xfId="20704" xr:uid="{5A16E806-2DBB-45CE-93A3-3B4F494B39CA}"/>
    <cellStyle name="SAPBEXresItem 5 10" xfId="20705" xr:uid="{52CA287F-3FF6-4CF1-94F6-FAE1A834D2FC}"/>
    <cellStyle name="SAPBEXresItem 5 10 2" xfId="20706" xr:uid="{D1324168-B320-4262-855A-DEFE423DE68B}"/>
    <cellStyle name="SAPBEXresItem 5 11" xfId="20707" xr:uid="{93C04216-8B0F-46C2-BE4C-D0319F823BF3}"/>
    <cellStyle name="SAPBEXresItem 5 11 2" xfId="20708" xr:uid="{382162F1-71EA-465C-9B9A-FAA317A2D287}"/>
    <cellStyle name="SAPBEXresItem 5 12" xfId="20709" xr:uid="{973F5711-C206-4DBB-91F7-F1BCE46B6AC6}"/>
    <cellStyle name="SAPBEXresItem 5 12 2" xfId="20710" xr:uid="{984ACFE9-907D-4C58-B0A9-2BF374F47B75}"/>
    <cellStyle name="SAPBEXresItem 5 13" xfId="20711" xr:uid="{3DD404B6-8C5D-4D09-AC34-860360F8A900}"/>
    <cellStyle name="SAPBEXresItem 5 13 2" xfId="20712" xr:uid="{9F716FBB-05AA-4CD9-BECA-B80EA6235CB3}"/>
    <cellStyle name="SAPBEXresItem 5 14" xfId="20713" xr:uid="{8A81F854-51EF-47FB-8A16-2EF7C0E454B9}"/>
    <cellStyle name="SAPBEXresItem 5 14 2" xfId="20714" xr:uid="{9C648490-A74F-474E-8D37-1DFDC3625C8E}"/>
    <cellStyle name="SAPBEXresItem 5 15" xfId="20715" xr:uid="{F1E4357A-6673-4615-B52B-0B58FEC2E67C}"/>
    <cellStyle name="SAPBEXresItem 5 15 2" xfId="20716" xr:uid="{E66D5771-7D6E-46D0-9122-965B69E5D683}"/>
    <cellStyle name="SAPBEXresItem 5 16" xfId="20717" xr:uid="{C68B22F5-FE75-4D4E-BF87-D0BA55C02F4F}"/>
    <cellStyle name="SAPBEXresItem 5 2" xfId="20718" xr:uid="{8092CD40-BA0F-4A3C-933B-8FD360B0CDF0}"/>
    <cellStyle name="SAPBEXresItem 5 2 2" xfId="20719" xr:uid="{D0FEBD50-4855-4BBB-B588-277998E3C90F}"/>
    <cellStyle name="SAPBEXresItem 5 3" xfId="20720" xr:uid="{23AA0037-67AE-48F2-97CE-1E6731F0AF42}"/>
    <cellStyle name="SAPBEXresItem 5 3 2" xfId="20721" xr:uid="{81A6D5C2-4ECD-410B-B041-540A5B6D7F87}"/>
    <cellStyle name="SAPBEXresItem 5 4" xfId="20722" xr:uid="{FD6C5EBC-075D-429A-BCC1-6377E87B4E1F}"/>
    <cellStyle name="SAPBEXresItem 5 4 2" xfId="20723" xr:uid="{279C0CD3-4764-4C2B-93E3-5CEF0D8C085C}"/>
    <cellStyle name="SAPBEXresItem 5 5" xfId="20724" xr:uid="{10D9735F-7B06-41D6-B353-B0F63AB9C10A}"/>
    <cellStyle name="SAPBEXresItem 5 5 2" xfId="20725" xr:uid="{D6BE98E5-0762-4079-936D-07961B620C1A}"/>
    <cellStyle name="SAPBEXresItem 5 6" xfId="20726" xr:uid="{3FB91B3F-D463-48A1-B1B2-4BE27EA637DC}"/>
    <cellStyle name="SAPBEXresItem 5 6 2" xfId="20727" xr:uid="{3E14E391-BF87-4D0A-BD1F-0E219338C23C}"/>
    <cellStyle name="SAPBEXresItem 5 7" xfId="20728" xr:uid="{6073ED25-1E32-4A90-BBED-CF9B4B6880D6}"/>
    <cellStyle name="SAPBEXresItem 5 7 2" xfId="20729" xr:uid="{E877CFE7-5E50-4BE0-A386-DD75E91BD7E1}"/>
    <cellStyle name="SAPBEXresItem 5 8" xfId="20730" xr:uid="{9D5444DF-2FC0-401E-9563-DAF2FA15D300}"/>
    <cellStyle name="SAPBEXresItem 5 8 2" xfId="20731" xr:uid="{AC2E38F1-C38F-47EE-99F7-787C0555A96C}"/>
    <cellStyle name="SAPBEXresItem 5 9" xfId="20732" xr:uid="{A13C0CB5-F7F3-40E3-8327-361C9A7FA542}"/>
    <cellStyle name="SAPBEXresItem 5 9 2" xfId="20733" xr:uid="{43420D49-135D-40DB-ADC7-C86A0E7B87A9}"/>
    <cellStyle name="SAPBEXresItem 6" xfId="20734" xr:uid="{88BF2EC7-AA60-4F96-9FB0-5DFCFA27EB83}"/>
    <cellStyle name="SAPBEXresItem 6 2" xfId="20735" xr:uid="{8C231949-CF3A-475F-B056-FF4653A91BC7}"/>
    <cellStyle name="SAPBEXresItem 7" xfId="20736" xr:uid="{B6116844-BECD-4929-9530-023DCD28E622}"/>
    <cellStyle name="SAPBEXresItem 7 2" xfId="20737" xr:uid="{DB62EC89-784A-472A-AB2C-592E76CC6D7A}"/>
    <cellStyle name="SAPBEXresItem 8" xfId="20738" xr:uid="{1173F269-B84A-4367-BCA7-41B2B6907F75}"/>
    <cellStyle name="SAPBEXresItem 8 2" xfId="20739" xr:uid="{B08AFF17-52CE-4F19-8765-A1EDAF694812}"/>
    <cellStyle name="SAPBEXresItem 9" xfId="20740" xr:uid="{E512C68A-2E82-4C08-BA22-00A6FE05F970}"/>
    <cellStyle name="SAPBEXresItem 9 2" xfId="20741" xr:uid="{094CB347-7ACF-4536-8C99-61BCB7F8E86A}"/>
    <cellStyle name="SAPBEXresItem_T1 ANSP" xfId="20292" xr:uid="{C9CE82B6-556A-4C95-B989-872BC7FB693E}"/>
    <cellStyle name="SAPBEXresItemX" xfId="757" xr:uid="{00000000-0005-0000-0000-0000AC050000}"/>
    <cellStyle name="SAPBEXresItemX 10" xfId="20743" xr:uid="{A970BE95-B1D7-40C1-9E4F-936665119923}"/>
    <cellStyle name="SAPBEXresItemX 10 2" xfId="20744" xr:uid="{E57766BE-5A9C-45D3-B7CB-915A2F54777A}"/>
    <cellStyle name="SAPBEXresItemX 11" xfId="20745" xr:uid="{31E2B8BE-9C9F-4622-8661-8465E7915105}"/>
    <cellStyle name="SAPBEXresItemX 11 2" xfId="20746" xr:uid="{6B1E4747-22A6-4774-8DC4-ECE9FD5C22BF}"/>
    <cellStyle name="SAPBEXresItemX 12" xfId="20747" xr:uid="{AF466645-D82B-43EC-9BC5-AD0AD071AEDA}"/>
    <cellStyle name="SAPBEXresItemX 12 2" xfId="20748" xr:uid="{78465803-2112-4B8F-B728-FC2EB9B26602}"/>
    <cellStyle name="SAPBEXresItemX 13" xfId="20749" xr:uid="{61563C89-F6B6-4687-9EBB-586305CBB481}"/>
    <cellStyle name="SAPBEXresItemX 13 2" xfId="20750" xr:uid="{EAD799D3-D797-43E3-B615-00870E3D22D4}"/>
    <cellStyle name="SAPBEXresItemX 14" xfId="20751" xr:uid="{8334E9A9-5E5F-431E-8A3A-381518D977FC}"/>
    <cellStyle name="SAPBEXresItemX 14 2" xfId="20752" xr:uid="{36F053F2-510C-437F-BF98-A44FC22162F0}"/>
    <cellStyle name="SAPBEXresItemX 15" xfId="20753" xr:uid="{82FEFF5A-3C8F-4E3B-AA7C-E7FE0A36BF60}"/>
    <cellStyle name="SAPBEXresItemX 15 2" xfId="20754" xr:uid="{02109D97-F2F9-49C1-857B-6BF24A5A2A4E}"/>
    <cellStyle name="SAPBEXresItemX 16" xfId="20755" xr:uid="{231203E4-AC98-46B1-9DD5-BA06BA5820E2}"/>
    <cellStyle name="SAPBEXresItemX 16 2" xfId="20756" xr:uid="{36295383-8388-44C0-9FC0-192C9BB53167}"/>
    <cellStyle name="SAPBEXresItemX 17" xfId="20757" xr:uid="{0F8CF79B-CC30-47AA-8ABC-7EBFD11E07FA}"/>
    <cellStyle name="SAPBEXresItemX 17 2" xfId="20758" xr:uid="{A1B85534-B6AF-4496-9AD5-60C6FABA46DB}"/>
    <cellStyle name="SAPBEXresItemX 18" xfId="20759" xr:uid="{FF41D8A9-BF8F-4323-A766-90BBA1DE82C1}"/>
    <cellStyle name="SAPBEXresItemX 18 2" xfId="20760" xr:uid="{D8B0EFAE-FB3A-4928-87C6-2E8C175D4E0E}"/>
    <cellStyle name="SAPBEXresItemX 19" xfId="20761" xr:uid="{A1510069-C9CC-47AE-9C27-208C0A7BCD57}"/>
    <cellStyle name="SAPBEXresItemX 19 2" xfId="20762" xr:uid="{E1BA19C8-D7EE-4BC7-9C25-DB105B83021B}"/>
    <cellStyle name="SAPBEXresItemX 2" xfId="1571" xr:uid="{00000000-0005-0000-0000-0000AD050000}"/>
    <cellStyle name="SAPBEXresItemX 2 10" xfId="20764" xr:uid="{3A95A33D-C1D1-4732-9984-889F99687417}"/>
    <cellStyle name="SAPBEXresItemX 2 10 2" xfId="20765" xr:uid="{E3DCA118-0F87-4DCB-BD6F-5CAF1610CB2A}"/>
    <cellStyle name="SAPBEXresItemX 2 11" xfId="20766" xr:uid="{B933881C-61EE-4E19-A312-081B035D7E06}"/>
    <cellStyle name="SAPBEXresItemX 2 11 2" xfId="20767" xr:uid="{C1DB2640-48A4-4492-91F0-327E2AF476E0}"/>
    <cellStyle name="SAPBEXresItemX 2 12" xfId="20768" xr:uid="{FF5DF023-446A-4507-95B0-B5E0C64954C3}"/>
    <cellStyle name="SAPBEXresItemX 2 12 2" xfId="20769" xr:uid="{86C976F1-517D-4EE9-B1AE-5511F35B3F4B}"/>
    <cellStyle name="SAPBEXresItemX 2 13" xfId="20770" xr:uid="{C7A13FEC-0A07-49E9-BA3E-051EAAA904C3}"/>
    <cellStyle name="SAPBEXresItemX 2 13 2" xfId="20771" xr:uid="{4DA1265D-576A-40B9-B55C-94632036DB85}"/>
    <cellStyle name="SAPBEXresItemX 2 14" xfId="20772" xr:uid="{B1606F8D-33F5-4160-B826-28EECDF8820B}"/>
    <cellStyle name="SAPBEXresItemX 2 14 2" xfId="20773" xr:uid="{38F36E7C-3C67-461C-BB0B-CE63CB200C12}"/>
    <cellStyle name="SAPBEXresItemX 2 15" xfId="20774" xr:uid="{3055C7B0-6BC7-4302-9C95-AAC950A03EA2}"/>
    <cellStyle name="SAPBEXresItemX 2 15 2" xfId="20775" xr:uid="{85B564A5-5D78-4186-84A4-34D6DB6374D7}"/>
    <cellStyle name="SAPBEXresItemX 2 16" xfId="20776" xr:uid="{38EFF750-4AE5-4A0B-87F5-F215969FDA97}"/>
    <cellStyle name="SAPBEXresItemX 2 16 2" xfId="20777" xr:uid="{84DDFF5E-EB0A-4A62-82D9-647FA9DB9C0A}"/>
    <cellStyle name="SAPBEXresItemX 2 17" xfId="20778" xr:uid="{3066A527-7166-4699-97C9-C693683EA41B}"/>
    <cellStyle name="SAPBEXresItemX 2 17 2" xfId="20779" xr:uid="{DD31EA63-F53F-46FA-91E6-803ABD613316}"/>
    <cellStyle name="SAPBEXresItemX 2 18" xfId="20780" xr:uid="{EEB695F5-1375-40FE-855B-29C87068DE60}"/>
    <cellStyle name="SAPBEXresItemX 2 2" xfId="20781" xr:uid="{4F2CBAE8-1EA3-49CD-A14E-5CCC7E0B6325}"/>
    <cellStyle name="SAPBEXresItemX 2 2 10" xfId="20782" xr:uid="{66E2BBF0-DDB2-497D-9E1D-3DE1A92FA966}"/>
    <cellStyle name="SAPBEXresItemX 2 2 10 2" xfId="20783" xr:uid="{2054946A-6EE2-418A-A1B4-DF0EDB0B682F}"/>
    <cellStyle name="SAPBEXresItemX 2 2 11" xfId="20784" xr:uid="{73AB9EBE-8DD3-4AE1-B8A0-DBCC2CB9B6A9}"/>
    <cellStyle name="SAPBEXresItemX 2 2 11 2" xfId="20785" xr:uid="{7C4CEE3F-C032-4716-8856-2F90B18BD3D4}"/>
    <cellStyle name="SAPBEXresItemX 2 2 12" xfId="20786" xr:uid="{4879EFA1-BB3F-45E8-A3FB-F4822142E3DB}"/>
    <cellStyle name="SAPBEXresItemX 2 2 12 2" xfId="20787" xr:uid="{9664CB32-9EC6-4EEB-936C-4E4FFBE6D307}"/>
    <cellStyle name="SAPBEXresItemX 2 2 13" xfId="20788" xr:uid="{4CD75A1A-834C-4FB2-9704-265A62AB16D8}"/>
    <cellStyle name="SAPBEXresItemX 2 2 13 2" xfId="20789" xr:uid="{8C95D13C-E42E-42E9-BAC7-26B0E0FF98E8}"/>
    <cellStyle name="SAPBEXresItemX 2 2 14" xfId="20790" xr:uid="{4D75D33F-49B9-4F59-A8C6-FFBDD8AE6D31}"/>
    <cellStyle name="SAPBEXresItemX 2 2 14 2" xfId="20791" xr:uid="{0037D621-BE27-44B8-9D07-06539164AD09}"/>
    <cellStyle name="SAPBEXresItemX 2 2 15" xfId="20792" xr:uid="{13ADFB1E-2CDC-4550-B8C1-B46917C929C0}"/>
    <cellStyle name="SAPBEXresItemX 2 2 15 2" xfId="20793" xr:uid="{327F8C93-F3E3-4EDA-8CB3-ED637C948BC5}"/>
    <cellStyle name="SAPBEXresItemX 2 2 16" xfId="20794" xr:uid="{391CCBBA-831B-4DBA-B55D-C1B919AD3897}"/>
    <cellStyle name="SAPBEXresItemX 2 2 16 2" xfId="20795" xr:uid="{752706F8-59AF-4E39-88D0-E471C4B2E614}"/>
    <cellStyle name="SAPBEXresItemX 2 2 17" xfId="20796" xr:uid="{DAF2D3BA-E348-4886-AC14-EEC488125F87}"/>
    <cellStyle name="SAPBEXresItemX 2 2 17 2" xfId="20797" xr:uid="{CB6AAD78-523F-4F45-BD7D-C5C6D856D962}"/>
    <cellStyle name="SAPBEXresItemX 2 2 18" xfId="20798" xr:uid="{960723C4-3FF4-4FB3-AF06-856C1632D8EF}"/>
    <cellStyle name="SAPBEXresItemX 2 2 2" xfId="20799" xr:uid="{3287F2D6-8933-493A-8D1D-CEEA7D62ACE8}"/>
    <cellStyle name="SAPBEXresItemX 2 2 2 10" xfId="20800" xr:uid="{5330763D-F01E-4362-AEE1-73E0B99CDEDD}"/>
    <cellStyle name="SAPBEXresItemX 2 2 2 10 2" xfId="20801" xr:uid="{6AB844DB-857A-48A7-9834-3CC1DF678CA8}"/>
    <cellStyle name="SAPBEXresItemX 2 2 2 11" xfId="20802" xr:uid="{83D091FF-78D5-470F-A1B0-BC893CB052A4}"/>
    <cellStyle name="SAPBEXresItemX 2 2 2 11 2" xfId="20803" xr:uid="{43746527-C2DA-42A7-B1C6-582E54D3405F}"/>
    <cellStyle name="SAPBEXresItemX 2 2 2 12" xfId="20804" xr:uid="{492B3DDB-176C-4086-9C09-FA73B0F5A006}"/>
    <cellStyle name="SAPBEXresItemX 2 2 2 12 2" xfId="20805" xr:uid="{1BE02912-B1F6-4114-8CC2-2F7D25EBF63E}"/>
    <cellStyle name="SAPBEXresItemX 2 2 2 13" xfId="20806" xr:uid="{BCB1D330-887B-4B7E-B665-9F01C9B72787}"/>
    <cellStyle name="SAPBEXresItemX 2 2 2 13 2" xfId="20807" xr:uid="{BCD65859-B634-471F-A09A-B8A8FCAE084C}"/>
    <cellStyle name="SAPBEXresItemX 2 2 2 14" xfId="20808" xr:uid="{96E77AFD-BDF3-47B1-ADB4-68EC6572F576}"/>
    <cellStyle name="SAPBEXresItemX 2 2 2 14 2" xfId="20809" xr:uid="{E69D695C-0C1C-4EF6-A9BA-E863172A5B31}"/>
    <cellStyle name="SAPBEXresItemX 2 2 2 15" xfId="20810" xr:uid="{996070FE-9FA4-4AE8-B516-5C314225F0C4}"/>
    <cellStyle name="SAPBEXresItemX 2 2 2 15 2" xfId="20811" xr:uid="{E5327030-6952-4AA1-BDFC-3EC6D2BC2B21}"/>
    <cellStyle name="SAPBEXresItemX 2 2 2 16" xfId="20812" xr:uid="{45F88CE2-B6AD-41E8-BC38-A56B8976D9C0}"/>
    <cellStyle name="SAPBEXresItemX 2 2 2 2" xfId="20813" xr:uid="{416AB6CF-91B0-4E19-8710-698C581363A2}"/>
    <cellStyle name="SAPBEXresItemX 2 2 2 2 2" xfId="20814" xr:uid="{DF6A67A3-EC3F-47D2-85A2-FBA55FC63D1D}"/>
    <cellStyle name="SAPBEXresItemX 2 2 2 3" xfId="20815" xr:uid="{BFEC4024-7EB7-4520-B006-5A087FFE7AAC}"/>
    <cellStyle name="SAPBEXresItemX 2 2 2 3 2" xfId="20816" xr:uid="{ECCE543E-871C-4B67-A77D-5914FC19D6C8}"/>
    <cellStyle name="SAPBEXresItemX 2 2 2 4" xfId="20817" xr:uid="{2D056949-F273-4334-98DE-5A2C8E35D2E8}"/>
    <cellStyle name="SAPBEXresItemX 2 2 2 4 2" xfId="20818" xr:uid="{B6E14079-B929-4FC0-9746-20E6D4576B5F}"/>
    <cellStyle name="SAPBEXresItemX 2 2 2 5" xfId="20819" xr:uid="{4CBCFC97-65D5-42C0-B3BE-84683DBE22CD}"/>
    <cellStyle name="SAPBEXresItemX 2 2 2 5 2" xfId="20820" xr:uid="{9BAD6CF1-87E9-4AD1-9787-29A44D88DABA}"/>
    <cellStyle name="SAPBEXresItemX 2 2 2 6" xfId="20821" xr:uid="{59454ED1-392E-4A3E-A7E6-1ABFAAFEA33A}"/>
    <cellStyle name="SAPBEXresItemX 2 2 2 6 2" xfId="20822" xr:uid="{AFCC9D16-5791-4398-ABFC-CB2E6403C6C6}"/>
    <cellStyle name="SAPBEXresItemX 2 2 2 7" xfId="20823" xr:uid="{A2FAD63C-9F8C-4540-9359-C7CB7D4EDA42}"/>
    <cellStyle name="SAPBEXresItemX 2 2 2 7 2" xfId="20824" xr:uid="{BBBB8D21-1ED5-4198-BFAE-8A1F27A98549}"/>
    <cellStyle name="SAPBEXresItemX 2 2 2 8" xfId="20825" xr:uid="{EF95E55C-FCB6-446D-ABA9-2F80547A199D}"/>
    <cellStyle name="SAPBEXresItemX 2 2 2 8 2" xfId="20826" xr:uid="{296818CD-BFE6-4CFD-9A26-F4538E30969E}"/>
    <cellStyle name="SAPBEXresItemX 2 2 2 9" xfId="20827" xr:uid="{4B8D619C-462D-47CE-8383-55756286BDFB}"/>
    <cellStyle name="SAPBEXresItemX 2 2 2 9 2" xfId="20828" xr:uid="{52B58D07-05E2-43A9-9CD0-55AA59D8965A}"/>
    <cellStyle name="SAPBEXresItemX 2 2 3" xfId="20829" xr:uid="{E685431C-A44B-44B9-BBB9-AC736D1F5FD0}"/>
    <cellStyle name="SAPBEXresItemX 2 2 3 10" xfId="20830" xr:uid="{18F393DE-8FB7-4FE8-B17A-D92B622BC935}"/>
    <cellStyle name="SAPBEXresItemX 2 2 3 10 2" xfId="20831" xr:uid="{6D6FD7D5-3BA6-4D59-92A8-832D409ADC51}"/>
    <cellStyle name="SAPBEXresItemX 2 2 3 11" xfId="20832" xr:uid="{DF1EDF47-11DC-4064-BABB-0A489F436F86}"/>
    <cellStyle name="SAPBEXresItemX 2 2 3 11 2" xfId="20833" xr:uid="{777F50B8-E8E8-4840-B12B-A795A64FC446}"/>
    <cellStyle name="SAPBEXresItemX 2 2 3 12" xfId="20834" xr:uid="{6CBCD829-0944-47DD-8A07-1C149ECBA99A}"/>
    <cellStyle name="SAPBEXresItemX 2 2 3 12 2" xfId="20835" xr:uid="{83CF4EEE-0A97-4185-AA3B-A0CE6C06512B}"/>
    <cellStyle name="SAPBEXresItemX 2 2 3 13" xfId="20836" xr:uid="{C31761B6-7DFD-4449-98B9-7CCCC49A141A}"/>
    <cellStyle name="SAPBEXresItemX 2 2 3 13 2" xfId="20837" xr:uid="{8B5F9A8E-4612-426A-91D5-C61EFB3049D7}"/>
    <cellStyle name="SAPBEXresItemX 2 2 3 14" xfId="20838" xr:uid="{63A2701A-1FC0-4264-A4ED-D526E04CC287}"/>
    <cellStyle name="SAPBEXresItemX 2 2 3 14 2" xfId="20839" xr:uid="{14CCC4C3-BD33-438F-9C34-0CA42C06BE45}"/>
    <cellStyle name="SAPBEXresItemX 2 2 3 15" xfId="20840" xr:uid="{D345A0CA-54D9-4DDB-B473-47E8129509D1}"/>
    <cellStyle name="SAPBEXresItemX 2 2 3 15 2" xfId="20841" xr:uid="{BDFF6CDD-373B-4596-8611-301AF4AC33B7}"/>
    <cellStyle name="SAPBEXresItemX 2 2 3 16" xfId="20842" xr:uid="{FD6C3D6A-43B1-4EBD-94DF-93DAAE47AD53}"/>
    <cellStyle name="SAPBEXresItemX 2 2 3 2" xfId="20843" xr:uid="{785E9281-0600-47D9-8A68-220BB7623AE1}"/>
    <cellStyle name="SAPBEXresItemX 2 2 3 2 2" xfId="20844" xr:uid="{53EBE874-B8F9-4DE3-B88F-43EDF96A3D60}"/>
    <cellStyle name="SAPBEXresItemX 2 2 3 3" xfId="20845" xr:uid="{58065B0E-324B-416C-9DC6-EABF851F4B6F}"/>
    <cellStyle name="SAPBEXresItemX 2 2 3 3 2" xfId="20846" xr:uid="{CAC4BD59-E7F3-47FE-9E9D-F9DDF5FC5841}"/>
    <cellStyle name="SAPBEXresItemX 2 2 3 4" xfId="20847" xr:uid="{0552330C-7742-499B-B86C-7E52FA58DD49}"/>
    <cellStyle name="SAPBEXresItemX 2 2 3 4 2" xfId="20848" xr:uid="{F88B26C3-4AE3-4580-9D6B-E4BFDF56292F}"/>
    <cellStyle name="SAPBEXresItemX 2 2 3 5" xfId="20849" xr:uid="{90F7F88E-4555-415B-BBB6-0F0BDD4B5378}"/>
    <cellStyle name="SAPBEXresItemX 2 2 3 5 2" xfId="20850" xr:uid="{98341550-4DE9-4F10-BCF4-CE1D63542774}"/>
    <cellStyle name="SAPBEXresItemX 2 2 3 6" xfId="20851" xr:uid="{8E647AE7-AA92-4F68-8B44-F4FA5FA5DA97}"/>
    <cellStyle name="SAPBEXresItemX 2 2 3 6 2" xfId="20852" xr:uid="{69CC4F66-5CD6-47F2-A881-201FE0CBC985}"/>
    <cellStyle name="SAPBEXresItemX 2 2 3 7" xfId="20853" xr:uid="{50E37E1C-9B63-4D07-997A-225BA284EF55}"/>
    <cellStyle name="SAPBEXresItemX 2 2 3 7 2" xfId="20854" xr:uid="{8E264E76-C8AB-467A-B2BB-05B611BA3A00}"/>
    <cellStyle name="SAPBEXresItemX 2 2 3 8" xfId="20855" xr:uid="{27B86921-07C5-4630-8F72-9E1023BE27AF}"/>
    <cellStyle name="SAPBEXresItemX 2 2 3 8 2" xfId="20856" xr:uid="{D80214A3-235A-4017-884F-4058D3CC9128}"/>
    <cellStyle name="SAPBEXresItemX 2 2 3 9" xfId="20857" xr:uid="{5BCCD9B0-0CBF-40EC-B1AC-4B4536A0A5B3}"/>
    <cellStyle name="SAPBEXresItemX 2 2 3 9 2" xfId="20858" xr:uid="{1C7CD7E4-BBE7-4A06-8943-570090EF8F96}"/>
    <cellStyle name="SAPBEXresItemX 2 2 4" xfId="20859" xr:uid="{C8D28F3B-319F-4DD7-B7AD-9EC053C868DE}"/>
    <cellStyle name="SAPBEXresItemX 2 2 4 2" xfId="20860" xr:uid="{F530A8BB-3514-4A5C-9246-347F225894F3}"/>
    <cellStyle name="SAPBEXresItemX 2 2 5" xfId="20861" xr:uid="{C9FE62DC-01A2-423D-98C9-1F3A794B4306}"/>
    <cellStyle name="SAPBEXresItemX 2 2 5 2" xfId="20862" xr:uid="{8583BF74-6631-4362-A62B-4DFDD46B203B}"/>
    <cellStyle name="SAPBEXresItemX 2 2 6" xfId="20863" xr:uid="{4B0F8033-1F1A-483B-A1EA-B229150BCECD}"/>
    <cellStyle name="SAPBEXresItemX 2 2 6 2" xfId="20864" xr:uid="{3F838B18-F6CB-4744-A4D6-434367F00D12}"/>
    <cellStyle name="SAPBEXresItemX 2 2 7" xfId="20865" xr:uid="{3205E4B9-F460-4BF8-AE6E-9AE56007A032}"/>
    <cellStyle name="SAPBEXresItemX 2 2 7 2" xfId="20866" xr:uid="{36A60FF8-0D76-4F4F-9A01-D41D5908FF23}"/>
    <cellStyle name="SAPBEXresItemX 2 2 8" xfId="20867" xr:uid="{0CF23932-F7EA-4DFD-B1A7-36B462F92539}"/>
    <cellStyle name="SAPBEXresItemX 2 2 8 2" xfId="20868" xr:uid="{A5F9B538-79B2-4D5A-A4F2-3CCC2A6C7D2A}"/>
    <cellStyle name="SAPBEXresItemX 2 2 9" xfId="20869" xr:uid="{37A5208E-2875-448E-81A4-DF5E496EE368}"/>
    <cellStyle name="SAPBEXresItemX 2 2 9 2" xfId="20870" xr:uid="{7DE9901B-CB5E-49DC-8222-157E914BC879}"/>
    <cellStyle name="SAPBEXresItemX 2 3" xfId="20871" xr:uid="{EDB3858C-9617-45BA-B590-1702DAE2C826}"/>
    <cellStyle name="SAPBEXresItemX 2 3 10" xfId="20872" xr:uid="{3E30FCBB-B2B7-45A9-8C1D-DC761F187E9A}"/>
    <cellStyle name="SAPBEXresItemX 2 3 10 2" xfId="20873" xr:uid="{AB008C96-12AD-45E7-B6E7-55589592BD28}"/>
    <cellStyle name="SAPBEXresItemX 2 3 11" xfId="20874" xr:uid="{B1E62F00-0C37-4C1D-BE72-9E7987728A30}"/>
    <cellStyle name="SAPBEXresItemX 2 3 11 2" xfId="20875" xr:uid="{DFF73986-D0D9-4019-9279-5B131418C312}"/>
    <cellStyle name="SAPBEXresItemX 2 3 12" xfId="20876" xr:uid="{CB898191-885E-4CBF-95A8-029AD3501335}"/>
    <cellStyle name="SAPBEXresItemX 2 3 12 2" xfId="20877" xr:uid="{44036190-B002-40E2-A926-2976D63A1DBF}"/>
    <cellStyle name="SAPBEXresItemX 2 3 13" xfId="20878" xr:uid="{926F076F-2199-47A0-9C8A-779892A8C429}"/>
    <cellStyle name="SAPBEXresItemX 2 3 13 2" xfId="20879" xr:uid="{96607AE3-6CCF-4174-A810-BA6F297EBE18}"/>
    <cellStyle name="SAPBEXresItemX 2 3 14" xfId="20880" xr:uid="{31D9E941-7AAF-4D50-B8D8-86F524038991}"/>
    <cellStyle name="SAPBEXresItemX 2 3 14 2" xfId="20881" xr:uid="{A2FCC101-1C9A-4D73-AA18-1840F64C22F5}"/>
    <cellStyle name="SAPBEXresItemX 2 3 15" xfId="20882" xr:uid="{B811D810-6F85-4195-A13D-3B0A0B4485A5}"/>
    <cellStyle name="SAPBEXresItemX 2 3 15 2" xfId="20883" xr:uid="{2B2C3670-46AB-4D1B-81D6-DDB03A7A06A1}"/>
    <cellStyle name="SAPBEXresItemX 2 3 16" xfId="20884" xr:uid="{D0D8D0F7-C522-421D-A744-24E13C1237EA}"/>
    <cellStyle name="SAPBEXresItemX 2 3 16 2" xfId="20885" xr:uid="{6372A791-4207-476A-B1A3-9C7858BF096E}"/>
    <cellStyle name="SAPBEXresItemX 2 3 17" xfId="20886" xr:uid="{A915F1FD-DADB-4648-B3A8-AB0A2570F2B0}"/>
    <cellStyle name="SAPBEXresItemX 2 3 17 2" xfId="20887" xr:uid="{778F007F-EDF5-497B-9E4C-7D236153FD9B}"/>
    <cellStyle name="SAPBEXresItemX 2 3 18" xfId="20888" xr:uid="{5127BA97-FD84-4E18-B92D-FC8EBD2CF4B8}"/>
    <cellStyle name="SAPBEXresItemX 2 3 2" xfId="20889" xr:uid="{4A56F7AC-2A89-4D11-A471-8B72452E5AC9}"/>
    <cellStyle name="SAPBEXresItemX 2 3 2 10" xfId="20890" xr:uid="{B3568704-267E-4C0F-BA75-7EBDD1DC89D7}"/>
    <cellStyle name="SAPBEXresItemX 2 3 2 10 2" xfId="20891" xr:uid="{BDB0C094-557F-4017-8401-33F3D3CD2B30}"/>
    <cellStyle name="SAPBEXresItemX 2 3 2 11" xfId="20892" xr:uid="{B12199EA-1392-4201-9723-874910E904CD}"/>
    <cellStyle name="SAPBEXresItemX 2 3 2 11 2" xfId="20893" xr:uid="{3D136436-C995-4BB6-A713-1B1B428F638D}"/>
    <cellStyle name="SAPBEXresItemX 2 3 2 12" xfId="20894" xr:uid="{FC1F73FF-BDAB-4197-8520-012AA51DC762}"/>
    <cellStyle name="SAPBEXresItemX 2 3 2 12 2" xfId="20895" xr:uid="{BFB36FCE-E936-4648-813E-DE39E5A0B25F}"/>
    <cellStyle name="SAPBEXresItemX 2 3 2 13" xfId="20896" xr:uid="{A60D51F6-A64D-4BFB-A7C1-598FF6B1B764}"/>
    <cellStyle name="SAPBEXresItemX 2 3 2 13 2" xfId="20897" xr:uid="{B1706ADC-ED3F-4424-8D77-57E036F09897}"/>
    <cellStyle name="SAPBEXresItemX 2 3 2 14" xfId="20898" xr:uid="{B21FE47B-0179-472E-8A58-1DE23314870B}"/>
    <cellStyle name="SAPBEXresItemX 2 3 2 14 2" xfId="20899" xr:uid="{7C1605F6-7228-4D21-B4B5-5625B8DE9A20}"/>
    <cellStyle name="SAPBEXresItemX 2 3 2 15" xfId="20900" xr:uid="{E353F143-0E9C-4BA6-B4C0-41226B0B0F7E}"/>
    <cellStyle name="SAPBEXresItemX 2 3 2 15 2" xfId="20901" xr:uid="{79FD7A6A-0893-4E31-B476-F41AF675822D}"/>
    <cellStyle name="SAPBEXresItemX 2 3 2 16" xfId="20902" xr:uid="{D30824F4-806A-4AB7-8305-4E5F9AC5C876}"/>
    <cellStyle name="SAPBEXresItemX 2 3 2 2" xfId="20903" xr:uid="{4703E9CB-E7D2-4420-A1F7-273DCD5B6854}"/>
    <cellStyle name="SAPBEXresItemX 2 3 2 2 2" xfId="20904" xr:uid="{B780B934-5ADD-45F5-AB35-EC83742D7955}"/>
    <cellStyle name="SAPBEXresItemX 2 3 2 3" xfId="20905" xr:uid="{B4B0E217-79FA-4685-93DE-0946C1381A74}"/>
    <cellStyle name="SAPBEXresItemX 2 3 2 3 2" xfId="20906" xr:uid="{6DAC4E9D-939E-46E9-A9A3-EB8F922AFDBC}"/>
    <cellStyle name="SAPBEXresItemX 2 3 2 4" xfId="20907" xr:uid="{E6A88199-7F79-48DD-8275-3E940BA555C3}"/>
    <cellStyle name="SAPBEXresItemX 2 3 2 4 2" xfId="20908" xr:uid="{3B5F582C-8824-4A7C-9F5B-015B7CF7E308}"/>
    <cellStyle name="SAPBEXresItemX 2 3 2 5" xfId="20909" xr:uid="{72B759CA-E3EA-404D-B2AF-BCBADB7F84B6}"/>
    <cellStyle name="SAPBEXresItemX 2 3 2 5 2" xfId="20910" xr:uid="{883302B4-CA49-4087-9529-969328C71402}"/>
    <cellStyle name="SAPBEXresItemX 2 3 2 6" xfId="20911" xr:uid="{DB8349A4-F961-4A84-9F77-C3A7F4D6F4BB}"/>
    <cellStyle name="SAPBEXresItemX 2 3 2 6 2" xfId="20912" xr:uid="{A8E9D05C-3CA9-416A-86FA-C1548D0DB603}"/>
    <cellStyle name="SAPBEXresItemX 2 3 2 7" xfId="20913" xr:uid="{1C1AFE44-032A-4657-BD65-AE15082E2CFC}"/>
    <cellStyle name="SAPBEXresItemX 2 3 2 7 2" xfId="20914" xr:uid="{0142A1DF-5065-44E5-94A9-B5AC319F6A6D}"/>
    <cellStyle name="SAPBEXresItemX 2 3 2 8" xfId="20915" xr:uid="{676290E9-3D88-40FC-9DD5-6FC0149C1DCF}"/>
    <cellStyle name="SAPBEXresItemX 2 3 2 8 2" xfId="20916" xr:uid="{D13DB1CD-DB4A-4CFA-8F3B-042C0DA50F47}"/>
    <cellStyle name="SAPBEXresItemX 2 3 2 9" xfId="20917" xr:uid="{8BC316E6-56CF-497F-9AF5-061DB70E8FD0}"/>
    <cellStyle name="SAPBEXresItemX 2 3 2 9 2" xfId="20918" xr:uid="{36A1777B-7316-44D9-BF3F-7A7E72D87183}"/>
    <cellStyle name="SAPBEXresItemX 2 3 3" xfId="20919" xr:uid="{F92ABE57-0598-4742-BD8F-2781305D2E4B}"/>
    <cellStyle name="SAPBEXresItemX 2 3 3 10" xfId="20920" xr:uid="{81A6A7BE-FC7D-4525-9CF6-98A9A21B391E}"/>
    <cellStyle name="SAPBEXresItemX 2 3 3 10 2" xfId="20921" xr:uid="{47469C76-E846-4DD0-BE60-2A48B64B9D59}"/>
    <cellStyle name="SAPBEXresItemX 2 3 3 11" xfId="20922" xr:uid="{156706E4-56B8-42A7-BBAC-65381B98DC78}"/>
    <cellStyle name="SAPBEXresItemX 2 3 3 11 2" xfId="20923" xr:uid="{394BD225-8B84-4D8C-9E5A-1C20B534E9F5}"/>
    <cellStyle name="SAPBEXresItemX 2 3 3 12" xfId="20924" xr:uid="{DBCF1571-7E68-45FF-AF61-773A203E95BD}"/>
    <cellStyle name="SAPBEXresItemX 2 3 3 12 2" xfId="20925" xr:uid="{E204A120-7FBB-42F7-98A9-0F288543EE1F}"/>
    <cellStyle name="SAPBEXresItemX 2 3 3 13" xfId="20926" xr:uid="{FD53FF9F-05A5-4836-9055-725C2DC94F68}"/>
    <cellStyle name="SAPBEXresItemX 2 3 3 13 2" xfId="20927" xr:uid="{D4E7EAE8-0A7E-46A9-8F3F-248448DF678B}"/>
    <cellStyle name="SAPBEXresItemX 2 3 3 14" xfId="20928" xr:uid="{5CFCC3D1-61F9-4A7E-9B47-B118B24EFCA8}"/>
    <cellStyle name="SAPBEXresItemX 2 3 3 14 2" xfId="20929" xr:uid="{DBDDD70B-D1BC-46BC-BDDF-3674751F49FD}"/>
    <cellStyle name="SAPBEXresItemX 2 3 3 15" xfId="20930" xr:uid="{D22DFCC5-AE05-4213-A718-370DEAC215A6}"/>
    <cellStyle name="SAPBEXresItemX 2 3 3 15 2" xfId="20931" xr:uid="{C4B3427A-78D7-47F6-8ABD-F37A4973CC87}"/>
    <cellStyle name="SAPBEXresItemX 2 3 3 16" xfId="20932" xr:uid="{1714DB8D-580A-42C4-AC01-FCE60463D8AD}"/>
    <cellStyle name="SAPBEXresItemX 2 3 3 2" xfId="20933" xr:uid="{4E0DB4B8-8BBD-4375-A337-01CFFC372A3D}"/>
    <cellStyle name="SAPBEXresItemX 2 3 3 2 2" xfId="20934" xr:uid="{2E92CF46-F039-4D9D-970F-6CADBED9C7FD}"/>
    <cellStyle name="SAPBEXresItemX 2 3 3 3" xfId="20935" xr:uid="{2DB9101F-7FD1-4441-878F-8A61E742C4B1}"/>
    <cellStyle name="SAPBEXresItemX 2 3 3 3 2" xfId="20936" xr:uid="{8CDD041A-1FB1-437E-9ABC-9874A1DE7763}"/>
    <cellStyle name="SAPBEXresItemX 2 3 3 4" xfId="20937" xr:uid="{3A539DFC-35B4-46DE-9038-8221C91E3A90}"/>
    <cellStyle name="SAPBEXresItemX 2 3 3 4 2" xfId="20938" xr:uid="{FA5D6EF9-CB8D-44D8-A7C4-7C89BA655460}"/>
    <cellStyle name="SAPBEXresItemX 2 3 3 5" xfId="20939" xr:uid="{8D55AD1E-F278-4490-A91C-AEB57937E525}"/>
    <cellStyle name="SAPBEXresItemX 2 3 3 5 2" xfId="20940" xr:uid="{966C9C6E-366F-49D8-8765-68754F436059}"/>
    <cellStyle name="SAPBEXresItemX 2 3 3 6" xfId="20941" xr:uid="{44AB0812-005C-484C-9CB6-FA83DA5B74C4}"/>
    <cellStyle name="SAPBEXresItemX 2 3 3 6 2" xfId="20942" xr:uid="{BBBBFCD6-F5F0-420F-8977-200BCC672760}"/>
    <cellStyle name="SAPBEXresItemX 2 3 3 7" xfId="20943" xr:uid="{DBC8BC5E-A7DF-4E8E-A172-82E57A0AE548}"/>
    <cellStyle name="SAPBEXresItemX 2 3 3 7 2" xfId="20944" xr:uid="{221EA220-6A6C-4ECA-8FAD-DBFE54134770}"/>
    <cellStyle name="SAPBEXresItemX 2 3 3 8" xfId="20945" xr:uid="{896E7B8C-E7A4-4CBF-AF19-57EFD7620EFA}"/>
    <cellStyle name="SAPBEXresItemX 2 3 3 8 2" xfId="20946" xr:uid="{16AB5196-0DF9-4930-9702-BCD9A5DBBE2C}"/>
    <cellStyle name="SAPBEXresItemX 2 3 3 9" xfId="20947" xr:uid="{4B958BDE-ADB4-4AF4-BBDB-917A16F2A1C5}"/>
    <cellStyle name="SAPBEXresItemX 2 3 3 9 2" xfId="20948" xr:uid="{ACB6C313-DBFE-4313-B9FE-AA0060371A66}"/>
    <cellStyle name="SAPBEXresItemX 2 3 4" xfId="20949" xr:uid="{AC1B8D6C-81D8-4D4D-8E13-ED984482F33E}"/>
    <cellStyle name="SAPBEXresItemX 2 3 4 2" xfId="20950" xr:uid="{216E57BA-6E63-4427-9FE8-0D9DC87D946A}"/>
    <cellStyle name="SAPBEXresItemX 2 3 5" xfId="20951" xr:uid="{92B74A45-2FCE-44D9-8AC9-C0EE51F85C1F}"/>
    <cellStyle name="SAPBEXresItemX 2 3 5 2" xfId="20952" xr:uid="{728D7176-2CB5-41A5-AA47-79595A013C2F}"/>
    <cellStyle name="SAPBEXresItemX 2 3 6" xfId="20953" xr:uid="{BDC6B07D-BA2A-4DB2-AC80-9D1A028D59AD}"/>
    <cellStyle name="SAPBEXresItemX 2 3 6 2" xfId="20954" xr:uid="{53D0250D-DF01-4D5B-BD6D-097E3AB99E28}"/>
    <cellStyle name="SAPBEXresItemX 2 3 7" xfId="20955" xr:uid="{D6A8FB71-8777-40AE-8582-9DADED72D8B4}"/>
    <cellStyle name="SAPBEXresItemX 2 3 7 2" xfId="20956" xr:uid="{CD71124D-83D7-488D-BA87-7D3E5A88A229}"/>
    <cellStyle name="SAPBEXresItemX 2 3 8" xfId="20957" xr:uid="{869CCF1F-70C4-4FE0-ADE6-488CE4E7B1FD}"/>
    <cellStyle name="SAPBEXresItemX 2 3 8 2" xfId="20958" xr:uid="{9018D044-EEA1-4EF0-9265-28DAEED7C632}"/>
    <cellStyle name="SAPBEXresItemX 2 3 9" xfId="20959" xr:uid="{98E82CEA-0DC0-4C4A-BFC7-3FC24DE67ED9}"/>
    <cellStyle name="SAPBEXresItemX 2 3 9 2" xfId="20960" xr:uid="{A7DD2E7C-8839-45A7-BA88-9F64A405271D}"/>
    <cellStyle name="SAPBEXresItemX 2 4" xfId="20961" xr:uid="{1B699240-D944-40AA-A7B2-1B73C42E35EB}"/>
    <cellStyle name="SAPBEXresItemX 2 4 2" xfId="20962" xr:uid="{0A14BD29-E088-43EC-B52F-A1C97B0DF49E}"/>
    <cellStyle name="SAPBEXresItemX 2 5" xfId="20963" xr:uid="{2DB7E58E-307E-4B1C-B1B8-0453C8F3A6AD}"/>
    <cellStyle name="SAPBEXresItemX 2 5 2" xfId="20964" xr:uid="{90099504-4824-456B-B0F0-CD865E5BA328}"/>
    <cellStyle name="SAPBEXresItemX 2 6" xfId="20965" xr:uid="{04162396-428C-4486-839E-7F515527DB9C}"/>
    <cellStyle name="SAPBEXresItemX 2 6 2" xfId="20966" xr:uid="{E836D695-AEE2-4AFD-B844-BEE655CCB590}"/>
    <cellStyle name="SAPBEXresItemX 2 7" xfId="20967" xr:uid="{C664FBE7-0227-44B6-8D92-4B2943D42966}"/>
    <cellStyle name="SAPBEXresItemX 2 7 2" xfId="20968" xr:uid="{E90F8744-F429-4611-866D-B0C19C20FEAE}"/>
    <cellStyle name="SAPBEXresItemX 2 8" xfId="20969" xr:uid="{219339BF-27B1-4947-8324-1902719E732B}"/>
    <cellStyle name="SAPBEXresItemX 2 8 2" xfId="20970" xr:uid="{E699D2FB-2534-42A7-8513-9B446412D1B8}"/>
    <cellStyle name="SAPBEXresItemX 2 9" xfId="20971" xr:uid="{44337576-7182-4083-B3A1-C159E48BDD0B}"/>
    <cellStyle name="SAPBEXresItemX 2 9 2" xfId="20972" xr:uid="{CD72779D-4562-42EC-BE93-448821B0916B}"/>
    <cellStyle name="SAPBEXresItemX 2_T1 ANSP" xfId="20763" xr:uid="{566717F4-D54E-431D-BF09-EF27F8AFA812}"/>
    <cellStyle name="SAPBEXresItemX 20" xfId="20973" xr:uid="{10386D0F-DBC8-42DF-A00F-2C40F01FC3AB}"/>
    <cellStyle name="SAPBEXresItemX 3" xfId="1529" xr:uid="{00000000-0005-0000-0000-0000AE050000}"/>
    <cellStyle name="SAPBEXresItemX 3 10" xfId="20975" xr:uid="{53FB909B-C88B-42CA-A872-900D0D210DD3}"/>
    <cellStyle name="SAPBEXresItemX 3 10 2" xfId="20976" xr:uid="{031B1CE5-1346-4596-9DC2-AD0460C75A78}"/>
    <cellStyle name="SAPBEXresItemX 3 11" xfId="20977" xr:uid="{D044FC8A-1240-4E5B-BBB6-824FA9799418}"/>
    <cellStyle name="SAPBEXresItemX 3 11 2" xfId="20978" xr:uid="{54DAEFCB-2A01-4246-9DA5-C7352826A429}"/>
    <cellStyle name="SAPBEXresItemX 3 12" xfId="20979" xr:uid="{FC62DB9B-B1A1-4311-A674-1A4BBB082A1D}"/>
    <cellStyle name="SAPBEXresItemX 3 12 2" xfId="20980" xr:uid="{347ED8CC-8571-462F-AC40-5AD85D217337}"/>
    <cellStyle name="SAPBEXresItemX 3 13" xfId="20981" xr:uid="{C1B1FA4C-BA76-4722-8428-FFDD51EB67C6}"/>
    <cellStyle name="SAPBEXresItemX 3 13 2" xfId="20982" xr:uid="{3F491FCE-2110-420C-A9D3-C78108995EED}"/>
    <cellStyle name="SAPBEXresItemX 3 14" xfId="20983" xr:uid="{8B5C6340-EDF9-49ED-A013-F7BF69ACA615}"/>
    <cellStyle name="SAPBEXresItemX 3 14 2" xfId="20984" xr:uid="{7EC45763-14A2-4488-8F64-C5BE616B990D}"/>
    <cellStyle name="SAPBEXresItemX 3 15" xfId="20985" xr:uid="{18A063E9-3441-4080-AA2B-83FCA2E2F4F7}"/>
    <cellStyle name="SAPBEXresItemX 3 15 2" xfId="20986" xr:uid="{7AA5539F-6F80-41A3-92A6-EB09FD420BCE}"/>
    <cellStyle name="SAPBEXresItemX 3 16" xfId="20987" xr:uid="{AA2CDBB1-D9F1-4A5D-9FE0-B99509303E27}"/>
    <cellStyle name="SAPBEXresItemX 3 16 2" xfId="20988" xr:uid="{D294AABB-31AB-4320-A3CF-6B4C34CB4B27}"/>
    <cellStyle name="SAPBEXresItemX 3 17" xfId="20989" xr:uid="{F5C15ED2-62D7-4282-9163-7831752B0DE3}"/>
    <cellStyle name="SAPBEXresItemX 3 17 2" xfId="20990" xr:uid="{55DFE3A9-EAF1-4F1E-A632-28D96D4EC90B}"/>
    <cellStyle name="SAPBEXresItemX 3 18" xfId="20991" xr:uid="{3F2D117F-739E-4DC3-81FE-30C9325BCAB0}"/>
    <cellStyle name="SAPBEXresItemX 3 2" xfId="20992" xr:uid="{E88ADCDB-DDBE-4518-AB20-13E37F7A30C4}"/>
    <cellStyle name="SAPBEXresItemX 3 2 10" xfId="20993" xr:uid="{FEFC690C-AF9B-4C68-AC4F-D24B99A82E68}"/>
    <cellStyle name="SAPBEXresItemX 3 2 10 2" xfId="20994" xr:uid="{0D074808-39D5-4826-A20C-24D88CA9BFE0}"/>
    <cellStyle name="SAPBEXresItemX 3 2 11" xfId="20995" xr:uid="{100005D1-690E-44BF-9A5C-6FAC0771DAFC}"/>
    <cellStyle name="SAPBEXresItemX 3 2 11 2" xfId="20996" xr:uid="{2F853D2D-C3A6-4550-BC54-524137F3DBA6}"/>
    <cellStyle name="SAPBEXresItemX 3 2 12" xfId="20997" xr:uid="{69115C61-04F6-4B89-B3D3-113D2DCCD244}"/>
    <cellStyle name="SAPBEXresItemX 3 2 12 2" xfId="20998" xr:uid="{F76E55C2-6D6E-4A6A-AEAE-B6C7103E1063}"/>
    <cellStyle name="SAPBEXresItemX 3 2 13" xfId="20999" xr:uid="{118FB261-0C2E-48B2-86CF-445B5A35E13A}"/>
    <cellStyle name="SAPBEXresItemX 3 2 13 2" xfId="21000" xr:uid="{901A6BB0-D02C-43FE-B182-DDC426B6F13A}"/>
    <cellStyle name="SAPBEXresItemX 3 2 14" xfId="21001" xr:uid="{D8EFA07B-D81E-4760-A321-460DD0BDB262}"/>
    <cellStyle name="SAPBEXresItemX 3 2 14 2" xfId="21002" xr:uid="{08BF6E19-A742-458F-8C8E-79049366592F}"/>
    <cellStyle name="SAPBEXresItemX 3 2 15" xfId="21003" xr:uid="{A7B881DB-FE47-4B44-9E0C-145331263892}"/>
    <cellStyle name="SAPBEXresItemX 3 2 15 2" xfId="21004" xr:uid="{C7ED5790-0360-4412-9986-9C7A0CA45EA4}"/>
    <cellStyle name="SAPBEXresItemX 3 2 16" xfId="21005" xr:uid="{ED813F07-1B19-46B1-8054-3362F67C1A0C}"/>
    <cellStyle name="SAPBEXresItemX 3 2 2" xfId="21006" xr:uid="{30ED453D-5625-4171-AF1D-04DCD7A48990}"/>
    <cellStyle name="SAPBEXresItemX 3 2 2 2" xfId="21007" xr:uid="{6A281D50-06C1-4D5D-A1E4-26FAA935153C}"/>
    <cellStyle name="SAPBEXresItemX 3 2 3" xfId="21008" xr:uid="{B00EFA93-5D05-43F2-B655-615A2C9A9661}"/>
    <cellStyle name="SAPBEXresItemX 3 2 3 2" xfId="21009" xr:uid="{89FCB8B2-3687-4AB8-8E66-A70E1DF702A4}"/>
    <cellStyle name="SAPBEXresItemX 3 2 4" xfId="21010" xr:uid="{EB12ECF8-9803-4D51-AC4E-EE3D788B3140}"/>
    <cellStyle name="SAPBEXresItemX 3 2 4 2" xfId="21011" xr:uid="{B6732A78-9FBE-41E6-B78D-35F36BD975C9}"/>
    <cellStyle name="SAPBEXresItemX 3 2 5" xfId="21012" xr:uid="{D0FF7A3E-8514-4FD2-A65A-4CC0739B58E3}"/>
    <cellStyle name="SAPBEXresItemX 3 2 5 2" xfId="21013" xr:uid="{448B5674-B323-4739-B01B-694772CFDAA7}"/>
    <cellStyle name="SAPBEXresItemX 3 2 6" xfId="21014" xr:uid="{11D4295C-28B6-4B03-AEB4-7005E268669D}"/>
    <cellStyle name="SAPBEXresItemX 3 2 6 2" xfId="21015" xr:uid="{9DDD0726-9A9E-482D-ABC2-F1F346F6541D}"/>
    <cellStyle name="SAPBEXresItemX 3 2 7" xfId="21016" xr:uid="{A5F1FB67-4489-409F-B32E-D2F5C3A8C243}"/>
    <cellStyle name="SAPBEXresItemX 3 2 7 2" xfId="21017" xr:uid="{D66865C5-0C3C-4350-9C42-DE6249E562E6}"/>
    <cellStyle name="SAPBEXresItemX 3 2 8" xfId="21018" xr:uid="{638C0355-5EBB-4E02-B6B1-66BDDC4E139C}"/>
    <cellStyle name="SAPBEXresItemX 3 2 8 2" xfId="21019" xr:uid="{13C64D70-BF67-484E-9B32-BCD6698984E8}"/>
    <cellStyle name="SAPBEXresItemX 3 2 9" xfId="21020" xr:uid="{C776FC91-1EA1-4E07-B2F8-D33F790D3A0C}"/>
    <cellStyle name="SAPBEXresItemX 3 2 9 2" xfId="21021" xr:uid="{6D840085-B1D2-44BF-9EBE-E6913A6DAE2A}"/>
    <cellStyle name="SAPBEXresItemX 3 3" xfId="21022" xr:uid="{A56A11A3-FD81-4A3F-8CC0-FB61C353FBBD}"/>
    <cellStyle name="SAPBEXresItemX 3 3 10" xfId="21023" xr:uid="{1959412A-2CDC-4B9B-BAD1-7BA598A2FC83}"/>
    <cellStyle name="SAPBEXresItemX 3 3 10 2" xfId="21024" xr:uid="{E32FD1FD-E260-4210-ADB3-B222C1D75994}"/>
    <cellStyle name="SAPBEXresItemX 3 3 11" xfId="21025" xr:uid="{DA22B6C1-E74B-440C-8917-93D5E7C6A21C}"/>
    <cellStyle name="SAPBEXresItemX 3 3 11 2" xfId="21026" xr:uid="{8992DE35-1BE8-4682-A01D-6D16F2CD4D82}"/>
    <cellStyle name="SAPBEXresItemX 3 3 12" xfId="21027" xr:uid="{B6ABA01F-7D88-41AF-83BF-BF396BA24EC0}"/>
    <cellStyle name="SAPBEXresItemX 3 3 12 2" xfId="21028" xr:uid="{D2DA1254-70F0-43C3-B0B2-7F768E8824AC}"/>
    <cellStyle name="SAPBEXresItemX 3 3 13" xfId="21029" xr:uid="{1FB281B9-1DC1-4314-BD83-56BEA6041DAE}"/>
    <cellStyle name="SAPBEXresItemX 3 3 13 2" xfId="21030" xr:uid="{E7DF7F97-7F6B-49FF-BB33-0A009372327A}"/>
    <cellStyle name="SAPBEXresItemX 3 3 14" xfId="21031" xr:uid="{3F9BCF7A-1D62-4911-86B8-7FC7F6D8A474}"/>
    <cellStyle name="SAPBEXresItemX 3 3 14 2" xfId="21032" xr:uid="{9289E619-D523-47BC-AEC0-BC921F044443}"/>
    <cellStyle name="SAPBEXresItemX 3 3 15" xfId="21033" xr:uid="{5C2130E9-BB3A-42EE-B43C-3B46ED39703D}"/>
    <cellStyle name="SAPBEXresItemX 3 3 15 2" xfId="21034" xr:uid="{E001368A-2290-4FB2-9572-BEAA5E6338D2}"/>
    <cellStyle name="SAPBEXresItemX 3 3 16" xfId="21035" xr:uid="{B044D2CF-FC1D-4801-87AD-D4DCBF016FA0}"/>
    <cellStyle name="SAPBEXresItemX 3 3 2" xfId="21036" xr:uid="{88269A35-D4EF-4D11-93EF-ACA9E99796DA}"/>
    <cellStyle name="SAPBEXresItemX 3 3 2 2" xfId="21037" xr:uid="{2AA0DFF8-E6FF-4DE5-8713-D81DE7F50727}"/>
    <cellStyle name="SAPBEXresItemX 3 3 3" xfId="21038" xr:uid="{E2BA4C4A-A449-44B6-B42D-DF8F0853BB6B}"/>
    <cellStyle name="SAPBEXresItemX 3 3 3 2" xfId="21039" xr:uid="{947C57C9-33DC-4B91-A398-F95CF5F586F5}"/>
    <cellStyle name="SAPBEXresItemX 3 3 4" xfId="21040" xr:uid="{EC082C8A-8EB7-438F-A0C3-5542D943C439}"/>
    <cellStyle name="SAPBEXresItemX 3 3 4 2" xfId="21041" xr:uid="{E8ABBCCE-5FDA-4D26-885A-5671874138EF}"/>
    <cellStyle name="SAPBEXresItemX 3 3 5" xfId="21042" xr:uid="{4C65A44E-7502-448F-9EEC-BDEC682787EE}"/>
    <cellStyle name="SAPBEXresItemX 3 3 5 2" xfId="21043" xr:uid="{D92C800F-6D52-433B-9C2F-9F4D631FFED4}"/>
    <cellStyle name="SAPBEXresItemX 3 3 6" xfId="21044" xr:uid="{4EE85373-89D7-4427-A90F-4632681387F4}"/>
    <cellStyle name="SAPBEXresItemX 3 3 6 2" xfId="21045" xr:uid="{13212A58-1E31-4DBA-874E-6B144B06FEAF}"/>
    <cellStyle name="SAPBEXresItemX 3 3 7" xfId="21046" xr:uid="{32F3E970-D26A-4108-9F12-A1BF3EFE96B4}"/>
    <cellStyle name="SAPBEXresItemX 3 3 7 2" xfId="21047" xr:uid="{D4DF3E44-22B4-4C57-B868-21FE187E96FC}"/>
    <cellStyle name="SAPBEXresItemX 3 3 8" xfId="21048" xr:uid="{050C5A23-064E-4E2F-A25C-6C358B8EA023}"/>
    <cellStyle name="SAPBEXresItemX 3 3 8 2" xfId="21049" xr:uid="{29036C7F-AA1A-4B77-9B31-C354793B8697}"/>
    <cellStyle name="SAPBEXresItemX 3 3 9" xfId="21050" xr:uid="{17B7C65A-4929-4986-B52E-C2C65B71F624}"/>
    <cellStyle name="SAPBEXresItemX 3 3 9 2" xfId="21051" xr:uid="{E53E104A-7493-4A24-8AB2-C1EA3C078ED3}"/>
    <cellStyle name="SAPBEXresItemX 3 4" xfId="21052" xr:uid="{55325F6E-626F-4FC1-A9BD-8922041B046C}"/>
    <cellStyle name="SAPBEXresItemX 3 4 2" xfId="21053" xr:uid="{A7D8825B-114B-4CA7-B40E-6E1AB4DDBB0A}"/>
    <cellStyle name="SAPBEXresItemX 3 5" xfId="21054" xr:uid="{D3FCDC36-02B4-4ADD-BA71-7522A0967E23}"/>
    <cellStyle name="SAPBEXresItemX 3 5 2" xfId="21055" xr:uid="{5AE0D07D-0417-4558-A6F6-B570FBDEB831}"/>
    <cellStyle name="SAPBEXresItemX 3 6" xfId="21056" xr:uid="{84297F9A-27BA-4266-BB72-7F0322B86B2F}"/>
    <cellStyle name="SAPBEXresItemX 3 6 2" xfId="21057" xr:uid="{4314FC9B-B8A2-4CD4-AF52-65EF45E0FF4A}"/>
    <cellStyle name="SAPBEXresItemX 3 7" xfId="21058" xr:uid="{199EFF32-EA53-4A3A-89E5-DF99528A199C}"/>
    <cellStyle name="SAPBEXresItemX 3 7 2" xfId="21059" xr:uid="{0A4B4EAD-4432-460B-9CE6-61D44F796453}"/>
    <cellStyle name="SAPBEXresItemX 3 8" xfId="21060" xr:uid="{3A0841A5-8AAF-43E6-B4B0-F472A5A9D3D5}"/>
    <cellStyle name="SAPBEXresItemX 3 8 2" xfId="21061" xr:uid="{9E758F3E-7C67-48F9-B440-A9E693B5B078}"/>
    <cellStyle name="SAPBEXresItemX 3 9" xfId="21062" xr:uid="{0BFFCAD7-11FB-4465-B00B-62F2036E59C4}"/>
    <cellStyle name="SAPBEXresItemX 3 9 2" xfId="21063" xr:uid="{9DC7866B-5E66-4A06-B066-0E29BE07C0A2}"/>
    <cellStyle name="SAPBEXresItemX 3_T1 ANSP" xfId="20974" xr:uid="{9377FC75-B0EF-423E-A284-A0B2560225E7}"/>
    <cellStyle name="SAPBEXresItemX 4" xfId="21064" xr:uid="{7C218B17-262E-4194-99BB-C8D03106DAA7}"/>
    <cellStyle name="SAPBEXresItemX 4 10" xfId="21065" xr:uid="{15C9986E-B16B-4788-960F-5BCEFA3D0A5C}"/>
    <cellStyle name="SAPBEXresItemX 4 10 2" xfId="21066" xr:uid="{0897EECC-D717-4270-91EA-C82F3F67E96F}"/>
    <cellStyle name="SAPBEXresItemX 4 11" xfId="21067" xr:uid="{08046DF5-FA1E-48E8-8624-49E9400F0025}"/>
    <cellStyle name="SAPBEXresItemX 4 11 2" xfId="21068" xr:uid="{A6877A53-B447-4720-894F-0EEA36C26F37}"/>
    <cellStyle name="SAPBEXresItemX 4 12" xfId="21069" xr:uid="{94C3392A-FA47-4E13-8AFD-663C56A8F15D}"/>
    <cellStyle name="SAPBEXresItemX 4 12 2" xfId="21070" xr:uid="{CAD88B1F-C470-415C-8EAF-1F4D219157AB}"/>
    <cellStyle name="SAPBEXresItemX 4 13" xfId="21071" xr:uid="{9239E6DF-AEE7-4847-A280-D261C9AE4878}"/>
    <cellStyle name="SAPBEXresItemX 4 13 2" xfId="21072" xr:uid="{4654CD8E-5176-4388-A588-9A64721DEBC1}"/>
    <cellStyle name="SAPBEXresItemX 4 14" xfId="21073" xr:uid="{80A6E9EA-A01C-46D3-A40B-998B613E6213}"/>
    <cellStyle name="SAPBEXresItemX 4 14 2" xfId="21074" xr:uid="{1218D919-9DB5-47EE-A708-A806FD12EB77}"/>
    <cellStyle name="SAPBEXresItemX 4 15" xfId="21075" xr:uid="{6B48B1D0-01BB-4754-8CDD-F39A17570FD5}"/>
    <cellStyle name="SAPBEXresItemX 4 15 2" xfId="21076" xr:uid="{A458E00D-185F-4BD5-A194-8B82E34A4B9D}"/>
    <cellStyle name="SAPBEXresItemX 4 16" xfId="21077" xr:uid="{2BF387D8-15DD-47F3-83EB-C8781FA9F8C7}"/>
    <cellStyle name="SAPBEXresItemX 4 16 2" xfId="21078" xr:uid="{283FD006-AC9A-4F3B-A645-F558F3CB0A50}"/>
    <cellStyle name="SAPBEXresItemX 4 17" xfId="21079" xr:uid="{7D688E83-AEC1-4EBD-A78D-46EDF634BDFC}"/>
    <cellStyle name="SAPBEXresItemX 4 17 2" xfId="21080" xr:uid="{B5ABCF2B-F953-41F7-ADED-0080E956BACB}"/>
    <cellStyle name="SAPBEXresItemX 4 18" xfId="21081" xr:uid="{8CCB471E-A87C-4128-961B-95B4938B1D72}"/>
    <cellStyle name="SAPBEXresItemX 4 2" xfId="21082" xr:uid="{E71E60D2-AEC1-435B-B9AD-6EC4AD8C3DAB}"/>
    <cellStyle name="SAPBEXresItemX 4 2 10" xfId="21083" xr:uid="{8F3A6E6A-E493-4265-B82B-CF384DB23BF7}"/>
    <cellStyle name="SAPBEXresItemX 4 2 10 2" xfId="21084" xr:uid="{5D36DB5D-7572-488E-8EB4-2EFEE2FF1D4C}"/>
    <cellStyle name="SAPBEXresItemX 4 2 11" xfId="21085" xr:uid="{CE65597C-5D4A-434A-BFBF-AFC9353D0682}"/>
    <cellStyle name="SAPBEXresItemX 4 2 11 2" xfId="21086" xr:uid="{A5AD3FCF-A942-4345-BC25-9013C9D93DD3}"/>
    <cellStyle name="SAPBEXresItemX 4 2 12" xfId="21087" xr:uid="{282041EB-67E8-431F-B7BB-D54F4F83EB3E}"/>
    <cellStyle name="SAPBEXresItemX 4 2 12 2" xfId="21088" xr:uid="{FF11FF3E-AF7C-43A2-A743-619B6BE91CC5}"/>
    <cellStyle name="SAPBEXresItemX 4 2 13" xfId="21089" xr:uid="{D4CFD3AE-FBF7-4E78-9018-D727CB1F467A}"/>
    <cellStyle name="SAPBEXresItemX 4 2 13 2" xfId="21090" xr:uid="{1351A6B5-3411-4EBD-8867-BF24E8F62B9B}"/>
    <cellStyle name="SAPBEXresItemX 4 2 14" xfId="21091" xr:uid="{1CE2E5F3-0363-4C14-A370-31FD6EE03C87}"/>
    <cellStyle name="SAPBEXresItemX 4 2 14 2" xfId="21092" xr:uid="{89158A87-2771-4B98-B0EC-D914E9255B87}"/>
    <cellStyle name="SAPBEXresItemX 4 2 15" xfId="21093" xr:uid="{9BEC2264-DE49-40AA-8A5A-A765F9E41272}"/>
    <cellStyle name="SAPBEXresItemX 4 2 15 2" xfId="21094" xr:uid="{68D267F2-9AC2-4AB5-B04D-E4897B910657}"/>
    <cellStyle name="SAPBEXresItemX 4 2 16" xfId="21095" xr:uid="{15161614-8BE4-494A-989F-A2215E6E5566}"/>
    <cellStyle name="SAPBEXresItemX 4 2 2" xfId="21096" xr:uid="{CC9559BF-2D4F-4E3F-9EA7-0ACD9296156E}"/>
    <cellStyle name="SAPBEXresItemX 4 2 2 2" xfId="21097" xr:uid="{4BBB747E-ECF3-4A92-9B39-9186EC1FBC31}"/>
    <cellStyle name="SAPBEXresItemX 4 2 3" xfId="21098" xr:uid="{C551DA4F-6456-4B96-B755-71F9E10E8BE0}"/>
    <cellStyle name="SAPBEXresItemX 4 2 3 2" xfId="21099" xr:uid="{F125189B-F4F0-44DB-86DE-C8222410C126}"/>
    <cellStyle name="SAPBEXresItemX 4 2 4" xfId="21100" xr:uid="{E4DE5214-1296-4860-926E-F87D417AAA8B}"/>
    <cellStyle name="SAPBEXresItemX 4 2 4 2" xfId="21101" xr:uid="{9D623A23-B24E-40D4-930A-A3720405AD79}"/>
    <cellStyle name="SAPBEXresItemX 4 2 5" xfId="21102" xr:uid="{78C1B429-C129-4A06-B985-04157BE524DA}"/>
    <cellStyle name="SAPBEXresItemX 4 2 5 2" xfId="21103" xr:uid="{8E6F8402-D811-4748-A54C-37D3AAA9A63A}"/>
    <cellStyle name="SAPBEXresItemX 4 2 6" xfId="21104" xr:uid="{BBDFF6B8-0521-464A-9A85-D18495DFDF0D}"/>
    <cellStyle name="SAPBEXresItemX 4 2 6 2" xfId="21105" xr:uid="{C2E13E4B-F5DC-4947-A483-4ED04EF3EF29}"/>
    <cellStyle name="SAPBEXresItemX 4 2 7" xfId="21106" xr:uid="{7872F414-FED7-4891-8852-B1B10C7CBBA4}"/>
    <cellStyle name="SAPBEXresItemX 4 2 7 2" xfId="21107" xr:uid="{C521C0C5-CB0F-4662-9C28-89DD67524EE9}"/>
    <cellStyle name="SAPBEXresItemX 4 2 8" xfId="21108" xr:uid="{4C4ADB75-F53D-4658-B8DC-C0876AE3B13D}"/>
    <cellStyle name="SAPBEXresItemX 4 2 8 2" xfId="21109" xr:uid="{62E69342-928B-41E6-9AC1-3AEBA226D0D2}"/>
    <cellStyle name="SAPBEXresItemX 4 2 9" xfId="21110" xr:uid="{4EDBB1FB-82C0-44CD-BAD6-73CEC5AC22E3}"/>
    <cellStyle name="SAPBEXresItemX 4 2 9 2" xfId="21111" xr:uid="{23AB1A1C-BD87-42FD-80EC-5CC5345FD161}"/>
    <cellStyle name="SAPBEXresItemX 4 3" xfId="21112" xr:uid="{471B6A9B-2A94-4D50-B3F7-6A36FF113E10}"/>
    <cellStyle name="SAPBEXresItemX 4 3 10" xfId="21113" xr:uid="{D7A3F8DB-79C1-4F99-A1BF-4A09EF4CEE9A}"/>
    <cellStyle name="SAPBEXresItemX 4 3 10 2" xfId="21114" xr:uid="{7CCF0AF5-C5AC-4303-A07C-FB938E979233}"/>
    <cellStyle name="SAPBEXresItemX 4 3 11" xfId="21115" xr:uid="{A9265954-4A93-4050-ACC8-8A22DF23AE86}"/>
    <cellStyle name="SAPBEXresItemX 4 3 11 2" xfId="21116" xr:uid="{711C4190-00BF-46CB-97CC-95B5557D1E9D}"/>
    <cellStyle name="SAPBEXresItemX 4 3 12" xfId="21117" xr:uid="{A63F370B-36E1-47D8-A1D6-6CAD517BB445}"/>
    <cellStyle name="SAPBEXresItemX 4 3 12 2" xfId="21118" xr:uid="{9180E0A7-EBE4-4322-80F2-EBC11CC65ED6}"/>
    <cellStyle name="SAPBEXresItemX 4 3 13" xfId="21119" xr:uid="{5E3D0693-0EA1-44A6-A4C4-411872CCE872}"/>
    <cellStyle name="SAPBEXresItemX 4 3 13 2" xfId="21120" xr:uid="{596FE90B-39BB-4C72-AD6B-680F3C73B05B}"/>
    <cellStyle name="SAPBEXresItemX 4 3 14" xfId="21121" xr:uid="{18528320-2A65-447A-BBC9-2AE31E536D0E}"/>
    <cellStyle name="SAPBEXresItemX 4 3 14 2" xfId="21122" xr:uid="{368E9AC6-DC2C-4C0F-8CD1-D89643E7E2DC}"/>
    <cellStyle name="SAPBEXresItemX 4 3 15" xfId="21123" xr:uid="{4D5A164D-D83E-43F8-B205-96F817818BBA}"/>
    <cellStyle name="SAPBEXresItemX 4 3 15 2" xfId="21124" xr:uid="{7C0D7409-F81B-41CA-8B17-0B6A1DD9A3A5}"/>
    <cellStyle name="SAPBEXresItemX 4 3 16" xfId="21125" xr:uid="{D65DD7C8-D6E1-4298-B75E-72A6AC91BE4A}"/>
    <cellStyle name="SAPBEXresItemX 4 3 2" xfId="21126" xr:uid="{A643609D-DC19-45FD-ACEB-E5FDF9FB86D9}"/>
    <cellStyle name="SAPBEXresItemX 4 3 2 2" xfId="21127" xr:uid="{D8FD0C54-A7EF-4E87-8567-C607D81CE57F}"/>
    <cellStyle name="SAPBEXresItemX 4 3 3" xfId="21128" xr:uid="{62702CE1-6721-449D-982C-2B497C22626A}"/>
    <cellStyle name="SAPBEXresItemX 4 3 3 2" xfId="21129" xr:uid="{C6CB91B2-EE98-4EF7-B05C-561661D4F81A}"/>
    <cellStyle name="SAPBEXresItemX 4 3 4" xfId="21130" xr:uid="{037A2719-2D1F-4423-8433-6BAE4616DFB9}"/>
    <cellStyle name="SAPBEXresItemX 4 3 4 2" xfId="21131" xr:uid="{487436CD-88CE-4578-A906-5246F4959EEA}"/>
    <cellStyle name="SAPBEXresItemX 4 3 5" xfId="21132" xr:uid="{2A76A2B4-67D3-434E-A902-C1CA08A9197F}"/>
    <cellStyle name="SAPBEXresItemX 4 3 5 2" xfId="21133" xr:uid="{253C81CA-4C5F-4C38-A2C9-1C08CC6DF2CC}"/>
    <cellStyle name="SAPBEXresItemX 4 3 6" xfId="21134" xr:uid="{C405A130-2B5C-4E24-8303-3FC2A24CEF41}"/>
    <cellStyle name="SAPBEXresItemX 4 3 6 2" xfId="21135" xr:uid="{05F1C8A2-E744-4522-8C41-9065346BE905}"/>
    <cellStyle name="SAPBEXresItemX 4 3 7" xfId="21136" xr:uid="{F440BEFF-8198-400C-AD5B-B96D0B6E6502}"/>
    <cellStyle name="SAPBEXresItemX 4 3 7 2" xfId="21137" xr:uid="{B9C93451-5B78-458A-A5BF-D59264F8E836}"/>
    <cellStyle name="SAPBEXresItemX 4 3 8" xfId="21138" xr:uid="{DFDB4E05-DABA-4213-92DC-3A7E51435F4B}"/>
    <cellStyle name="SAPBEXresItemX 4 3 8 2" xfId="21139" xr:uid="{C27D3D83-A85A-4E18-AFE4-4DF08201B5BA}"/>
    <cellStyle name="SAPBEXresItemX 4 3 9" xfId="21140" xr:uid="{92D35597-D36B-46F5-8AB1-4220F5DD4F60}"/>
    <cellStyle name="SAPBEXresItemX 4 3 9 2" xfId="21141" xr:uid="{7D3C23F1-D942-4A2B-9596-3D57BA73B478}"/>
    <cellStyle name="SAPBEXresItemX 4 4" xfId="21142" xr:uid="{DAB2788C-F0FE-478D-B809-C95171A66951}"/>
    <cellStyle name="SAPBEXresItemX 4 4 2" xfId="21143" xr:uid="{2BDF6B23-0D9C-4891-B5F3-6AA55FCA3558}"/>
    <cellStyle name="SAPBEXresItemX 4 5" xfId="21144" xr:uid="{227E81B4-59CE-4AB3-82A6-B79A1590F9B1}"/>
    <cellStyle name="SAPBEXresItemX 4 5 2" xfId="21145" xr:uid="{C62DF532-76B3-4CFC-A52D-7251CFB6E11B}"/>
    <cellStyle name="SAPBEXresItemX 4 6" xfId="21146" xr:uid="{1D907E45-94A6-4B0D-9E6B-CFD688310F5F}"/>
    <cellStyle name="SAPBEXresItemX 4 6 2" xfId="21147" xr:uid="{3A2CDA26-2035-47F1-9D19-063CACC228E6}"/>
    <cellStyle name="SAPBEXresItemX 4 7" xfId="21148" xr:uid="{14E7A663-AE09-4363-BF4D-2FCD0894213C}"/>
    <cellStyle name="SAPBEXresItemX 4 7 2" xfId="21149" xr:uid="{D69456E9-BB17-4621-8D02-4BFDCA4667F3}"/>
    <cellStyle name="SAPBEXresItemX 4 8" xfId="21150" xr:uid="{1AF8F6E4-BFF5-449A-BA81-D1B01C122AEF}"/>
    <cellStyle name="SAPBEXresItemX 4 8 2" xfId="21151" xr:uid="{E75FCE23-9238-4494-BB12-52CC27E06BD8}"/>
    <cellStyle name="SAPBEXresItemX 4 9" xfId="21152" xr:uid="{9C3C1DE2-A4C9-42E8-8353-03F6C462D17D}"/>
    <cellStyle name="SAPBEXresItemX 4 9 2" xfId="21153" xr:uid="{0E138E34-4220-4307-A0A2-34B74CC7A4B9}"/>
    <cellStyle name="SAPBEXresItemX 5" xfId="21154" xr:uid="{6C2FB6EA-0FFC-493C-90A7-B951177494F3}"/>
    <cellStyle name="SAPBEXresItemX 5 10" xfId="21155" xr:uid="{DC5EB891-97BB-4708-824D-F26AAEC5EF5D}"/>
    <cellStyle name="SAPBEXresItemX 5 10 2" xfId="21156" xr:uid="{03012ACF-4EE8-412F-B46A-7B9F075510B4}"/>
    <cellStyle name="SAPBEXresItemX 5 11" xfId="21157" xr:uid="{F84DC947-BE54-418F-B8BD-F23745BBABA2}"/>
    <cellStyle name="SAPBEXresItemX 5 11 2" xfId="21158" xr:uid="{FCBCA6C4-E1D8-4865-B78E-0A1CA1D63FBA}"/>
    <cellStyle name="SAPBEXresItemX 5 12" xfId="21159" xr:uid="{A8913E4C-77DC-4717-9E33-886A8645FC15}"/>
    <cellStyle name="SAPBEXresItemX 5 12 2" xfId="21160" xr:uid="{A752B797-C46A-4CF6-9F5A-9495F0E81B3D}"/>
    <cellStyle name="SAPBEXresItemX 5 13" xfId="21161" xr:uid="{8CD85437-C025-440C-958A-0572F22B1C9B}"/>
    <cellStyle name="SAPBEXresItemX 5 13 2" xfId="21162" xr:uid="{F3A8DF33-BE4C-4976-9B26-F095C1B1487F}"/>
    <cellStyle name="SAPBEXresItemX 5 14" xfId="21163" xr:uid="{91594731-EE4F-4739-8918-28310E7959C9}"/>
    <cellStyle name="SAPBEXresItemX 5 14 2" xfId="21164" xr:uid="{B3EE9065-E384-4CAF-8893-37B24670F733}"/>
    <cellStyle name="SAPBEXresItemX 5 15" xfId="21165" xr:uid="{2D535C25-7E12-44C7-8597-986F8D2CAA12}"/>
    <cellStyle name="SAPBEXresItemX 5 15 2" xfId="21166" xr:uid="{EAF310A9-6122-4381-A7F7-4C264A95C38D}"/>
    <cellStyle name="SAPBEXresItemX 5 16" xfId="21167" xr:uid="{D624265B-9E85-41C8-8401-33019DC74A1D}"/>
    <cellStyle name="SAPBEXresItemX 5 2" xfId="21168" xr:uid="{0B1ECB43-24F9-4A65-8C89-56D19177CA45}"/>
    <cellStyle name="SAPBEXresItemX 5 2 2" xfId="21169" xr:uid="{A286B6B4-E963-4DCC-A855-8605E3D153F7}"/>
    <cellStyle name="SAPBEXresItemX 5 3" xfId="21170" xr:uid="{FA2BCAF9-D7B2-4DA6-843D-CEE449003410}"/>
    <cellStyle name="SAPBEXresItemX 5 3 2" xfId="21171" xr:uid="{01927134-1078-4B44-9D8C-BF6235DB4A1B}"/>
    <cellStyle name="SAPBEXresItemX 5 4" xfId="21172" xr:uid="{9092AFA0-EEEB-4DE8-B539-A0C6F1E02259}"/>
    <cellStyle name="SAPBEXresItemX 5 4 2" xfId="21173" xr:uid="{45B9F96B-38A3-4232-9C39-8C7EF17ABA44}"/>
    <cellStyle name="SAPBEXresItemX 5 5" xfId="21174" xr:uid="{155BD697-7CEA-432E-A82E-BB271C0F347F}"/>
    <cellStyle name="SAPBEXresItemX 5 5 2" xfId="21175" xr:uid="{4B372A70-A984-4B7D-A9CB-8C450576A6EC}"/>
    <cellStyle name="SAPBEXresItemX 5 6" xfId="21176" xr:uid="{2483D870-4CA1-43E8-A882-1CFE7C6A3FD4}"/>
    <cellStyle name="SAPBEXresItemX 5 6 2" xfId="21177" xr:uid="{4D9989E7-2D52-4E0B-A90D-C260AC1792A7}"/>
    <cellStyle name="SAPBEXresItemX 5 7" xfId="21178" xr:uid="{1673539E-AD11-4DE3-B76E-4D2107A34958}"/>
    <cellStyle name="SAPBEXresItemX 5 7 2" xfId="21179" xr:uid="{0BF0B896-1C25-49BC-B06E-5626E0D32304}"/>
    <cellStyle name="SAPBEXresItemX 5 8" xfId="21180" xr:uid="{D187FAF3-AD5B-4A2F-9788-7FA91E42DAC6}"/>
    <cellStyle name="SAPBEXresItemX 5 8 2" xfId="21181" xr:uid="{3556A313-A7C1-4180-B5FD-8B50A3F98126}"/>
    <cellStyle name="SAPBEXresItemX 5 9" xfId="21182" xr:uid="{D0D9E431-F676-49B5-9420-CD07FBCA95C8}"/>
    <cellStyle name="SAPBEXresItemX 5 9 2" xfId="21183" xr:uid="{03DF83AD-6275-40EC-B9BD-C7BC588B88EE}"/>
    <cellStyle name="SAPBEXresItemX 6" xfId="21184" xr:uid="{F91E4142-1BFF-41A6-ADFB-FB6EDB2346E6}"/>
    <cellStyle name="SAPBEXresItemX 6 2" xfId="21185" xr:uid="{78B5B762-D64E-4536-9CB4-13919C6AFC39}"/>
    <cellStyle name="SAPBEXresItemX 7" xfId="21186" xr:uid="{1522D9F6-A2CE-48C7-ABAC-08241678402E}"/>
    <cellStyle name="SAPBEXresItemX 7 2" xfId="21187" xr:uid="{D2880C42-8B64-4508-8C4E-A04895E705E5}"/>
    <cellStyle name="SAPBEXresItemX 8" xfId="21188" xr:uid="{AC881B10-B66A-4A1B-9A8A-7CADF40EC90A}"/>
    <cellStyle name="SAPBEXresItemX 8 2" xfId="21189" xr:uid="{56E6C881-D964-48F6-A78A-85081FA1F235}"/>
    <cellStyle name="SAPBEXresItemX 9" xfId="21190" xr:uid="{3CEDB085-D292-4805-B0BA-1221E1ADFB69}"/>
    <cellStyle name="SAPBEXresItemX 9 2" xfId="21191" xr:uid="{83AE8889-B23A-47A9-8FA9-43D4E5C9C150}"/>
    <cellStyle name="SAPBEXresItemX_T1 ANSP" xfId="20742" xr:uid="{432E16E1-39BE-4A5E-BAC6-78BDB6DC7A7E}"/>
    <cellStyle name="SAPBEXstdData" xfId="758" xr:uid="{00000000-0005-0000-0000-0000AF050000}"/>
    <cellStyle name="SAPBEXstdData 10" xfId="21192" xr:uid="{62803880-0885-4429-A2EB-D86CE9EACB62}"/>
    <cellStyle name="SAPBEXstdData 10 2" xfId="21193" xr:uid="{1BF6FCE7-E8D7-4A77-91F9-30E550957B33}"/>
    <cellStyle name="SAPBEXstdData 11" xfId="21194" xr:uid="{148DCF8C-EE77-44FD-A7AB-D6B2CEADC178}"/>
    <cellStyle name="SAPBEXstdData 11 2" xfId="21195" xr:uid="{F0EFEDF4-8836-4853-B759-69363B446324}"/>
    <cellStyle name="SAPBEXstdData 12" xfId="21196" xr:uid="{7CF642AB-3D4C-446B-8C4B-72B6CF8DDA21}"/>
    <cellStyle name="SAPBEXstdData 12 2" xfId="21197" xr:uid="{E7243C37-8E68-4EDA-805D-0501C73314F7}"/>
    <cellStyle name="SAPBEXstdData 13" xfId="21198" xr:uid="{015E800D-5F01-42F2-BF74-D1C4E5482754}"/>
    <cellStyle name="SAPBEXstdData 13 2" xfId="21199" xr:uid="{1802963A-F20E-4110-8436-55C43280D3BA}"/>
    <cellStyle name="SAPBEXstdData 14" xfId="21200" xr:uid="{A26617D2-938C-47B4-AA44-D7FD2C55327B}"/>
    <cellStyle name="SAPBEXstdData 14 2" xfId="21201" xr:uid="{85E557E5-C87D-4B89-BCDB-F8464A239C72}"/>
    <cellStyle name="SAPBEXstdData 15" xfId="21202" xr:uid="{B99C7502-CEA6-4193-B3A7-F4349F4C5854}"/>
    <cellStyle name="SAPBEXstdData 15 2" xfId="21203" xr:uid="{432ABC02-84D7-475B-993E-E9B5C1A22264}"/>
    <cellStyle name="SAPBEXstdData 16" xfId="21204" xr:uid="{C3145594-A5DD-43BA-8811-F9A99940B27F}"/>
    <cellStyle name="SAPBEXstdData 16 2" xfId="21205" xr:uid="{C4FC46EB-B42F-4D49-961C-8131BE0D3CBB}"/>
    <cellStyle name="SAPBEXstdData 17" xfId="21206" xr:uid="{8365CBE9-3282-4EE5-A143-F9A47582DC70}"/>
    <cellStyle name="SAPBEXstdData 17 2" xfId="21207" xr:uid="{69780C65-8599-4478-B430-414448E7F43C}"/>
    <cellStyle name="SAPBEXstdData 18" xfId="21208" xr:uid="{45B96BC0-4FFA-43A3-8895-C16D17B79435}"/>
    <cellStyle name="SAPBEXstdData 18 2" xfId="21209" xr:uid="{89922D81-0041-40FD-B6CC-89BDEEA783AC}"/>
    <cellStyle name="SAPBEXstdData 19" xfId="21210" xr:uid="{BA883E19-A29A-459F-B29E-C41BD5F0AFFA}"/>
    <cellStyle name="SAPBEXstdData 19 2" xfId="21211" xr:uid="{9941CC87-FCCA-4222-90C5-7F42499D47A1}"/>
    <cellStyle name="SAPBEXstdData 2" xfId="1572" xr:uid="{00000000-0005-0000-0000-0000B0050000}"/>
    <cellStyle name="SAPBEXstdData 2 10" xfId="21213" xr:uid="{AB849A9A-15DD-44AE-94B2-71BB46B79CFB}"/>
    <cellStyle name="SAPBEXstdData 2 10 2" xfId="21214" xr:uid="{4E35E529-2152-4ABD-9CE1-6A0B571567D0}"/>
    <cellStyle name="SAPBEXstdData 2 11" xfId="21215" xr:uid="{8DA2AEAA-A3ED-490E-80F4-933E2D660E12}"/>
    <cellStyle name="SAPBEXstdData 2 11 2" xfId="21216" xr:uid="{55EA83AB-2CD1-499A-9188-3F439A38969F}"/>
    <cellStyle name="SAPBEXstdData 2 12" xfId="21217" xr:uid="{F71B9AD0-4015-4C02-B3AB-960FCDC89F8A}"/>
    <cellStyle name="SAPBEXstdData 2 12 2" xfId="21218" xr:uid="{AD202359-046A-41B6-ABB9-DB724F647C4D}"/>
    <cellStyle name="SAPBEXstdData 2 13" xfId="21219" xr:uid="{95754484-678C-44F8-8613-1151A03E1A80}"/>
    <cellStyle name="SAPBEXstdData 2 13 2" xfId="21220" xr:uid="{CDE6154F-50BA-4232-B4D3-F5F41AA1F0B8}"/>
    <cellStyle name="SAPBEXstdData 2 14" xfId="21221" xr:uid="{35CB767B-0D03-4296-87AF-63E2C76D9DB8}"/>
    <cellStyle name="SAPBEXstdData 2 14 2" xfId="21222" xr:uid="{7F4EC656-0C26-4FC7-8BFE-977FF84B105A}"/>
    <cellStyle name="SAPBEXstdData 2 15" xfId="21223" xr:uid="{90959872-5CAA-49FB-9381-ED237B82E6D0}"/>
    <cellStyle name="SAPBEXstdData 2 15 2" xfId="21224" xr:uid="{B12A5CCB-A1F5-404C-9832-6B9A16B04AB3}"/>
    <cellStyle name="SAPBEXstdData 2 16" xfId="21225" xr:uid="{8F031474-492A-4125-964A-D66B7F737387}"/>
    <cellStyle name="SAPBEXstdData 2 16 2" xfId="21226" xr:uid="{F9C21E79-A76D-4E5D-A24A-0CC423CA6D55}"/>
    <cellStyle name="SAPBEXstdData 2 17" xfId="21227" xr:uid="{594E1E51-6BF9-4F38-BD38-5F6BD5936D20}"/>
    <cellStyle name="SAPBEXstdData 2 17 2" xfId="21228" xr:uid="{BAECB771-14D5-4903-950A-5BCBB4C2E350}"/>
    <cellStyle name="SAPBEXstdData 2 18" xfId="21229" xr:uid="{2683397C-481F-40D3-9939-1829C95F9793}"/>
    <cellStyle name="SAPBEXstdData 2 18 2" xfId="21230" xr:uid="{C774F3C3-D4D7-4C2F-893C-921E625BA1D9}"/>
    <cellStyle name="SAPBEXstdData 2 2" xfId="21231" xr:uid="{DC8E8FF5-1BF9-42CF-B5A1-57E87815F130}"/>
    <cellStyle name="SAPBEXstdData 2 2 10" xfId="21232" xr:uid="{B61CCF92-5B99-4D3A-9526-BDD5B67651FF}"/>
    <cellStyle name="SAPBEXstdData 2 2 10 2" xfId="21233" xr:uid="{03B12526-D116-4D26-BC80-10397F023A10}"/>
    <cellStyle name="SAPBEXstdData 2 2 11" xfId="21234" xr:uid="{0F909DF3-7520-481C-9679-BA8F7E4FF68F}"/>
    <cellStyle name="SAPBEXstdData 2 2 11 2" xfId="21235" xr:uid="{6D10F9C3-B6F3-4333-8EAE-70E952D5AFDF}"/>
    <cellStyle name="SAPBEXstdData 2 2 12" xfId="21236" xr:uid="{63D15CD0-6F99-463C-9A49-417971BD327E}"/>
    <cellStyle name="SAPBEXstdData 2 2 12 2" xfId="21237" xr:uid="{3F4FD1D4-B18B-4BEB-A8A0-EEBFF241BE40}"/>
    <cellStyle name="SAPBEXstdData 2 2 13" xfId="21238" xr:uid="{CA13D56C-3522-4D39-9EAD-03FD5A0CAAE0}"/>
    <cellStyle name="SAPBEXstdData 2 2 13 2" xfId="21239" xr:uid="{8A7DA44A-D2C9-471F-9BA6-69366E3E008C}"/>
    <cellStyle name="SAPBEXstdData 2 2 14" xfId="21240" xr:uid="{162DF63B-1487-4C3C-9EBC-84B35644C035}"/>
    <cellStyle name="SAPBEXstdData 2 2 14 2" xfId="21241" xr:uid="{E08C4515-EC6B-4088-8867-5BF3A39D64A9}"/>
    <cellStyle name="SAPBEXstdData 2 2 15" xfId="21242" xr:uid="{607F10ED-E056-4B52-A669-B9D72B6EDFC1}"/>
    <cellStyle name="SAPBEXstdData 2 2 15 2" xfId="21243" xr:uid="{8F58838C-3049-4E4E-8AE0-179AEFAD048D}"/>
    <cellStyle name="SAPBEXstdData 2 2 16" xfId="21244" xr:uid="{8D9AA471-4013-4293-AFE2-8050839B97B3}"/>
    <cellStyle name="SAPBEXstdData 2 2 16 2" xfId="21245" xr:uid="{102EBF4C-D31C-43FA-8A21-B0E584B7826C}"/>
    <cellStyle name="SAPBEXstdData 2 2 17" xfId="21246" xr:uid="{C9C700DF-8655-49E4-9F58-EDAED8641290}"/>
    <cellStyle name="SAPBEXstdData 2 2 17 2" xfId="21247" xr:uid="{8970F588-5AD1-4F62-8CF7-495EE415A3AD}"/>
    <cellStyle name="SAPBEXstdData 2 2 2" xfId="21248" xr:uid="{B064309F-D336-46A9-81A3-E2A34F6FE02E}"/>
    <cellStyle name="SAPBEXstdData 2 2 2 10" xfId="21249" xr:uid="{EFA1BFF7-46D3-4C3D-92DA-02E7BD35CC28}"/>
    <cellStyle name="SAPBEXstdData 2 2 2 10 2" xfId="21250" xr:uid="{33080E23-23FF-4A97-838E-67B3A6145D17}"/>
    <cellStyle name="SAPBEXstdData 2 2 2 11" xfId="21251" xr:uid="{0F2E7307-6E2C-4194-A7CC-236E86202117}"/>
    <cellStyle name="SAPBEXstdData 2 2 2 11 2" xfId="21252" xr:uid="{2F2F3555-B86A-4E5B-BF8C-76AD158C3EFF}"/>
    <cellStyle name="SAPBEXstdData 2 2 2 12" xfId="21253" xr:uid="{56B1EAAD-56B1-43CD-ABA7-B16530FFC1DB}"/>
    <cellStyle name="SAPBEXstdData 2 2 2 12 2" xfId="21254" xr:uid="{A055DF08-9489-44BE-9662-5F58648BD420}"/>
    <cellStyle name="SAPBEXstdData 2 2 2 13" xfId="21255" xr:uid="{D735EFB1-2F21-4DCC-BF0D-532B615E0856}"/>
    <cellStyle name="SAPBEXstdData 2 2 2 13 2" xfId="21256" xr:uid="{416417EC-1584-4968-A404-9FE2DE1C94BF}"/>
    <cellStyle name="SAPBEXstdData 2 2 2 14" xfId="21257" xr:uid="{6580A368-68D7-496C-B560-F740EA508FFE}"/>
    <cellStyle name="SAPBEXstdData 2 2 2 14 2" xfId="21258" xr:uid="{8234CC15-F177-4D11-A490-F950204D2F0F}"/>
    <cellStyle name="SAPBEXstdData 2 2 2 15" xfId="21259" xr:uid="{8D2CC808-15AB-4765-B074-495CB72B8F64}"/>
    <cellStyle name="SAPBEXstdData 2 2 2 15 2" xfId="21260" xr:uid="{A6842AF3-B436-4DB4-9FCB-E0AC127D5867}"/>
    <cellStyle name="SAPBEXstdData 2 2 2 2" xfId="21261" xr:uid="{AEFB2F3F-ED48-4DA5-BD1D-18E8DC391C43}"/>
    <cellStyle name="SAPBEXstdData 2 2 2 2 2" xfId="21262" xr:uid="{507A2806-CD6F-41E4-A2D2-D19CAEBE6C03}"/>
    <cellStyle name="SAPBEXstdData 2 2 2 3" xfId="21263" xr:uid="{99068F9C-22AC-4ADC-AAE7-5EADEFFDBB17}"/>
    <cellStyle name="SAPBEXstdData 2 2 2 3 2" xfId="21264" xr:uid="{C86D74D8-BE5C-4C70-9F46-B66E5E1D0931}"/>
    <cellStyle name="SAPBEXstdData 2 2 2 4" xfId="21265" xr:uid="{48924251-5EB3-453F-A52E-EBCDF3FA4A39}"/>
    <cellStyle name="SAPBEXstdData 2 2 2 4 2" xfId="21266" xr:uid="{ACAB59A5-B4CF-4095-B1DF-88383F28406C}"/>
    <cellStyle name="SAPBEXstdData 2 2 2 5" xfId="21267" xr:uid="{FC9666B3-4E2F-41CE-8AEC-914FA27E86E5}"/>
    <cellStyle name="SAPBEXstdData 2 2 2 5 2" xfId="21268" xr:uid="{958B0EB2-53BD-4358-87AC-AF8459271F10}"/>
    <cellStyle name="SAPBEXstdData 2 2 2 6" xfId="21269" xr:uid="{AB153985-52F8-47B8-B11E-5E9817F60129}"/>
    <cellStyle name="SAPBEXstdData 2 2 2 6 2" xfId="21270" xr:uid="{57ADB2CA-3148-4AD2-AE06-01B68104005F}"/>
    <cellStyle name="SAPBEXstdData 2 2 2 7" xfId="21271" xr:uid="{CC0CBFB8-3D78-4824-98B3-051543199884}"/>
    <cellStyle name="SAPBEXstdData 2 2 2 7 2" xfId="21272" xr:uid="{135CBBB8-F258-4432-B95A-5187C5CD08E2}"/>
    <cellStyle name="SAPBEXstdData 2 2 2 8" xfId="21273" xr:uid="{D23E794B-585D-465D-A77D-884623D735B6}"/>
    <cellStyle name="SAPBEXstdData 2 2 2 8 2" xfId="21274" xr:uid="{763D74E0-26F3-4DC1-ABC6-9DDD13814987}"/>
    <cellStyle name="SAPBEXstdData 2 2 2 9" xfId="21275" xr:uid="{88FA27B1-82D2-48D7-921E-D9A2BB12D334}"/>
    <cellStyle name="SAPBEXstdData 2 2 2 9 2" xfId="21276" xr:uid="{29F0858A-5158-4F28-9C6D-75133EE69226}"/>
    <cellStyle name="SAPBEXstdData 2 2 3" xfId="21277" xr:uid="{FE126BD3-FA49-4C96-A14D-BE3BBBA9EA98}"/>
    <cellStyle name="SAPBEXstdData 2 2 3 10" xfId="21278" xr:uid="{45AB1344-AE40-4BB8-B64C-EB370F6662F0}"/>
    <cellStyle name="SAPBEXstdData 2 2 3 10 2" xfId="21279" xr:uid="{75E1BCD4-0272-43C7-BC00-3E17A39997F5}"/>
    <cellStyle name="SAPBEXstdData 2 2 3 11" xfId="21280" xr:uid="{A71DCDE5-C89F-4E7D-BDA5-30F7BDB6EB5A}"/>
    <cellStyle name="SAPBEXstdData 2 2 3 11 2" xfId="21281" xr:uid="{576395A8-5CF2-4CEA-8974-78CE0943A5C1}"/>
    <cellStyle name="SAPBEXstdData 2 2 3 12" xfId="21282" xr:uid="{3EC6E926-BAB3-4FC1-B810-5838CAFCA1F7}"/>
    <cellStyle name="SAPBEXstdData 2 2 3 12 2" xfId="21283" xr:uid="{39F5C908-3EC0-425C-8B3F-AA02EE068290}"/>
    <cellStyle name="SAPBEXstdData 2 2 3 13" xfId="21284" xr:uid="{8D361DCF-BB00-4CC4-AC5D-4353E88DD6E4}"/>
    <cellStyle name="SAPBEXstdData 2 2 3 13 2" xfId="21285" xr:uid="{FC2FE45F-8181-4699-ADEF-CB1A3771818A}"/>
    <cellStyle name="SAPBEXstdData 2 2 3 14" xfId="21286" xr:uid="{26A0FB8F-A755-4641-8B7D-E75A9BC2E4B2}"/>
    <cellStyle name="SAPBEXstdData 2 2 3 14 2" xfId="21287" xr:uid="{237A3703-8038-41D5-BFAE-BBD68FD0BABA}"/>
    <cellStyle name="SAPBEXstdData 2 2 3 15" xfId="21288" xr:uid="{07CDE7EA-FD18-4C8F-872A-1C391A471FE3}"/>
    <cellStyle name="SAPBEXstdData 2 2 3 15 2" xfId="21289" xr:uid="{F55CD382-A82B-4605-AEE2-F656C8F694CA}"/>
    <cellStyle name="SAPBEXstdData 2 2 3 2" xfId="21290" xr:uid="{C9B1109E-5430-4900-A926-F9038E5B5B92}"/>
    <cellStyle name="SAPBEXstdData 2 2 3 2 2" xfId="21291" xr:uid="{E0E85406-7CE2-4414-8098-063D471D17C7}"/>
    <cellStyle name="SAPBEXstdData 2 2 3 3" xfId="21292" xr:uid="{AF45A0F3-B400-4DCE-9B8E-F6C941D098CB}"/>
    <cellStyle name="SAPBEXstdData 2 2 3 3 2" xfId="21293" xr:uid="{5B4094DA-4C9C-4643-B780-0E0CDB368B2A}"/>
    <cellStyle name="SAPBEXstdData 2 2 3 4" xfId="21294" xr:uid="{C2C33FB6-4412-4F03-BE3B-483CDA4E1A56}"/>
    <cellStyle name="SAPBEXstdData 2 2 3 4 2" xfId="21295" xr:uid="{DC4141D0-CA88-4A4F-BDA5-B7601F238C06}"/>
    <cellStyle name="SAPBEXstdData 2 2 3 5" xfId="21296" xr:uid="{C8A237C4-8951-41D9-9865-A8F093F79E87}"/>
    <cellStyle name="SAPBEXstdData 2 2 3 5 2" xfId="21297" xr:uid="{32AC08EF-9A36-4A13-A123-D856700ECB57}"/>
    <cellStyle name="SAPBEXstdData 2 2 3 6" xfId="21298" xr:uid="{6A161861-EEFE-4FC5-8D60-6A5D0CE822C2}"/>
    <cellStyle name="SAPBEXstdData 2 2 3 6 2" xfId="21299" xr:uid="{50E5EF58-0794-4A94-99A9-C68D26D6A360}"/>
    <cellStyle name="SAPBEXstdData 2 2 3 7" xfId="21300" xr:uid="{D3E96673-A853-4851-868A-092AA54EE0CC}"/>
    <cellStyle name="SAPBEXstdData 2 2 3 7 2" xfId="21301" xr:uid="{7A0C09C1-BFB3-42D2-83D2-DE75A1F1A847}"/>
    <cellStyle name="SAPBEXstdData 2 2 3 8" xfId="21302" xr:uid="{4D3AFF44-4A07-48ED-8309-0BE33D0F828F}"/>
    <cellStyle name="SAPBEXstdData 2 2 3 8 2" xfId="21303" xr:uid="{C9D3BE71-3B44-4520-A433-98CB5F1F1585}"/>
    <cellStyle name="SAPBEXstdData 2 2 3 9" xfId="21304" xr:uid="{B2F73AB7-FB2C-4546-9436-B84650306F87}"/>
    <cellStyle name="SAPBEXstdData 2 2 3 9 2" xfId="21305" xr:uid="{9F8055DB-976E-49B4-B48F-B467C4523C7D}"/>
    <cellStyle name="SAPBEXstdData 2 2 4" xfId="21306" xr:uid="{A3BCF768-53AA-4760-9A71-8CA75EA78434}"/>
    <cellStyle name="SAPBEXstdData 2 2 4 2" xfId="21307" xr:uid="{C6B2FF39-BDE0-476B-B5D7-5B2644E97936}"/>
    <cellStyle name="SAPBEXstdData 2 2 5" xfId="21308" xr:uid="{9BCAFB20-135E-4B61-B260-38A3A1D6E73B}"/>
    <cellStyle name="SAPBEXstdData 2 2 5 2" xfId="21309" xr:uid="{B4A37062-9FBF-4EC8-8CB4-092F7B45FCFE}"/>
    <cellStyle name="SAPBEXstdData 2 2 6" xfId="21310" xr:uid="{BA6E2B7B-9C25-44A9-91DF-4DEE339C6463}"/>
    <cellStyle name="SAPBEXstdData 2 2 6 2" xfId="21311" xr:uid="{C35EDF0C-A581-4FCA-BA53-D09ACDB7E65E}"/>
    <cellStyle name="SAPBEXstdData 2 2 7" xfId="21312" xr:uid="{BB96F703-292C-46C6-AF9A-9E05CDD15782}"/>
    <cellStyle name="SAPBEXstdData 2 2 7 2" xfId="21313" xr:uid="{FCF3987F-E36A-4084-BF3D-F9CB9778366F}"/>
    <cellStyle name="SAPBEXstdData 2 2 8" xfId="21314" xr:uid="{5F2C38A7-B58D-4534-8ADF-8BB536853184}"/>
    <cellStyle name="SAPBEXstdData 2 2 8 2" xfId="21315" xr:uid="{56CB6CC5-53D6-4D53-859F-B3415DC7D615}"/>
    <cellStyle name="SAPBEXstdData 2 2 9" xfId="21316" xr:uid="{CC09C869-88D5-44A0-A057-4E0A207B88E8}"/>
    <cellStyle name="SAPBEXstdData 2 2 9 2" xfId="21317" xr:uid="{1F1DA932-31E4-4B9F-95A9-FC005F8D4B80}"/>
    <cellStyle name="SAPBEXstdData 2 3" xfId="21318" xr:uid="{F6793257-C174-4515-80B5-D0FBB8E2D139}"/>
    <cellStyle name="SAPBEXstdData 2 3 10" xfId="21319" xr:uid="{3F5ED96B-0188-4D02-848D-3E42A712C931}"/>
    <cellStyle name="SAPBEXstdData 2 3 10 2" xfId="21320" xr:uid="{F419FF36-BA29-492A-A0A7-40D8FCBCD7BD}"/>
    <cellStyle name="SAPBEXstdData 2 3 11" xfId="21321" xr:uid="{113FC778-772F-4425-ACBB-88D252F2B0F0}"/>
    <cellStyle name="SAPBEXstdData 2 3 11 2" xfId="21322" xr:uid="{2CEC32CB-271E-4DB3-9ECF-56F47E84BD59}"/>
    <cellStyle name="SAPBEXstdData 2 3 12" xfId="21323" xr:uid="{061DBF2F-B0A2-4C30-9C58-730310E24FE0}"/>
    <cellStyle name="SAPBEXstdData 2 3 12 2" xfId="21324" xr:uid="{601A6042-1925-49CE-B162-A80BA1DBA930}"/>
    <cellStyle name="SAPBEXstdData 2 3 13" xfId="21325" xr:uid="{37432F23-9EE4-4083-BC4E-3450E967F4CA}"/>
    <cellStyle name="SAPBEXstdData 2 3 13 2" xfId="21326" xr:uid="{EB43CDFE-19B7-43CA-AB70-397F0CBE1F68}"/>
    <cellStyle name="SAPBEXstdData 2 3 14" xfId="21327" xr:uid="{A7811C3F-4592-4656-8760-A63A7DDB8717}"/>
    <cellStyle name="SAPBEXstdData 2 3 14 2" xfId="21328" xr:uid="{28034690-013B-4840-B46A-1AE317722439}"/>
    <cellStyle name="SAPBEXstdData 2 3 15" xfId="21329" xr:uid="{F2F326DF-64B3-4F9C-9F8D-BEC75C02104F}"/>
    <cellStyle name="SAPBEXstdData 2 3 15 2" xfId="21330" xr:uid="{6AD3FA66-CD8F-4339-AD59-C7126FD58362}"/>
    <cellStyle name="SAPBEXstdData 2 3 16" xfId="21331" xr:uid="{621E3A75-BF6E-4503-B83A-0725D98DBC6A}"/>
    <cellStyle name="SAPBEXstdData 2 3 16 2" xfId="21332" xr:uid="{4A46DECD-BE73-426B-9672-11D3E4C2BEF3}"/>
    <cellStyle name="SAPBEXstdData 2 3 17" xfId="21333" xr:uid="{8246A291-F048-425F-8CFA-0E67F944BACF}"/>
    <cellStyle name="SAPBEXstdData 2 3 17 2" xfId="21334" xr:uid="{9BA42EA3-D965-4CA7-A645-4C673C336AEA}"/>
    <cellStyle name="SAPBEXstdData 2 3 2" xfId="21335" xr:uid="{5DE5B573-715B-4DFE-91FA-256992CE7064}"/>
    <cellStyle name="SAPBEXstdData 2 3 2 10" xfId="21336" xr:uid="{CE35044F-F53F-4FBB-A7DF-4EEAD2516AA6}"/>
    <cellStyle name="SAPBEXstdData 2 3 2 10 2" xfId="21337" xr:uid="{9DAA939C-DDD9-4455-A9D8-DEC54257A757}"/>
    <cellStyle name="SAPBEXstdData 2 3 2 11" xfId="21338" xr:uid="{74D990E9-057D-4EFF-A002-DF7BF53A4914}"/>
    <cellStyle name="SAPBEXstdData 2 3 2 11 2" xfId="21339" xr:uid="{37AAD722-F505-4591-AE88-5C234042FFAD}"/>
    <cellStyle name="SAPBEXstdData 2 3 2 12" xfId="21340" xr:uid="{1A438EEB-F726-43B0-B3C0-C4E60DA57022}"/>
    <cellStyle name="SAPBEXstdData 2 3 2 12 2" xfId="21341" xr:uid="{5E165450-9D71-4D94-B7C0-BAD53E83D5BB}"/>
    <cellStyle name="SAPBEXstdData 2 3 2 13" xfId="21342" xr:uid="{187AA204-5B0D-4AAA-BA3C-7844C2AB07AD}"/>
    <cellStyle name="SAPBEXstdData 2 3 2 13 2" xfId="21343" xr:uid="{29843F1A-3885-41BD-9254-E01E4381B9EE}"/>
    <cellStyle name="SAPBEXstdData 2 3 2 14" xfId="21344" xr:uid="{9C3F59D5-1567-44EF-9B5A-E642AB4944DE}"/>
    <cellStyle name="SAPBEXstdData 2 3 2 14 2" xfId="21345" xr:uid="{17C0B140-C1EA-42C4-A030-BFEF459A7433}"/>
    <cellStyle name="SAPBEXstdData 2 3 2 15" xfId="21346" xr:uid="{3C29CB83-8E23-4196-8959-30854424FE9F}"/>
    <cellStyle name="SAPBEXstdData 2 3 2 15 2" xfId="21347" xr:uid="{639DEFC9-E76E-4B45-A139-A5121A87434A}"/>
    <cellStyle name="SAPBEXstdData 2 3 2 2" xfId="21348" xr:uid="{8FB31497-6C42-4604-93E3-B6C457773426}"/>
    <cellStyle name="SAPBEXstdData 2 3 2 2 2" xfId="21349" xr:uid="{62F21568-16C8-49EC-A8D9-AC5714556454}"/>
    <cellStyle name="SAPBEXstdData 2 3 2 3" xfId="21350" xr:uid="{8CCE9403-A067-4573-BFBF-1BAAC6EEED9B}"/>
    <cellStyle name="SAPBEXstdData 2 3 2 3 2" xfId="21351" xr:uid="{05A64C12-FBBF-41F6-BBC9-57A87EE808FB}"/>
    <cellStyle name="SAPBEXstdData 2 3 2 4" xfId="21352" xr:uid="{447A51EB-65D0-448A-8CBF-57C744EF63A6}"/>
    <cellStyle name="SAPBEXstdData 2 3 2 4 2" xfId="21353" xr:uid="{FCE9C0B5-16ED-405D-BD1B-3ABAC8EB4338}"/>
    <cellStyle name="SAPBEXstdData 2 3 2 5" xfId="21354" xr:uid="{01A8029A-C62B-414C-98FB-7CA618429E7F}"/>
    <cellStyle name="SAPBEXstdData 2 3 2 5 2" xfId="21355" xr:uid="{E06A6F17-A87A-4F23-90DA-27AA8C8297BD}"/>
    <cellStyle name="SAPBEXstdData 2 3 2 6" xfId="21356" xr:uid="{24250FB4-F46B-47A0-A0D5-8238BE64A5CA}"/>
    <cellStyle name="SAPBEXstdData 2 3 2 6 2" xfId="21357" xr:uid="{8C6D9E4E-E09B-4E33-B4FE-ED7A9A3B7C02}"/>
    <cellStyle name="SAPBEXstdData 2 3 2 7" xfId="21358" xr:uid="{D0B3BCC5-D21F-42EC-B7E4-97E318F5EB2A}"/>
    <cellStyle name="SAPBEXstdData 2 3 2 7 2" xfId="21359" xr:uid="{92C7837F-8860-4C9E-A39B-20020D927A32}"/>
    <cellStyle name="SAPBEXstdData 2 3 2 8" xfId="21360" xr:uid="{6FF80CD7-7313-4E7B-B4F6-860068F2AD66}"/>
    <cellStyle name="SAPBEXstdData 2 3 2 8 2" xfId="21361" xr:uid="{0EF99EC9-C06B-473E-B37F-CD4CDB79D4DB}"/>
    <cellStyle name="SAPBEXstdData 2 3 2 9" xfId="21362" xr:uid="{794AD3E0-1FE8-4E2B-83BE-1FDBEF7D99AB}"/>
    <cellStyle name="SAPBEXstdData 2 3 2 9 2" xfId="21363" xr:uid="{49B93190-7685-440B-AA0F-7969F1471467}"/>
    <cellStyle name="SAPBEXstdData 2 3 3" xfId="21364" xr:uid="{F9D966CA-504F-4891-8CAA-F6AFB3822B3F}"/>
    <cellStyle name="SAPBEXstdData 2 3 3 10" xfId="21365" xr:uid="{2530329C-2C6A-4599-A469-BBADF3CFFF64}"/>
    <cellStyle name="SAPBEXstdData 2 3 3 10 2" xfId="21366" xr:uid="{59CB4EB7-394C-4F1D-B21A-CE90FA76E603}"/>
    <cellStyle name="SAPBEXstdData 2 3 3 11" xfId="21367" xr:uid="{5BC208E4-AC01-4ADF-B602-9C6FF47A454D}"/>
    <cellStyle name="SAPBEXstdData 2 3 3 11 2" xfId="21368" xr:uid="{E200A64A-52E1-47AA-B091-0A5F230ED8B9}"/>
    <cellStyle name="SAPBEXstdData 2 3 3 12" xfId="21369" xr:uid="{075134FC-D41D-4AEC-A21B-0929EA91A8EC}"/>
    <cellStyle name="SAPBEXstdData 2 3 3 12 2" xfId="21370" xr:uid="{E2E2D13C-38AF-4ECA-8CF7-01695F54BE73}"/>
    <cellStyle name="SAPBEXstdData 2 3 3 13" xfId="21371" xr:uid="{0FF0A5DB-8DF2-4C16-9C69-2577E6DBCBB4}"/>
    <cellStyle name="SAPBEXstdData 2 3 3 13 2" xfId="21372" xr:uid="{7C847560-AA91-4412-B2CD-A3EF8FAAE9E2}"/>
    <cellStyle name="SAPBEXstdData 2 3 3 14" xfId="21373" xr:uid="{FC45C83A-A89B-4FEC-B75E-82223FF9A358}"/>
    <cellStyle name="SAPBEXstdData 2 3 3 14 2" xfId="21374" xr:uid="{400A3314-5465-4D4E-B1D4-56C880B71EDA}"/>
    <cellStyle name="SAPBEXstdData 2 3 3 15" xfId="21375" xr:uid="{B052B914-9389-4E92-9174-F1A24635CFF5}"/>
    <cellStyle name="SAPBEXstdData 2 3 3 15 2" xfId="21376" xr:uid="{7047922E-86B7-41C5-864C-E5D0618CDD45}"/>
    <cellStyle name="SAPBEXstdData 2 3 3 2" xfId="21377" xr:uid="{6E92EDE5-F877-41AE-BFD7-BD75D630B1BC}"/>
    <cellStyle name="SAPBEXstdData 2 3 3 2 2" xfId="21378" xr:uid="{6950BB57-083A-4EA6-84E0-5A1D85B68473}"/>
    <cellStyle name="SAPBEXstdData 2 3 3 3" xfId="21379" xr:uid="{3906568F-C7D5-49E9-A3FD-78951391DE0E}"/>
    <cellStyle name="SAPBEXstdData 2 3 3 3 2" xfId="21380" xr:uid="{D4F1B7B2-2DE1-416A-B4BF-A061160EE7DF}"/>
    <cellStyle name="SAPBEXstdData 2 3 3 4" xfId="21381" xr:uid="{BD115714-8D4C-4DF0-9EE6-D5239B4C6830}"/>
    <cellStyle name="SAPBEXstdData 2 3 3 4 2" xfId="21382" xr:uid="{67989D9A-7DA7-4CD0-A919-6F92C13E57EE}"/>
    <cellStyle name="SAPBEXstdData 2 3 3 5" xfId="21383" xr:uid="{48A8CF64-2876-4816-BA8B-E69910F0F2E6}"/>
    <cellStyle name="SAPBEXstdData 2 3 3 5 2" xfId="21384" xr:uid="{BD1FE817-6130-4DFC-8F79-5BE928E3FB27}"/>
    <cellStyle name="SAPBEXstdData 2 3 3 6" xfId="21385" xr:uid="{3DD6A3EF-6075-4E76-B561-BD32C689B95C}"/>
    <cellStyle name="SAPBEXstdData 2 3 3 6 2" xfId="21386" xr:uid="{4B0B3592-4A7C-4631-A745-FCB8ACD3D641}"/>
    <cellStyle name="SAPBEXstdData 2 3 3 7" xfId="21387" xr:uid="{0821B752-6B2B-4FF9-88C9-C4C70C8E4D8E}"/>
    <cellStyle name="SAPBEXstdData 2 3 3 7 2" xfId="21388" xr:uid="{0BE3A446-05CB-4861-9924-8C701F4EE574}"/>
    <cellStyle name="SAPBEXstdData 2 3 3 8" xfId="21389" xr:uid="{CEA38FA4-9BDC-407E-9981-EB4C4C8E8DC3}"/>
    <cellStyle name="SAPBEXstdData 2 3 3 8 2" xfId="21390" xr:uid="{C028637B-DE85-49FB-8B26-FAAD2B1277C4}"/>
    <cellStyle name="SAPBEXstdData 2 3 3 9" xfId="21391" xr:uid="{9158D6E5-751C-41ED-96D8-9413F591D08B}"/>
    <cellStyle name="SAPBEXstdData 2 3 3 9 2" xfId="21392" xr:uid="{7F6AC82B-A8FC-4DE2-AB46-B9B430E05FE7}"/>
    <cellStyle name="SAPBEXstdData 2 3 4" xfId="21393" xr:uid="{E160430A-5F99-4A54-A8D6-F11D256091E7}"/>
    <cellStyle name="SAPBEXstdData 2 3 4 2" xfId="21394" xr:uid="{BAD66CF1-1CF3-4D32-90C0-D6A9D037119D}"/>
    <cellStyle name="SAPBEXstdData 2 3 5" xfId="21395" xr:uid="{8605E381-1808-44DB-9410-5CF97941AC7F}"/>
    <cellStyle name="SAPBEXstdData 2 3 5 2" xfId="21396" xr:uid="{429A67EF-B2CF-4A18-9FAC-64FF9C61F544}"/>
    <cellStyle name="SAPBEXstdData 2 3 6" xfId="21397" xr:uid="{4A66ACD2-716F-4C26-8B6A-E495DF435CBD}"/>
    <cellStyle name="SAPBEXstdData 2 3 6 2" xfId="21398" xr:uid="{84B31EAD-9097-4A44-9400-54A2C33C6072}"/>
    <cellStyle name="SAPBEXstdData 2 3 7" xfId="21399" xr:uid="{428BE158-C9D7-4769-89D5-71E68E3E3F10}"/>
    <cellStyle name="SAPBEXstdData 2 3 7 2" xfId="21400" xr:uid="{B78F336D-79EA-4827-A5F6-042826FFA0AA}"/>
    <cellStyle name="SAPBEXstdData 2 3 8" xfId="21401" xr:uid="{9E91EABC-DE78-4DB3-A2D0-066E4F6BB4EA}"/>
    <cellStyle name="SAPBEXstdData 2 3 8 2" xfId="21402" xr:uid="{4525294F-12CE-49DD-A514-C3BB2F4530E8}"/>
    <cellStyle name="SAPBEXstdData 2 3 9" xfId="21403" xr:uid="{15326E93-3DA0-4D85-B85F-63D983B0F1DD}"/>
    <cellStyle name="SAPBEXstdData 2 3 9 2" xfId="21404" xr:uid="{4C4DB02C-DF98-4DF7-88B3-C7A0E463DEB7}"/>
    <cellStyle name="SAPBEXstdData 2 4" xfId="21405" xr:uid="{8D54D93F-16B3-48F8-8255-6362DD0B8C9C}"/>
    <cellStyle name="SAPBEXstdData 2 4 10" xfId="21406" xr:uid="{B3DD14F2-78FC-49F1-8456-A4B1CD26F672}"/>
    <cellStyle name="SAPBEXstdData 2 4 10 2" xfId="21407" xr:uid="{09A6F430-AC92-41CF-9059-FC8BAA5518B6}"/>
    <cellStyle name="SAPBEXstdData 2 4 11" xfId="21408" xr:uid="{ECFEF688-EAED-4447-ACD8-5657277BAD5D}"/>
    <cellStyle name="SAPBEXstdData 2 4 11 2" xfId="21409" xr:uid="{705A2994-A881-4395-A875-ADCAADD22340}"/>
    <cellStyle name="SAPBEXstdData 2 4 12" xfId="21410" xr:uid="{BC15D35B-B227-4CC5-983F-9A1E92246E0E}"/>
    <cellStyle name="SAPBEXstdData 2 4 12 2" xfId="21411" xr:uid="{B96555E3-0EA1-40F9-B0E5-E919BF610B90}"/>
    <cellStyle name="SAPBEXstdData 2 4 13" xfId="21412" xr:uid="{E381ECB2-B5D8-481E-BC83-026A505A12DE}"/>
    <cellStyle name="SAPBEXstdData 2 4 13 2" xfId="21413" xr:uid="{675DAAF3-453C-442C-86DD-1A79EC33466A}"/>
    <cellStyle name="SAPBEXstdData 2 4 14" xfId="21414" xr:uid="{F0DF6AE8-1D63-4919-838F-75489A4C1C82}"/>
    <cellStyle name="SAPBEXstdData 2 4 14 2" xfId="21415" xr:uid="{6AB18EFF-FFBE-470A-844D-0627C5C3742D}"/>
    <cellStyle name="SAPBEXstdData 2 4 15" xfId="21416" xr:uid="{BD7F6FDA-ADFA-40B2-B95B-4C4E230723DA}"/>
    <cellStyle name="SAPBEXstdData 2 4 15 2" xfId="21417" xr:uid="{BF88C92C-68D9-4F24-B377-7C7D72C77D7A}"/>
    <cellStyle name="SAPBEXstdData 2 4 16" xfId="21418" xr:uid="{9FE912D1-F587-4998-9771-9C4FD2ACF4D8}"/>
    <cellStyle name="SAPBEXstdData 2 4 16 2" xfId="21419" xr:uid="{3E97DD5F-38E3-431A-926C-90CEABBDE38B}"/>
    <cellStyle name="SAPBEXstdData 2 4 17" xfId="21420" xr:uid="{C9BC4A8F-4E6F-40A5-A9C5-BE167973A873}"/>
    <cellStyle name="SAPBEXstdData 2 4 17 2" xfId="21421" xr:uid="{8CD05E34-51C3-47AB-A3FC-9E697655A8D1}"/>
    <cellStyle name="SAPBEXstdData 2 4 2" xfId="21422" xr:uid="{E98BE2AF-97B3-4A42-A689-0DD1305FA228}"/>
    <cellStyle name="SAPBEXstdData 2 4 2 10" xfId="21423" xr:uid="{6554D6FB-13FB-49B3-A6A8-63EA565C7CFD}"/>
    <cellStyle name="SAPBEXstdData 2 4 2 10 2" xfId="21424" xr:uid="{429CDF3D-28AA-493D-96C5-E55C76806B80}"/>
    <cellStyle name="SAPBEXstdData 2 4 2 11" xfId="21425" xr:uid="{EFE4842A-7119-46BB-9F8B-5BDEEA454368}"/>
    <cellStyle name="SAPBEXstdData 2 4 2 11 2" xfId="21426" xr:uid="{9A9D0744-7F16-4B54-BF96-445DF7967DA7}"/>
    <cellStyle name="SAPBEXstdData 2 4 2 12" xfId="21427" xr:uid="{CE4A16A4-ACE9-45F1-BD57-0A5A0EF19E94}"/>
    <cellStyle name="SAPBEXstdData 2 4 2 12 2" xfId="21428" xr:uid="{4D1C7DB1-D037-453C-A380-64729F904B22}"/>
    <cellStyle name="SAPBEXstdData 2 4 2 13" xfId="21429" xr:uid="{0A754912-7E9E-4E72-B3E0-D01058492D1C}"/>
    <cellStyle name="SAPBEXstdData 2 4 2 13 2" xfId="21430" xr:uid="{5E098EAE-2FD8-4A04-BF3A-85048867B3A2}"/>
    <cellStyle name="SAPBEXstdData 2 4 2 14" xfId="21431" xr:uid="{584DD71C-67E7-4027-9300-7A97858BC8A2}"/>
    <cellStyle name="SAPBEXstdData 2 4 2 14 2" xfId="21432" xr:uid="{77728D2D-78F2-4CA1-A5F8-87C2E2D151CA}"/>
    <cellStyle name="SAPBEXstdData 2 4 2 15" xfId="21433" xr:uid="{608A12FD-B1D4-409C-A34E-B98D4E1F47E4}"/>
    <cellStyle name="SAPBEXstdData 2 4 2 15 2" xfId="21434" xr:uid="{9C057162-99AF-4560-8217-1A263C961017}"/>
    <cellStyle name="SAPBEXstdData 2 4 2 2" xfId="21435" xr:uid="{E6A2C9D5-0589-413F-9D4C-EF7B099F1F56}"/>
    <cellStyle name="SAPBEXstdData 2 4 2 2 2" xfId="21436" xr:uid="{9A79F64E-A0E7-4F05-BC1C-9ABE5BD2C4D4}"/>
    <cellStyle name="SAPBEXstdData 2 4 2 3" xfId="21437" xr:uid="{8FCBF8B4-8CF8-42E0-9FB0-468AB08856B6}"/>
    <cellStyle name="SAPBEXstdData 2 4 2 3 2" xfId="21438" xr:uid="{DD31B7E9-9D83-4893-8387-E67A37741D4C}"/>
    <cellStyle name="SAPBEXstdData 2 4 2 4" xfId="21439" xr:uid="{DCAE1A5E-DD1A-487B-A3F5-5C64F5949DE6}"/>
    <cellStyle name="SAPBEXstdData 2 4 2 4 2" xfId="21440" xr:uid="{FF45B94D-8016-483F-80FF-BCC0B0A07166}"/>
    <cellStyle name="SAPBEXstdData 2 4 2 5" xfId="21441" xr:uid="{B12F1034-BC90-47DC-BCC6-936E3AB8E57F}"/>
    <cellStyle name="SAPBEXstdData 2 4 2 5 2" xfId="21442" xr:uid="{48F5ED69-3BFE-468E-BB7F-D520FC73CFF6}"/>
    <cellStyle name="SAPBEXstdData 2 4 2 6" xfId="21443" xr:uid="{0648439C-D2C2-4038-A3F8-629224358EF6}"/>
    <cellStyle name="SAPBEXstdData 2 4 2 6 2" xfId="21444" xr:uid="{303E596A-C4EF-41D5-B5EC-5C34A1830639}"/>
    <cellStyle name="SAPBEXstdData 2 4 2 7" xfId="21445" xr:uid="{D2F829D7-AD7B-478D-A68A-B2E4D9CE41A9}"/>
    <cellStyle name="SAPBEXstdData 2 4 2 7 2" xfId="21446" xr:uid="{DB44BA51-267A-49E6-B158-C846C86149B5}"/>
    <cellStyle name="SAPBEXstdData 2 4 2 8" xfId="21447" xr:uid="{84E39D8E-D6CF-4F62-88A9-41F91FB5D7E7}"/>
    <cellStyle name="SAPBEXstdData 2 4 2 8 2" xfId="21448" xr:uid="{A8C3E58B-7917-469D-9B1D-88D6E73D9E2C}"/>
    <cellStyle name="SAPBEXstdData 2 4 2 9" xfId="21449" xr:uid="{BE2CF8F5-6901-49FA-A1E2-739F6B491C09}"/>
    <cellStyle name="SAPBEXstdData 2 4 2 9 2" xfId="21450" xr:uid="{266BE586-520C-45D5-ADD0-35DB46129ACF}"/>
    <cellStyle name="SAPBEXstdData 2 4 3" xfId="21451" xr:uid="{3892CFB0-9CB6-448A-9183-6B82194CB794}"/>
    <cellStyle name="SAPBEXstdData 2 4 3 10" xfId="21452" xr:uid="{52371EDF-195E-40EE-A0A7-5A25E3228C75}"/>
    <cellStyle name="SAPBEXstdData 2 4 3 10 2" xfId="21453" xr:uid="{F2D20186-B4E7-45FC-B4F4-C671221FC556}"/>
    <cellStyle name="SAPBEXstdData 2 4 3 11" xfId="21454" xr:uid="{7DB3BD4F-DB09-44D6-A075-7CB583887C64}"/>
    <cellStyle name="SAPBEXstdData 2 4 3 11 2" xfId="21455" xr:uid="{EE78757E-A522-4D27-B106-21F1C7880ED8}"/>
    <cellStyle name="SAPBEXstdData 2 4 3 12" xfId="21456" xr:uid="{A1BF5B7D-2A68-4297-99BB-0707C4BA23DE}"/>
    <cellStyle name="SAPBEXstdData 2 4 3 12 2" xfId="21457" xr:uid="{9D22FE50-A928-44DF-84BB-A562FDA9C17A}"/>
    <cellStyle name="SAPBEXstdData 2 4 3 13" xfId="21458" xr:uid="{97742DAA-A90C-416D-A851-42DD74C36449}"/>
    <cellStyle name="SAPBEXstdData 2 4 3 13 2" xfId="21459" xr:uid="{DFF5503C-886C-4EC7-B562-C38FB81210E1}"/>
    <cellStyle name="SAPBEXstdData 2 4 3 14" xfId="21460" xr:uid="{C99AB5AA-41BA-4925-A217-FD704FB5870D}"/>
    <cellStyle name="SAPBEXstdData 2 4 3 14 2" xfId="21461" xr:uid="{097824D5-78E2-4346-960F-518C13BFBFA8}"/>
    <cellStyle name="SAPBEXstdData 2 4 3 15" xfId="21462" xr:uid="{25489FFD-6D55-4173-AEAD-ACF25C91761D}"/>
    <cellStyle name="SAPBEXstdData 2 4 3 15 2" xfId="21463" xr:uid="{39742E89-1F91-48D0-9797-3E0FDB47C325}"/>
    <cellStyle name="SAPBEXstdData 2 4 3 2" xfId="21464" xr:uid="{F157F23A-26FE-48BC-A574-0A46B4586934}"/>
    <cellStyle name="SAPBEXstdData 2 4 3 2 2" xfId="21465" xr:uid="{B68C2DAD-BD9B-4067-BA80-AE37846DBC24}"/>
    <cellStyle name="SAPBEXstdData 2 4 3 3" xfId="21466" xr:uid="{00A3CE09-2013-4115-BB24-755EB033BB9E}"/>
    <cellStyle name="SAPBEXstdData 2 4 3 3 2" xfId="21467" xr:uid="{6097620B-CCFD-46F1-90D7-BE02C3A1738C}"/>
    <cellStyle name="SAPBEXstdData 2 4 3 4" xfId="21468" xr:uid="{CFD1B27D-8EA7-4810-BA2B-FE8BBED16732}"/>
    <cellStyle name="SAPBEXstdData 2 4 3 4 2" xfId="21469" xr:uid="{5DB7F123-F91B-459C-AE02-0B6541A91B87}"/>
    <cellStyle name="SAPBEXstdData 2 4 3 5" xfId="21470" xr:uid="{E7227B5C-4DDE-4C65-8DE9-45F75ED1D54C}"/>
    <cellStyle name="SAPBEXstdData 2 4 3 5 2" xfId="21471" xr:uid="{17074E4D-7BC6-4829-B316-326733B89E6B}"/>
    <cellStyle name="SAPBEXstdData 2 4 3 6" xfId="21472" xr:uid="{052DE20E-BD64-4E85-AA5A-1B662EAB1E54}"/>
    <cellStyle name="SAPBEXstdData 2 4 3 6 2" xfId="21473" xr:uid="{08951369-9744-4A75-BF36-FF7BFBC3D7E2}"/>
    <cellStyle name="SAPBEXstdData 2 4 3 7" xfId="21474" xr:uid="{E8610F33-D2CF-49C5-88C9-E7D11CBFC1C5}"/>
    <cellStyle name="SAPBEXstdData 2 4 3 7 2" xfId="21475" xr:uid="{78D7F6D5-28AA-4BB5-ACC4-C172A0C0F935}"/>
    <cellStyle name="SAPBEXstdData 2 4 3 8" xfId="21476" xr:uid="{BC083822-4012-4089-AAB6-A39A59A40D5A}"/>
    <cellStyle name="SAPBEXstdData 2 4 3 8 2" xfId="21477" xr:uid="{3A7BC699-3ECC-4169-BA6A-84072A7C61D8}"/>
    <cellStyle name="SAPBEXstdData 2 4 3 9" xfId="21478" xr:uid="{8B04D8E0-DB1D-425E-A426-ECAB929B5ED8}"/>
    <cellStyle name="SAPBEXstdData 2 4 3 9 2" xfId="21479" xr:uid="{6F223852-1FFD-43FB-B45A-EDBDCB0A76B6}"/>
    <cellStyle name="SAPBEXstdData 2 4 4" xfId="21480" xr:uid="{48751114-E35B-4409-8886-39BF31108219}"/>
    <cellStyle name="SAPBEXstdData 2 4 4 2" xfId="21481" xr:uid="{69DA1D36-3CB1-47E8-8537-FAAD7417A702}"/>
    <cellStyle name="SAPBEXstdData 2 4 5" xfId="21482" xr:uid="{E94B3FDF-C3F3-4879-B443-9A92E7A0DECE}"/>
    <cellStyle name="SAPBEXstdData 2 4 5 2" xfId="21483" xr:uid="{9BC0D509-F19A-4E3F-B660-3144CDF6522C}"/>
    <cellStyle name="SAPBEXstdData 2 4 6" xfId="21484" xr:uid="{C22070D9-3794-4E5E-82EF-F382BC484470}"/>
    <cellStyle name="SAPBEXstdData 2 4 6 2" xfId="21485" xr:uid="{38BCF554-432B-4C28-B409-93740B5DA8EB}"/>
    <cellStyle name="SAPBEXstdData 2 4 7" xfId="21486" xr:uid="{1109928B-FD09-4A8D-AB3F-8615F7E801C6}"/>
    <cellStyle name="SAPBEXstdData 2 4 7 2" xfId="21487" xr:uid="{4ADADC61-2CB8-4683-B444-DA33EE0E8765}"/>
    <cellStyle name="SAPBEXstdData 2 4 8" xfId="21488" xr:uid="{C77E4ACA-68B5-4837-8EB3-C4BF4583F855}"/>
    <cellStyle name="SAPBEXstdData 2 4 8 2" xfId="21489" xr:uid="{7D0BFEF6-E164-47FB-A1B6-A1505684BA8E}"/>
    <cellStyle name="SAPBEXstdData 2 4 9" xfId="21490" xr:uid="{7F971486-2D79-4236-A442-571AA1FA69B2}"/>
    <cellStyle name="SAPBEXstdData 2 4 9 2" xfId="21491" xr:uid="{10AD52B7-C32F-40CB-88E8-A3FD24A70FF6}"/>
    <cellStyle name="SAPBEXstdData 2 5" xfId="21492" xr:uid="{58854207-F914-4411-8E98-33EB264557EA}"/>
    <cellStyle name="SAPBEXstdData 2 5 2" xfId="21493" xr:uid="{6CF8231F-7A60-49FB-A057-93DBAEC08B7D}"/>
    <cellStyle name="SAPBEXstdData 2 6" xfId="21494" xr:uid="{39EB89E6-2D3D-4AA5-8112-9A43DAF4EE03}"/>
    <cellStyle name="SAPBEXstdData 2 6 2" xfId="21495" xr:uid="{6A9FBA5B-94B7-4CE1-B7CF-F978B8B5F74A}"/>
    <cellStyle name="SAPBEXstdData 2 7" xfId="21496" xr:uid="{0F3A7780-6A62-468B-8443-AC1DB135EB6B}"/>
    <cellStyle name="SAPBEXstdData 2 7 2" xfId="21497" xr:uid="{6B906404-FCBB-4457-AD4C-B2E96543E72A}"/>
    <cellStyle name="SAPBEXstdData 2 8" xfId="21498" xr:uid="{7290724C-80F7-46FD-B26C-6F1757D52B15}"/>
    <cellStyle name="SAPBEXstdData 2 8 2" xfId="21499" xr:uid="{8818BC4B-693A-4AA4-8525-A1458E930714}"/>
    <cellStyle name="SAPBEXstdData 2 9" xfId="21500" xr:uid="{024557B9-8447-4C0E-8CA3-2B9D4ABE739C}"/>
    <cellStyle name="SAPBEXstdData 2 9 2" xfId="21501" xr:uid="{D450651D-96A8-41A9-A5E3-B16A7963605F}"/>
    <cellStyle name="SAPBEXstdData 2_T1 ANSP" xfId="21212" xr:uid="{C5140499-0524-46B2-B7B2-A67F8BCA66FA}"/>
    <cellStyle name="SAPBEXstdData 20" xfId="21502" xr:uid="{8D5FAB6B-55BE-45CD-AD1A-7AB76F3541DA}"/>
    <cellStyle name="SAPBEXstdData 3" xfId="1530" xr:uid="{00000000-0005-0000-0000-0000B1050000}"/>
    <cellStyle name="SAPBEXstdData 3 10" xfId="21504" xr:uid="{5F19A5CC-D4D3-4367-927E-E1990BAA79DD}"/>
    <cellStyle name="SAPBEXstdData 3 10 2" xfId="21505" xr:uid="{18B9211E-2BF2-45C1-AA03-607796AFFF2B}"/>
    <cellStyle name="SAPBEXstdData 3 11" xfId="21506" xr:uid="{CDAEB975-54BB-4264-B7D8-41F364AC3FB9}"/>
    <cellStyle name="SAPBEXstdData 3 11 2" xfId="21507" xr:uid="{248B87AF-3599-4463-9CC4-B71ACCDF786D}"/>
    <cellStyle name="SAPBEXstdData 3 12" xfId="21508" xr:uid="{5B33062F-72F7-494E-8042-B19438F45F53}"/>
    <cellStyle name="SAPBEXstdData 3 12 2" xfId="21509" xr:uid="{582F86D5-FF18-4D21-A243-53283820E2E2}"/>
    <cellStyle name="SAPBEXstdData 3 13" xfId="21510" xr:uid="{45F068A3-0E78-4EA3-A4EE-FE16D541F66F}"/>
    <cellStyle name="SAPBEXstdData 3 13 2" xfId="21511" xr:uid="{1A3A3EB8-7F3B-4BBC-8393-EA776F9A7BFD}"/>
    <cellStyle name="SAPBEXstdData 3 14" xfId="21512" xr:uid="{ECE3C915-2E09-49B6-BC43-8690945E5FA0}"/>
    <cellStyle name="SAPBEXstdData 3 14 2" xfId="21513" xr:uid="{BDED797C-8E45-4B3B-A728-E2798F8AA67B}"/>
    <cellStyle name="SAPBEXstdData 3 15" xfId="21514" xr:uid="{23FC1FDE-DD28-47DA-9F22-7A787F4447DA}"/>
    <cellStyle name="SAPBEXstdData 3 15 2" xfId="21515" xr:uid="{4BA7F6D1-4647-498A-B313-98175D5C6309}"/>
    <cellStyle name="SAPBEXstdData 3 16" xfId="21516" xr:uid="{52143003-675A-48E6-9473-CB434BE3A820}"/>
    <cellStyle name="SAPBEXstdData 3 16 2" xfId="21517" xr:uid="{9C8FA59A-9DD2-46A6-A89F-17377EB2B473}"/>
    <cellStyle name="SAPBEXstdData 3 17" xfId="21518" xr:uid="{402C39A7-F7DF-4642-B142-38CE7FD850D3}"/>
    <cellStyle name="SAPBEXstdData 3 17 2" xfId="21519" xr:uid="{ACAE0A83-D9F9-4523-BDA6-BBC7C4BE853C}"/>
    <cellStyle name="SAPBEXstdData 3 18" xfId="21520" xr:uid="{468B9FC1-1ACF-4960-BAF0-7D958CB6D236}"/>
    <cellStyle name="SAPBEXstdData 3 2" xfId="21521" xr:uid="{B24460A2-CB67-49CF-BCDA-063A002D8943}"/>
    <cellStyle name="SAPBEXstdData 3 2 10" xfId="21522" xr:uid="{1E1CB559-35D5-4291-B13D-E481E0528CFB}"/>
    <cellStyle name="SAPBEXstdData 3 2 10 2" xfId="21523" xr:uid="{27856737-D7B3-4A68-A0BA-6E6BA8BBE429}"/>
    <cellStyle name="SAPBEXstdData 3 2 11" xfId="21524" xr:uid="{6F0D706C-8E1B-4041-A821-49276E892BE8}"/>
    <cellStyle name="SAPBEXstdData 3 2 11 2" xfId="21525" xr:uid="{59E24159-FDC7-47AD-92F0-D98865C210FF}"/>
    <cellStyle name="SAPBEXstdData 3 2 12" xfId="21526" xr:uid="{BD5557E2-7BAC-49A2-9642-C570E9D2DDD9}"/>
    <cellStyle name="SAPBEXstdData 3 2 12 2" xfId="21527" xr:uid="{340ECF0F-4DA4-4A4E-A9B8-A25567BD636E}"/>
    <cellStyle name="SAPBEXstdData 3 2 13" xfId="21528" xr:uid="{B57D2413-3387-47E0-ADD4-08CC8B300B7C}"/>
    <cellStyle name="SAPBEXstdData 3 2 13 2" xfId="21529" xr:uid="{0A27945B-5B43-4851-892A-6505D8FC7B43}"/>
    <cellStyle name="SAPBEXstdData 3 2 14" xfId="21530" xr:uid="{C0771E8D-390E-4BC0-941E-55542E608ED7}"/>
    <cellStyle name="SAPBEXstdData 3 2 14 2" xfId="21531" xr:uid="{F43CDE30-86DE-4E37-96E6-07D51505EE35}"/>
    <cellStyle name="SAPBEXstdData 3 2 15" xfId="21532" xr:uid="{6168F9DD-A29F-4263-BD3C-BA4DB2F288AF}"/>
    <cellStyle name="SAPBEXstdData 3 2 15 2" xfId="21533" xr:uid="{5279EDD2-6A5E-40C8-AB5A-DA1B5119C264}"/>
    <cellStyle name="SAPBEXstdData 3 2 16" xfId="21534" xr:uid="{E5350296-3DD0-492F-86E6-A3D9F1186E2B}"/>
    <cellStyle name="SAPBEXstdData 3 2 2" xfId="21535" xr:uid="{A0748B1F-7888-4A61-BC02-91516E2C1DE5}"/>
    <cellStyle name="SAPBEXstdData 3 2 2 2" xfId="21536" xr:uid="{D479335A-4FF9-475B-B6A8-B77743868395}"/>
    <cellStyle name="SAPBEXstdData 3 2 3" xfId="21537" xr:uid="{F1757F22-669D-435C-BF5F-1B830D448BB2}"/>
    <cellStyle name="SAPBEXstdData 3 2 3 2" xfId="21538" xr:uid="{24799FA8-6080-4D5B-ADEF-E3B8A9CE70A0}"/>
    <cellStyle name="SAPBEXstdData 3 2 4" xfId="21539" xr:uid="{7D43DDA9-0F49-4FD9-9F86-C00B5EE57611}"/>
    <cellStyle name="SAPBEXstdData 3 2 4 2" xfId="21540" xr:uid="{22F85051-39C8-4727-8970-98BFF071D27E}"/>
    <cellStyle name="SAPBEXstdData 3 2 5" xfId="21541" xr:uid="{470728E6-FD15-4CD9-9929-35245FF9491D}"/>
    <cellStyle name="SAPBEXstdData 3 2 5 2" xfId="21542" xr:uid="{6318D4FD-0C21-4FBD-AE47-F4303D8E3144}"/>
    <cellStyle name="SAPBEXstdData 3 2 6" xfId="21543" xr:uid="{C1ED77CB-150B-4BA6-9B77-2B98997C150B}"/>
    <cellStyle name="SAPBEXstdData 3 2 6 2" xfId="21544" xr:uid="{C18A827C-34C5-4BDC-82D6-3FBC8B5EEEBC}"/>
    <cellStyle name="SAPBEXstdData 3 2 7" xfId="21545" xr:uid="{61134636-9642-42AC-94A1-763AD57B9349}"/>
    <cellStyle name="SAPBEXstdData 3 2 7 2" xfId="21546" xr:uid="{DA0F2F8A-89C6-448D-BD90-E8F5BA60B07C}"/>
    <cellStyle name="SAPBEXstdData 3 2 8" xfId="21547" xr:uid="{699D3ED0-D9B3-4EFB-8426-BB3635C24E14}"/>
    <cellStyle name="SAPBEXstdData 3 2 8 2" xfId="21548" xr:uid="{78A42A66-0D0A-4CA0-B381-B69A1D8DEEF0}"/>
    <cellStyle name="SAPBEXstdData 3 2 9" xfId="21549" xr:uid="{5BCCE02D-A5FE-4B01-BB36-276E105068D1}"/>
    <cellStyle name="SAPBEXstdData 3 2 9 2" xfId="21550" xr:uid="{4B6C23CC-C4FC-47EA-BC98-ED421237D63D}"/>
    <cellStyle name="SAPBEXstdData 3 3" xfId="21551" xr:uid="{C46D2F4A-DB06-4693-9C17-BEFCBF8B1301}"/>
    <cellStyle name="SAPBEXstdData 3 3 10" xfId="21552" xr:uid="{F7F6B287-E3ED-4D13-94A6-858EC5518BD7}"/>
    <cellStyle name="SAPBEXstdData 3 3 10 2" xfId="21553" xr:uid="{DDA20144-B956-4115-9F6F-EAE527535678}"/>
    <cellStyle name="SAPBEXstdData 3 3 11" xfId="21554" xr:uid="{7B9D7B6A-502D-4D87-9D0F-2762CF803D47}"/>
    <cellStyle name="SAPBEXstdData 3 3 11 2" xfId="21555" xr:uid="{E1852386-DACC-4123-B7C2-D69DE5590F58}"/>
    <cellStyle name="SAPBEXstdData 3 3 12" xfId="21556" xr:uid="{EE88AA19-BB33-4636-9351-5C3F408F2090}"/>
    <cellStyle name="SAPBEXstdData 3 3 12 2" xfId="21557" xr:uid="{60BC89D6-B1F1-4395-88C0-20FC818EFFAD}"/>
    <cellStyle name="SAPBEXstdData 3 3 13" xfId="21558" xr:uid="{47A8F256-CEC1-4476-848F-3213494EB7BA}"/>
    <cellStyle name="SAPBEXstdData 3 3 13 2" xfId="21559" xr:uid="{3B28B5E1-0C6B-4C1F-ABD2-21CEA1620238}"/>
    <cellStyle name="SAPBEXstdData 3 3 14" xfId="21560" xr:uid="{74053FEA-7CC0-4D75-A1CB-CF434C070742}"/>
    <cellStyle name="SAPBEXstdData 3 3 14 2" xfId="21561" xr:uid="{F2215B2D-4770-4126-BE12-54A7E7E909CD}"/>
    <cellStyle name="SAPBEXstdData 3 3 15" xfId="21562" xr:uid="{C56004DA-C694-4A59-B1D4-5F9BDC9291DD}"/>
    <cellStyle name="SAPBEXstdData 3 3 15 2" xfId="21563" xr:uid="{C66D5789-8A6D-431E-B1FA-C58538F914E6}"/>
    <cellStyle name="SAPBEXstdData 3 3 16" xfId="21564" xr:uid="{113580B9-49BB-4D82-B714-1F0D3F270BC2}"/>
    <cellStyle name="SAPBEXstdData 3 3 2" xfId="21565" xr:uid="{42193E67-0991-4481-A9A8-35C5F2402BD9}"/>
    <cellStyle name="SAPBEXstdData 3 3 2 2" xfId="21566" xr:uid="{E2EB17B4-18A3-4122-9A99-949A387A724F}"/>
    <cellStyle name="SAPBEXstdData 3 3 3" xfId="21567" xr:uid="{7EB4B374-39DE-44BA-B220-9A6B0438BC3D}"/>
    <cellStyle name="SAPBEXstdData 3 3 3 2" xfId="21568" xr:uid="{2E1327B3-65D8-4AFC-9981-C5E1D6DD0446}"/>
    <cellStyle name="SAPBEXstdData 3 3 4" xfId="21569" xr:uid="{F12AFBB1-20F3-4CB1-85E3-EA03F13551FD}"/>
    <cellStyle name="SAPBEXstdData 3 3 4 2" xfId="21570" xr:uid="{271FF8C9-AF3B-4888-9E4F-DBC1AC73EC19}"/>
    <cellStyle name="SAPBEXstdData 3 3 5" xfId="21571" xr:uid="{90F11CD7-B73F-43BE-B854-5F4ABB72056A}"/>
    <cellStyle name="SAPBEXstdData 3 3 5 2" xfId="21572" xr:uid="{2E83E2B0-7E64-4066-9A07-EAE00C1C2D35}"/>
    <cellStyle name="SAPBEXstdData 3 3 6" xfId="21573" xr:uid="{BD5C7385-BAE6-4EF5-BF07-E71BC15C8B08}"/>
    <cellStyle name="SAPBEXstdData 3 3 6 2" xfId="21574" xr:uid="{2ED1A257-DC7E-48B6-84E8-76AE3F81AD5D}"/>
    <cellStyle name="SAPBEXstdData 3 3 7" xfId="21575" xr:uid="{968C479C-FD59-4913-A3D4-BD245D5D8CF0}"/>
    <cellStyle name="SAPBEXstdData 3 3 7 2" xfId="21576" xr:uid="{84170387-71BF-4737-A175-53444C7C66E2}"/>
    <cellStyle name="SAPBEXstdData 3 3 8" xfId="21577" xr:uid="{55AF85A6-0921-4979-985B-4A5D36886989}"/>
    <cellStyle name="SAPBEXstdData 3 3 8 2" xfId="21578" xr:uid="{55D2F59D-A19D-43E5-90F2-C9F98EA310C9}"/>
    <cellStyle name="SAPBEXstdData 3 3 9" xfId="21579" xr:uid="{C9E567C0-B9AD-45E1-8325-216FC5762C41}"/>
    <cellStyle name="SAPBEXstdData 3 3 9 2" xfId="21580" xr:uid="{03D7585B-6C04-4294-AF28-C438BEBB360A}"/>
    <cellStyle name="SAPBEXstdData 3 4" xfId="21581" xr:uid="{F60F2C43-CB29-454E-B59F-F0203BE22C75}"/>
    <cellStyle name="SAPBEXstdData 3 4 2" xfId="21582" xr:uid="{080F839F-5945-455B-AB1E-9DC851352EE8}"/>
    <cellStyle name="SAPBEXstdData 3 5" xfId="21583" xr:uid="{D4CBB483-D20E-4B7D-8CED-A04D43C172F2}"/>
    <cellStyle name="SAPBEXstdData 3 5 2" xfId="21584" xr:uid="{DEE4334C-D3E2-44B2-8508-56E0F0A401DC}"/>
    <cellStyle name="SAPBEXstdData 3 6" xfId="21585" xr:uid="{83E6186E-8B5A-4313-A1B9-BD131CC6FD93}"/>
    <cellStyle name="SAPBEXstdData 3 6 2" xfId="21586" xr:uid="{6A58E92D-DE25-4F3A-91A6-2FA598345FFD}"/>
    <cellStyle name="SAPBEXstdData 3 7" xfId="21587" xr:uid="{4BAD3084-69A2-43C3-8101-57FFDFA5F710}"/>
    <cellStyle name="SAPBEXstdData 3 7 2" xfId="21588" xr:uid="{E927C1B7-10EB-44B4-9881-CABE7D758D6F}"/>
    <cellStyle name="SAPBEXstdData 3 8" xfId="21589" xr:uid="{66E04E95-C7ED-43B3-AED2-901EBCCED500}"/>
    <cellStyle name="SAPBEXstdData 3 8 2" xfId="21590" xr:uid="{34DA1CE2-2B75-49F3-91CD-1F1BAAFAF47E}"/>
    <cellStyle name="SAPBEXstdData 3 9" xfId="21591" xr:uid="{87647F36-CB89-4E03-B587-E0B3D35E1784}"/>
    <cellStyle name="SAPBEXstdData 3 9 2" xfId="21592" xr:uid="{D6625A60-CA3A-4583-94DE-EDB32937D9D9}"/>
    <cellStyle name="SAPBEXstdData 3_T1 ANSP" xfId="21503" xr:uid="{32181A3F-3C9D-4FD6-BF4F-D9EA1A696312}"/>
    <cellStyle name="SAPBEXstdData 4" xfId="21593" xr:uid="{04052223-6C43-429C-B23E-9DC2E2808430}"/>
    <cellStyle name="SAPBEXstdData 4 10" xfId="21594" xr:uid="{D1EA016A-E95D-4AD3-8781-243AA899E8A5}"/>
    <cellStyle name="SAPBEXstdData 4 10 2" xfId="21595" xr:uid="{4DFD8E42-ACE4-4BD3-AC1F-B15869EB08CE}"/>
    <cellStyle name="SAPBEXstdData 4 11" xfId="21596" xr:uid="{EBFE6F19-5D4E-4619-9851-5C56CA87EFFC}"/>
    <cellStyle name="SAPBEXstdData 4 11 2" xfId="21597" xr:uid="{07D313BD-8A31-41B7-9BE1-8207142D894F}"/>
    <cellStyle name="SAPBEXstdData 4 12" xfId="21598" xr:uid="{4E2782D3-8633-4972-8501-0985FFE6F72F}"/>
    <cellStyle name="SAPBEXstdData 4 12 2" xfId="21599" xr:uid="{1D03B14C-B107-4F2F-89AA-2566B160EA3C}"/>
    <cellStyle name="SAPBEXstdData 4 13" xfId="21600" xr:uid="{D3E1B264-5FAF-41A0-A28F-F0E043C65306}"/>
    <cellStyle name="SAPBEXstdData 4 13 2" xfId="21601" xr:uid="{229D9EC0-02A1-403A-9C49-4F7D1CCD6EC7}"/>
    <cellStyle name="SAPBEXstdData 4 14" xfId="21602" xr:uid="{FC40167A-B29D-4E33-A812-DBD25DDE9AD7}"/>
    <cellStyle name="SAPBEXstdData 4 14 2" xfId="21603" xr:uid="{2B72BC51-5D59-43E1-8E75-7C6E66DB76BA}"/>
    <cellStyle name="SAPBEXstdData 4 15" xfId="21604" xr:uid="{6EEEE2A6-E343-4886-B657-05D759A6BF90}"/>
    <cellStyle name="SAPBEXstdData 4 15 2" xfId="21605" xr:uid="{5258FAC2-E82A-482B-B49B-210C4C4D1687}"/>
    <cellStyle name="SAPBEXstdData 4 16" xfId="21606" xr:uid="{54D8C794-FA3F-4424-87BF-9A2DC567A8C9}"/>
    <cellStyle name="SAPBEXstdData 4 16 2" xfId="21607" xr:uid="{348BAA5B-6BF3-45BB-9EB4-78DFB05B6A80}"/>
    <cellStyle name="SAPBEXstdData 4 17" xfId="21608" xr:uid="{F0BD5714-63AA-4AAA-9C12-B5DC708E9706}"/>
    <cellStyle name="SAPBEXstdData 4 17 2" xfId="21609" xr:uid="{7752E7B5-4CDB-477C-8056-0DD921B7E631}"/>
    <cellStyle name="SAPBEXstdData 4 18" xfId="21610" xr:uid="{79B8F680-010B-4EB3-B7B0-7F66E7F0EF5D}"/>
    <cellStyle name="SAPBEXstdData 4 2" xfId="21611" xr:uid="{8FDCBE20-8C59-4D1F-AF68-DE29BEE7C122}"/>
    <cellStyle name="SAPBEXstdData 4 2 10" xfId="21612" xr:uid="{8AF0B0C5-F839-423A-8FF4-6D721CA4858B}"/>
    <cellStyle name="SAPBEXstdData 4 2 10 2" xfId="21613" xr:uid="{145F55A6-0478-4DA8-B068-450411441A0B}"/>
    <cellStyle name="SAPBEXstdData 4 2 11" xfId="21614" xr:uid="{626F6AA5-6650-413A-89BA-AC1EAC1CFBFE}"/>
    <cellStyle name="SAPBEXstdData 4 2 11 2" xfId="21615" xr:uid="{2EBDD07D-4D0D-4B6C-AB28-40B76FEE067F}"/>
    <cellStyle name="SAPBEXstdData 4 2 12" xfId="21616" xr:uid="{CDB31F8C-F257-42FF-94AF-3D9B8EFA96F3}"/>
    <cellStyle name="SAPBEXstdData 4 2 12 2" xfId="21617" xr:uid="{74C58449-0D44-4AC9-9CBA-764147E7BB1E}"/>
    <cellStyle name="SAPBEXstdData 4 2 13" xfId="21618" xr:uid="{C2859E9F-770D-42B7-96D7-659AF104784C}"/>
    <cellStyle name="SAPBEXstdData 4 2 13 2" xfId="21619" xr:uid="{41C8525D-C876-42F1-8141-2FD5BF44952A}"/>
    <cellStyle name="SAPBEXstdData 4 2 14" xfId="21620" xr:uid="{4021AA7F-255A-4F8C-9B6C-0DF47D3F0019}"/>
    <cellStyle name="SAPBEXstdData 4 2 14 2" xfId="21621" xr:uid="{1DAE8F0C-4E98-456B-9262-EC27FE96C9B7}"/>
    <cellStyle name="SAPBEXstdData 4 2 15" xfId="21622" xr:uid="{105A8720-600A-4D89-8285-A340D7E5EC07}"/>
    <cellStyle name="SAPBEXstdData 4 2 15 2" xfId="21623" xr:uid="{106611F5-933E-4090-A26D-981913913649}"/>
    <cellStyle name="SAPBEXstdData 4 2 16" xfId="21624" xr:uid="{EB50CEA6-6594-4212-9551-F17FF9C230D7}"/>
    <cellStyle name="SAPBEXstdData 4 2 2" xfId="21625" xr:uid="{8133304E-991C-47CD-A2FE-92B4173BAF8C}"/>
    <cellStyle name="SAPBEXstdData 4 2 2 2" xfId="21626" xr:uid="{0C8994B8-D4EC-42A5-98A3-8F39203F6F4F}"/>
    <cellStyle name="SAPBEXstdData 4 2 3" xfId="21627" xr:uid="{00FC0789-4B6B-48B2-9702-4B543BE1BEE5}"/>
    <cellStyle name="SAPBEXstdData 4 2 3 2" xfId="21628" xr:uid="{F662594A-07C2-4643-B3E5-52FDB77C6303}"/>
    <cellStyle name="SAPBEXstdData 4 2 4" xfId="21629" xr:uid="{5AA80E16-57E9-441D-BD56-7754EAA126EC}"/>
    <cellStyle name="SAPBEXstdData 4 2 4 2" xfId="21630" xr:uid="{3E1C2358-0982-4189-9228-9A27A9C6B206}"/>
    <cellStyle name="SAPBEXstdData 4 2 5" xfId="21631" xr:uid="{0C1B1087-7EF5-4FE5-A6B6-00F9AB859A7F}"/>
    <cellStyle name="SAPBEXstdData 4 2 5 2" xfId="21632" xr:uid="{06A75E89-9937-47C8-8F12-CBB4A0FFDA5D}"/>
    <cellStyle name="SAPBEXstdData 4 2 6" xfId="21633" xr:uid="{87A5298B-66AB-4612-808F-9522964A5A7B}"/>
    <cellStyle name="SAPBEXstdData 4 2 6 2" xfId="21634" xr:uid="{4E50F570-5E14-4036-A3EE-8D401A2F69CC}"/>
    <cellStyle name="SAPBEXstdData 4 2 7" xfId="21635" xr:uid="{24DB8240-F1B2-4775-BD94-6644B3D3BC3B}"/>
    <cellStyle name="SAPBEXstdData 4 2 7 2" xfId="21636" xr:uid="{0FE15E85-DA4D-42E1-B2D3-764A9AA45C50}"/>
    <cellStyle name="SAPBEXstdData 4 2 8" xfId="21637" xr:uid="{9E1DD120-4E1A-475A-864A-0385B0F50C7D}"/>
    <cellStyle name="SAPBEXstdData 4 2 8 2" xfId="21638" xr:uid="{10952C71-2031-4E1B-9137-19DDE6D6B476}"/>
    <cellStyle name="SAPBEXstdData 4 2 9" xfId="21639" xr:uid="{B1D8E909-BB1B-4CAB-B633-545DE6906BD9}"/>
    <cellStyle name="SAPBEXstdData 4 2 9 2" xfId="21640" xr:uid="{A3CADD26-2838-4DA3-B595-EFBB49070E87}"/>
    <cellStyle name="SAPBEXstdData 4 3" xfId="21641" xr:uid="{B5B22091-ADAF-49CA-8CBB-834E6EE4E9F4}"/>
    <cellStyle name="SAPBEXstdData 4 3 10" xfId="21642" xr:uid="{A444181F-19FA-491E-89EF-FC2C52E2A2CB}"/>
    <cellStyle name="SAPBEXstdData 4 3 10 2" xfId="21643" xr:uid="{249C3B8A-7AAE-410C-95D9-214D8A6CDAEA}"/>
    <cellStyle name="SAPBEXstdData 4 3 11" xfId="21644" xr:uid="{543DF32D-CB4E-46B6-8A90-C67774F39F38}"/>
    <cellStyle name="SAPBEXstdData 4 3 11 2" xfId="21645" xr:uid="{E349124B-8BE5-4752-BCD7-F4B628BFDDD0}"/>
    <cellStyle name="SAPBEXstdData 4 3 12" xfId="21646" xr:uid="{FD51C7C2-2001-4584-BC36-97D13AD9CEED}"/>
    <cellStyle name="SAPBEXstdData 4 3 12 2" xfId="21647" xr:uid="{0BC65A02-2B09-4070-93BF-950CA838CE68}"/>
    <cellStyle name="SAPBEXstdData 4 3 13" xfId="21648" xr:uid="{E79C268B-FEA5-496F-BCC8-6AA4CEF98882}"/>
    <cellStyle name="SAPBEXstdData 4 3 13 2" xfId="21649" xr:uid="{ADD49D57-A772-472B-BC5C-D60BBDEF2037}"/>
    <cellStyle name="SAPBEXstdData 4 3 14" xfId="21650" xr:uid="{F3BA8AC3-2371-4327-A6D3-9B1772F8D29F}"/>
    <cellStyle name="SAPBEXstdData 4 3 14 2" xfId="21651" xr:uid="{8688F867-D700-4C83-9697-9902F88B9F1F}"/>
    <cellStyle name="SAPBEXstdData 4 3 15" xfId="21652" xr:uid="{EA687BCC-C5BA-446A-80EE-C80AA64E0B2B}"/>
    <cellStyle name="SAPBEXstdData 4 3 15 2" xfId="21653" xr:uid="{F8E62D65-412A-4CA4-829A-08ADCBC63D47}"/>
    <cellStyle name="SAPBEXstdData 4 3 16" xfId="21654" xr:uid="{5BAE8256-76C3-4BD8-B6DC-4DC9F7D968A6}"/>
    <cellStyle name="SAPBEXstdData 4 3 2" xfId="21655" xr:uid="{EB228B2D-CFA7-4D6E-8378-E3F0102C78FC}"/>
    <cellStyle name="SAPBEXstdData 4 3 2 2" xfId="21656" xr:uid="{340068CC-A404-4228-A07A-9D542DB94D44}"/>
    <cellStyle name="SAPBEXstdData 4 3 3" xfId="21657" xr:uid="{C513D3EB-C455-4ED7-9A54-6773D0D14943}"/>
    <cellStyle name="SAPBEXstdData 4 3 3 2" xfId="21658" xr:uid="{337EC12A-75B4-4D77-B00F-ED544EB2E50C}"/>
    <cellStyle name="SAPBEXstdData 4 3 4" xfId="21659" xr:uid="{B495D924-EA57-4C25-9598-2EAEADA425DE}"/>
    <cellStyle name="SAPBEXstdData 4 3 4 2" xfId="21660" xr:uid="{3DD3A270-F29A-47CC-8E5F-27DDC0FD724C}"/>
    <cellStyle name="SAPBEXstdData 4 3 5" xfId="21661" xr:uid="{DB0DF2E3-60A6-4B68-B0C0-48055FDEE566}"/>
    <cellStyle name="SAPBEXstdData 4 3 5 2" xfId="21662" xr:uid="{2BB7AC22-705B-4DB9-8A76-363EB514CEBD}"/>
    <cellStyle name="SAPBEXstdData 4 3 6" xfId="21663" xr:uid="{CCAE84F1-22CF-4805-9C03-C02C38135362}"/>
    <cellStyle name="SAPBEXstdData 4 3 6 2" xfId="21664" xr:uid="{BB019F5D-FB30-4EFD-9779-D505C9E55DE4}"/>
    <cellStyle name="SAPBEXstdData 4 3 7" xfId="21665" xr:uid="{70407D27-917C-4880-8F4A-DFB9595460DE}"/>
    <cellStyle name="SAPBEXstdData 4 3 7 2" xfId="21666" xr:uid="{B3DE124B-50D2-446B-A41D-17E5242F1EE6}"/>
    <cellStyle name="SAPBEXstdData 4 3 8" xfId="21667" xr:uid="{873D02CF-ECEA-46EE-A3C1-625126319327}"/>
    <cellStyle name="SAPBEXstdData 4 3 8 2" xfId="21668" xr:uid="{6B885698-D74D-422E-A0D0-25BD2B39E3E1}"/>
    <cellStyle name="SAPBEXstdData 4 3 9" xfId="21669" xr:uid="{EC696F66-9071-4284-B01C-97D0DD90019F}"/>
    <cellStyle name="SAPBEXstdData 4 3 9 2" xfId="21670" xr:uid="{9154466B-D909-4F06-B9AC-E048BF779EB6}"/>
    <cellStyle name="SAPBEXstdData 4 4" xfId="21671" xr:uid="{8E959AE4-7607-48DB-B21D-8B7F54A20A27}"/>
    <cellStyle name="SAPBEXstdData 4 4 2" xfId="21672" xr:uid="{ABCE3936-7EC7-4505-B2E4-C996BCC4940B}"/>
    <cellStyle name="SAPBEXstdData 4 5" xfId="21673" xr:uid="{143D2553-A5DE-492A-9F66-1C8014C3C606}"/>
    <cellStyle name="SAPBEXstdData 4 5 2" xfId="21674" xr:uid="{9DAED8A1-A5E6-41C5-B4A6-D15213834489}"/>
    <cellStyle name="SAPBEXstdData 4 6" xfId="21675" xr:uid="{C729ECAA-B2B0-474D-B0E9-296D302B4F4F}"/>
    <cellStyle name="SAPBEXstdData 4 6 2" xfId="21676" xr:uid="{FE0232A4-F294-46F8-9DDD-A15E71894CBE}"/>
    <cellStyle name="SAPBEXstdData 4 7" xfId="21677" xr:uid="{885FA38D-E43E-4CB1-B54B-D2184D5F766D}"/>
    <cellStyle name="SAPBEXstdData 4 7 2" xfId="21678" xr:uid="{1DB4934D-8A79-49A8-AEBF-0191D0BEBAE3}"/>
    <cellStyle name="SAPBEXstdData 4 8" xfId="21679" xr:uid="{F7B60F47-EBF5-4096-9F6A-2488228DBC1A}"/>
    <cellStyle name="SAPBEXstdData 4 8 2" xfId="21680" xr:uid="{07DC4EDA-DFEA-4B37-9285-6D02E1A40D58}"/>
    <cellStyle name="SAPBEXstdData 4 9" xfId="21681" xr:uid="{2DA9D67F-DC5A-49EC-91E7-C4BC366AFB85}"/>
    <cellStyle name="SAPBEXstdData 4 9 2" xfId="21682" xr:uid="{3ECA3699-15A2-4CDB-BD83-18CF0AED7B9D}"/>
    <cellStyle name="SAPBEXstdData 5" xfId="21683" xr:uid="{C5E1F036-A269-4A50-9181-B680FA22A2AA}"/>
    <cellStyle name="SAPBEXstdData 5 10" xfId="21684" xr:uid="{DB8736A6-4668-4B6C-ABD0-D6C14FAACD5C}"/>
    <cellStyle name="SAPBEXstdData 5 10 2" xfId="21685" xr:uid="{AA9836BC-B40D-4F23-959A-7F82D487F5DC}"/>
    <cellStyle name="SAPBEXstdData 5 11" xfId="21686" xr:uid="{767CA3D2-93C2-4FEB-B2AE-6CC7A7E06EE1}"/>
    <cellStyle name="SAPBEXstdData 5 11 2" xfId="21687" xr:uid="{AADB6AFE-F9C6-4D22-8CCE-BA6B8A622915}"/>
    <cellStyle name="SAPBEXstdData 5 12" xfId="21688" xr:uid="{FB5E0934-6589-4EBE-A817-2CB36B93D4F2}"/>
    <cellStyle name="SAPBEXstdData 5 12 2" xfId="21689" xr:uid="{A46B63A9-D033-42BB-8389-872ABD6EFB6E}"/>
    <cellStyle name="SAPBEXstdData 5 13" xfId="21690" xr:uid="{D4FFC434-408F-4861-A356-F70451BB661F}"/>
    <cellStyle name="SAPBEXstdData 5 13 2" xfId="21691" xr:uid="{7D3EAE7E-8672-4A1A-888F-CDCCC2320E6A}"/>
    <cellStyle name="SAPBEXstdData 5 14" xfId="21692" xr:uid="{C2EE1972-E49B-4B5B-8BFE-31967CEF87CE}"/>
    <cellStyle name="SAPBEXstdData 5 14 2" xfId="21693" xr:uid="{14445397-0B3C-45AC-B4C9-E422E5400E90}"/>
    <cellStyle name="SAPBEXstdData 5 15" xfId="21694" xr:uid="{FA73A77F-8647-40CB-AF1A-66F45399B083}"/>
    <cellStyle name="SAPBEXstdData 5 15 2" xfId="21695" xr:uid="{4633BD59-A704-496E-9A70-F7E90EFE851B}"/>
    <cellStyle name="SAPBEXstdData 5 16" xfId="21696" xr:uid="{774F68A9-4758-4151-83C4-6D5057747063}"/>
    <cellStyle name="SAPBEXstdData 5 2" xfId="21697" xr:uid="{5657C9BE-0730-43B0-8018-D916CC36B878}"/>
    <cellStyle name="SAPBEXstdData 5 2 2" xfId="21698" xr:uid="{734BB4E7-43DD-426A-9B29-03D2DB7B0FC1}"/>
    <cellStyle name="SAPBEXstdData 5 3" xfId="21699" xr:uid="{3698BC27-6C81-4261-99DA-49E201DD20DA}"/>
    <cellStyle name="SAPBEXstdData 5 3 2" xfId="21700" xr:uid="{3968C270-5E88-4E43-923E-42AA6385497A}"/>
    <cellStyle name="SAPBEXstdData 5 4" xfId="21701" xr:uid="{AA4689F8-42BA-492C-9C51-D498EE7AEADF}"/>
    <cellStyle name="SAPBEXstdData 5 4 2" xfId="21702" xr:uid="{86579E84-77FC-4B89-99F4-7A2A33760BFB}"/>
    <cellStyle name="SAPBEXstdData 5 5" xfId="21703" xr:uid="{07513ADA-9ACD-43F6-A404-BEA1C8C6ABDD}"/>
    <cellStyle name="SAPBEXstdData 5 5 2" xfId="21704" xr:uid="{F816C45D-C46E-466D-9F66-3AC39B4CFCF8}"/>
    <cellStyle name="SAPBEXstdData 5 6" xfId="21705" xr:uid="{918098E8-BE72-44AF-8A05-45CA106A95EC}"/>
    <cellStyle name="SAPBEXstdData 5 6 2" xfId="21706" xr:uid="{5836D218-AC69-442B-BB70-38EEDFAE71B1}"/>
    <cellStyle name="SAPBEXstdData 5 7" xfId="21707" xr:uid="{046CCC71-9C0F-460E-BF5B-7E78BC494014}"/>
    <cellStyle name="SAPBEXstdData 5 7 2" xfId="21708" xr:uid="{F5694E5D-1584-4A9A-A390-707CE67F9AB5}"/>
    <cellStyle name="SAPBEXstdData 5 8" xfId="21709" xr:uid="{1C278594-3D19-4443-B8ED-EFB7DAAD760F}"/>
    <cellStyle name="SAPBEXstdData 5 8 2" xfId="21710" xr:uid="{A9DD4909-D4F7-40EA-A80D-24BA804EE100}"/>
    <cellStyle name="SAPBEXstdData 5 9" xfId="21711" xr:uid="{DA6AD380-0773-428A-BBC1-79BE3477B4D9}"/>
    <cellStyle name="SAPBEXstdData 5 9 2" xfId="21712" xr:uid="{065CCDC1-2A35-406C-9DD8-5EAA978181EA}"/>
    <cellStyle name="SAPBEXstdData 6" xfId="21713" xr:uid="{4B685647-5E63-4955-8B99-680E9D68F630}"/>
    <cellStyle name="SAPBEXstdData 6 2" xfId="21714" xr:uid="{952CC1CD-1D7D-43E9-98FC-1FBED814E591}"/>
    <cellStyle name="SAPBEXstdData 7" xfId="21715" xr:uid="{75A3F937-F71F-44C8-9379-36C06D26FD6B}"/>
    <cellStyle name="SAPBEXstdData 7 2" xfId="21716" xr:uid="{DCFA466D-B8DB-4CC3-9C44-BFF528089DF4}"/>
    <cellStyle name="SAPBEXstdData 8" xfId="21717" xr:uid="{611D8DCD-800A-4B85-868A-D6B081CD90FA}"/>
    <cellStyle name="SAPBEXstdData 8 2" xfId="21718" xr:uid="{3DD72203-F7C7-4572-9F03-F2C053DEEF7C}"/>
    <cellStyle name="SAPBEXstdData 9" xfId="21719" xr:uid="{7891C7D4-A5DF-4416-B6B7-51B151CBC5C0}"/>
    <cellStyle name="SAPBEXstdData 9 2" xfId="21720" xr:uid="{D6109905-3CFD-43C8-8B5E-54C38405176E}"/>
    <cellStyle name="SAPBEXstdData_BEX Pensions Pass Through Model" xfId="21721" xr:uid="{01D2148C-BA76-4ECE-B1A6-EB24FEE21525}"/>
    <cellStyle name="SAPBEXstdDataEmph" xfId="759" xr:uid="{00000000-0005-0000-0000-0000B2050000}"/>
    <cellStyle name="SAPBEXstdDataEmph 10" xfId="21723" xr:uid="{732ADFF2-9A78-48A0-863D-A44EC5861122}"/>
    <cellStyle name="SAPBEXstdDataEmph 10 2" xfId="21724" xr:uid="{DBD63F93-32D5-4DC1-9A0E-BA261208C742}"/>
    <cellStyle name="SAPBEXstdDataEmph 11" xfId="21725" xr:uid="{D8C975F0-4721-44C2-B60B-25D251C78A65}"/>
    <cellStyle name="SAPBEXstdDataEmph 11 2" xfId="21726" xr:uid="{6C0B6EE1-93C0-43F2-809A-D42763521A5C}"/>
    <cellStyle name="SAPBEXstdDataEmph 12" xfId="21727" xr:uid="{F56F44ED-E894-4503-B784-0148914694AA}"/>
    <cellStyle name="SAPBEXstdDataEmph 12 2" xfId="21728" xr:uid="{A15B111B-9BF5-4B59-91DF-79436A74BFD8}"/>
    <cellStyle name="SAPBEXstdDataEmph 13" xfId="21729" xr:uid="{BFFB172D-BC46-4D66-BE29-C12E80F5D202}"/>
    <cellStyle name="SAPBEXstdDataEmph 13 2" xfId="21730" xr:uid="{CE50A61B-1420-48AB-A2A1-D949CA3EA21C}"/>
    <cellStyle name="SAPBEXstdDataEmph 14" xfId="21731" xr:uid="{F8585B85-C83D-40AC-80A4-A713A1A29BD2}"/>
    <cellStyle name="SAPBEXstdDataEmph 14 2" xfId="21732" xr:uid="{DD8E2339-DC38-4450-B8D7-A50819D9FA00}"/>
    <cellStyle name="SAPBEXstdDataEmph 15" xfId="21733" xr:uid="{3A23434D-87D0-4F18-B710-2140BF29E348}"/>
    <cellStyle name="SAPBEXstdDataEmph 15 2" xfId="21734" xr:uid="{186765AB-321B-41BC-B866-2CEE75FD59AD}"/>
    <cellStyle name="SAPBEXstdDataEmph 16" xfId="21735" xr:uid="{ADBE2809-75F7-43FB-AA56-0344A70FBCEF}"/>
    <cellStyle name="SAPBEXstdDataEmph 16 2" xfId="21736" xr:uid="{E9B47B2E-4F72-4649-93B8-7697ED976277}"/>
    <cellStyle name="SAPBEXstdDataEmph 17" xfId="21737" xr:uid="{2BD4C0A5-67D6-4BE2-A549-1545EB95F689}"/>
    <cellStyle name="SAPBEXstdDataEmph 17 2" xfId="21738" xr:uid="{481E9BF3-1AE0-4B65-B237-195F0B4B6636}"/>
    <cellStyle name="SAPBEXstdDataEmph 18" xfId="21739" xr:uid="{B3D0E737-0D9E-48B4-B57C-DFBDEDBA0E8E}"/>
    <cellStyle name="SAPBEXstdDataEmph 18 2" xfId="21740" xr:uid="{8229DDAA-8878-42DD-94E0-268DF05E828F}"/>
    <cellStyle name="SAPBEXstdDataEmph 19" xfId="21741" xr:uid="{4E13D813-AD50-49A5-8F1E-F5C29CCC9FEB}"/>
    <cellStyle name="SAPBEXstdDataEmph 19 2" xfId="21742" xr:uid="{943D52BA-A19D-49E0-B40A-947BB915D1BE}"/>
    <cellStyle name="SAPBEXstdDataEmph 2" xfId="1573" xr:uid="{00000000-0005-0000-0000-0000B3050000}"/>
    <cellStyle name="SAPBEXstdDataEmph 2 10" xfId="21744" xr:uid="{F1417FEC-8560-4EDA-9602-B5BBE7A05C5F}"/>
    <cellStyle name="SAPBEXstdDataEmph 2 10 2" xfId="21745" xr:uid="{60EB4432-241C-46DF-AA99-547D4A85846C}"/>
    <cellStyle name="SAPBEXstdDataEmph 2 11" xfId="21746" xr:uid="{CFE6E28E-74F0-4040-8BE4-DE417466B63B}"/>
    <cellStyle name="SAPBEXstdDataEmph 2 11 2" xfId="21747" xr:uid="{40F77991-A010-472A-8051-81F961C04D92}"/>
    <cellStyle name="SAPBEXstdDataEmph 2 12" xfId="21748" xr:uid="{3F3A0696-7543-4E00-9B6D-BB971007869F}"/>
    <cellStyle name="SAPBEXstdDataEmph 2 12 2" xfId="21749" xr:uid="{3868B562-E4F7-4E34-8A1C-7E14258431CA}"/>
    <cellStyle name="SAPBEXstdDataEmph 2 13" xfId="21750" xr:uid="{0F24A5D9-3C45-49DB-A74E-8688342F1072}"/>
    <cellStyle name="SAPBEXstdDataEmph 2 13 2" xfId="21751" xr:uid="{E189E493-E23A-416D-B6D7-07CEE1F8DEAC}"/>
    <cellStyle name="SAPBEXstdDataEmph 2 14" xfId="21752" xr:uid="{43466847-2EB7-4719-98DA-7F334FFF55D2}"/>
    <cellStyle name="SAPBEXstdDataEmph 2 14 2" xfId="21753" xr:uid="{DFCE5C61-6203-4FBC-870D-706008A564A3}"/>
    <cellStyle name="SAPBEXstdDataEmph 2 15" xfId="21754" xr:uid="{98D33E8F-799D-4C61-B9C3-2573226003E8}"/>
    <cellStyle name="SAPBEXstdDataEmph 2 15 2" xfId="21755" xr:uid="{4AB51413-FE06-4B53-97C7-D4A9793B2B99}"/>
    <cellStyle name="SAPBEXstdDataEmph 2 16" xfId="21756" xr:uid="{341DE148-104F-441C-AFF4-6E81E02BD41E}"/>
    <cellStyle name="SAPBEXstdDataEmph 2 16 2" xfId="21757" xr:uid="{BF4225E8-3762-4799-A0D3-D53F35752848}"/>
    <cellStyle name="SAPBEXstdDataEmph 2 17" xfId="21758" xr:uid="{3F54250F-A4D2-440B-98B3-8A97BD90E446}"/>
    <cellStyle name="SAPBEXstdDataEmph 2 17 2" xfId="21759" xr:uid="{3E735653-CD02-4A5E-AEC3-02E09AAB0179}"/>
    <cellStyle name="SAPBEXstdDataEmph 2 18" xfId="21760" xr:uid="{CED5A379-184D-48AA-8358-7209C5F130CB}"/>
    <cellStyle name="SAPBEXstdDataEmph 2 18 2" xfId="21761" xr:uid="{CF81D88F-C55F-41B4-946C-CEDD7149224F}"/>
    <cellStyle name="SAPBEXstdDataEmph 2 2" xfId="21762" xr:uid="{973520F3-2632-41DB-B8ED-CE589C9FF5E1}"/>
    <cellStyle name="SAPBEXstdDataEmph 2 2 10" xfId="21763" xr:uid="{9B29E402-326D-4C2E-9CD7-40DD614EF055}"/>
    <cellStyle name="SAPBEXstdDataEmph 2 2 10 2" xfId="21764" xr:uid="{D6A794B9-019D-4E1B-A30D-07E6D19AD4E3}"/>
    <cellStyle name="SAPBEXstdDataEmph 2 2 11" xfId="21765" xr:uid="{E1B5A815-21B6-485A-B258-7A21470EB797}"/>
    <cellStyle name="SAPBEXstdDataEmph 2 2 11 2" xfId="21766" xr:uid="{2CAF2C8A-52AF-4224-9667-5C8051DFECF2}"/>
    <cellStyle name="SAPBEXstdDataEmph 2 2 12" xfId="21767" xr:uid="{1EDE964A-807E-47BA-AB34-4D512C5534C3}"/>
    <cellStyle name="SAPBEXstdDataEmph 2 2 12 2" xfId="21768" xr:uid="{B4A80180-1E81-4B65-9315-219AC9CBC41F}"/>
    <cellStyle name="SAPBEXstdDataEmph 2 2 13" xfId="21769" xr:uid="{82F71B9C-DE6B-4453-B795-CB36A5171293}"/>
    <cellStyle name="SAPBEXstdDataEmph 2 2 13 2" xfId="21770" xr:uid="{F839C703-F4C3-45A3-AC20-F26086035B56}"/>
    <cellStyle name="SAPBEXstdDataEmph 2 2 14" xfId="21771" xr:uid="{A852C7EF-869C-455C-8980-A7E199A578E3}"/>
    <cellStyle name="SAPBEXstdDataEmph 2 2 14 2" xfId="21772" xr:uid="{1BCDB7C3-1FA4-43AD-A736-B43C011B8226}"/>
    <cellStyle name="SAPBEXstdDataEmph 2 2 15" xfId="21773" xr:uid="{D43A85C4-24A2-4549-8FB7-C5705341AB38}"/>
    <cellStyle name="SAPBEXstdDataEmph 2 2 15 2" xfId="21774" xr:uid="{C1678EAF-EB7E-4191-937D-69CFC1A846CC}"/>
    <cellStyle name="SAPBEXstdDataEmph 2 2 16" xfId="21775" xr:uid="{EADE038F-27FA-4D13-93AA-93E4AF1CDF98}"/>
    <cellStyle name="SAPBEXstdDataEmph 2 2 16 2" xfId="21776" xr:uid="{3299CF28-0382-4D32-B3F4-E8D264044AC5}"/>
    <cellStyle name="SAPBEXstdDataEmph 2 2 17" xfId="21777" xr:uid="{C95803EA-728E-4100-A200-93DDE4CE2FEA}"/>
    <cellStyle name="SAPBEXstdDataEmph 2 2 17 2" xfId="21778" xr:uid="{43C113E8-2DC6-4068-9564-5E79D1645CD2}"/>
    <cellStyle name="SAPBEXstdDataEmph 2 2 2" xfId="21779" xr:uid="{6BC7F6F7-2BDA-41F0-A5D1-04CD6D759598}"/>
    <cellStyle name="SAPBEXstdDataEmph 2 2 2 10" xfId="21780" xr:uid="{B42355B4-A788-4750-A923-433AF0F04337}"/>
    <cellStyle name="SAPBEXstdDataEmph 2 2 2 10 2" xfId="21781" xr:uid="{BB6159C3-220E-434D-83A3-4146CCB8740E}"/>
    <cellStyle name="SAPBEXstdDataEmph 2 2 2 11" xfId="21782" xr:uid="{FC128CBE-59AA-49C9-A674-92F320207A37}"/>
    <cellStyle name="SAPBEXstdDataEmph 2 2 2 11 2" xfId="21783" xr:uid="{4369E842-050C-4981-9831-3D0AF608C8E3}"/>
    <cellStyle name="SAPBEXstdDataEmph 2 2 2 12" xfId="21784" xr:uid="{F13FF8A2-3B98-49F1-A69B-05F25ECDDDFC}"/>
    <cellStyle name="SAPBEXstdDataEmph 2 2 2 12 2" xfId="21785" xr:uid="{69311A94-9233-447B-B9AC-C3A693AFFFEE}"/>
    <cellStyle name="SAPBEXstdDataEmph 2 2 2 13" xfId="21786" xr:uid="{B6B44700-AC0D-4ABB-9B78-3F60F6BB2574}"/>
    <cellStyle name="SAPBEXstdDataEmph 2 2 2 13 2" xfId="21787" xr:uid="{93BCD85C-FD1A-446A-BF9F-015CCC28A7C5}"/>
    <cellStyle name="SAPBEXstdDataEmph 2 2 2 14" xfId="21788" xr:uid="{518BE500-70F8-4B70-97C7-C46CDA379CC6}"/>
    <cellStyle name="SAPBEXstdDataEmph 2 2 2 14 2" xfId="21789" xr:uid="{A4030C73-FEDE-4039-A549-DA2D82FAC026}"/>
    <cellStyle name="SAPBEXstdDataEmph 2 2 2 15" xfId="21790" xr:uid="{155201DF-AFCD-4008-B795-4ED3E7BE0BB1}"/>
    <cellStyle name="SAPBEXstdDataEmph 2 2 2 15 2" xfId="21791" xr:uid="{8D1DFC2D-22EA-4B8A-AC0A-BF8B8AF2EE0D}"/>
    <cellStyle name="SAPBEXstdDataEmph 2 2 2 2" xfId="21792" xr:uid="{8B493191-BCDB-43AA-A52A-A82C89C988CA}"/>
    <cellStyle name="SAPBEXstdDataEmph 2 2 2 2 2" xfId="21793" xr:uid="{189C3F9F-5095-460C-AB89-0D7301095373}"/>
    <cellStyle name="SAPBEXstdDataEmph 2 2 2 3" xfId="21794" xr:uid="{7F8A0059-F74F-4751-AE10-E8344D009C23}"/>
    <cellStyle name="SAPBEXstdDataEmph 2 2 2 3 2" xfId="21795" xr:uid="{2A5A8486-483F-4352-9DC7-4F007851977E}"/>
    <cellStyle name="SAPBEXstdDataEmph 2 2 2 4" xfId="21796" xr:uid="{1153DB28-4C36-44F1-974C-A01C864ABCBA}"/>
    <cellStyle name="SAPBEXstdDataEmph 2 2 2 4 2" xfId="21797" xr:uid="{AB2ABB43-DD75-45BF-B248-DE2757309A40}"/>
    <cellStyle name="SAPBEXstdDataEmph 2 2 2 5" xfId="21798" xr:uid="{5CBF40AD-1CC6-4223-9F80-615F41ED3CB7}"/>
    <cellStyle name="SAPBEXstdDataEmph 2 2 2 5 2" xfId="21799" xr:uid="{781D5610-EE06-45A6-B25A-A3E6E0DEC316}"/>
    <cellStyle name="SAPBEXstdDataEmph 2 2 2 6" xfId="21800" xr:uid="{18C4AF45-EF38-4B04-AC2E-3104D1353A3A}"/>
    <cellStyle name="SAPBEXstdDataEmph 2 2 2 6 2" xfId="21801" xr:uid="{BDA3073D-0D27-416E-902F-0E87D63402B5}"/>
    <cellStyle name="SAPBEXstdDataEmph 2 2 2 7" xfId="21802" xr:uid="{264AD1CB-A08E-4FBC-883F-00497E459010}"/>
    <cellStyle name="SAPBEXstdDataEmph 2 2 2 7 2" xfId="21803" xr:uid="{6E716909-E054-43E8-A53E-F4528AECF812}"/>
    <cellStyle name="SAPBEXstdDataEmph 2 2 2 8" xfId="21804" xr:uid="{1538272E-A61D-4EA3-B05F-8133ECCC8537}"/>
    <cellStyle name="SAPBEXstdDataEmph 2 2 2 8 2" xfId="21805" xr:uid="{76AAF486-D734-4B11-889F-7ED7F93373AD}"/>
    <cellStyle name="SAPBEXstdDataEmph 2 2 2 9" xfId="21806" xr:uid="{659B830A-C992-4497-9E42-D03B9C08300A}"/>
    <cellStyle name="SAPBEXstdDataEmph 2 2 2 9 2" xfId="21807" xr:uid="{65854B5B-8FCB-482A-AB5E-A0C4708B7336}"/>
    <cellStyle name="SAPBEXstdDataEmph 2 2 3" xfId="21808" xr:uid="{C23BC4CF-1C7F-46FB-8B46-5E84E62BBA17}"/>
    <cellStyle name="SAPBEXstdDataEmph 2 2 3 10" xfId="21809" xr:uid="{1F2A093B-CFD5-46AD-A7E5-9E86F6DCC61B}"/>
    <cellStyle name="SAPBEXstdDataEmph 2 2 3 10 2" xfId="21810" xr:uid="{CB64A898-E609-4A6D-8A19-B6CB843B0017}"/>
    <cellStyle name="SAPBEXstdDataEmph 2 2 3 11" xfId="21811" xr:uid="{94E9984D-4856-42E3-B28A-F003ABD1D791}"/>
    <cellStyle name="SAPBEXstdDataEmph 2 2 3 11 2" xfId="21812" xr:uid="{78347204-CD57-4775-8819-73F9FFBA385C}"/>
    <cellStyle name="SAPBEXstdDataEmph 2 2 3 12" xfId="21813" xr:uid="{049912C0-2A43-4B8F-8C62-C742ABF10441}"/>
    <cellStyle name="SAPBEXstdDataEmph 2 2 3 12 2" xfId="21814" xr:uid="{CA502201-33F7-4434-9D94-0D8035B20FC0}"/>
    <cellStyle name="SAPBEXstdDataEmph 2 2 3 13" xfId="21815" xr:uid="{5F3A4844-B22A-4CE5-A48C-4690EF1C790B}"/>
    <cellStyle name="SAPBEXstdDataEmph 2 2 3 13 2" xfId="21816" xr:uid="{465D8372-BEE5-4B6E-A6AA-29F8DB7951EB}"/>
    <cellStyle name="SAPBEXstdDataEmph 2 2 3 14" xfId="21817" xr:uid="{ADE9FC35-280A-46A0-828D-5FEADF474BAB}"/>
    <cellStyle name="SAPBEXstdDataEmph 2 2 3 14 2" xfId="21818" xr:uid="{A43866D5-2F2C-46AB-9219-403DA97842D8}"/>
    <cellStyle name="SAPBEXstdDataEmph 2 2 3 15" xfId="21819" xr:uid="{30369319-A3B9-4D9C-B61F-23260930F26F}"/>
    <cellStyle name="SAPBEXstdDataEmph 2 2 3 15 2" xfId="21820" xr:uid="{95F3624A-50E3-4511-9881-31C2DF0435FF}"/>
    <cellStyle name="SAPBEXstdDataEmph 2 2 3 2" xfId="21821" xr:uid="{9889E371-5F04-4A60-9603-DE8D5717E795}"/>
    <cellStyle name="SAPBEXstdDataEmph 2 2 3 2 2" xfId="21822" xr:uid="{E4D7DD79-338F-4F81-A788-5EC4214FFA47}"/>
    <cellStyle name="SAPBEXstdDataEmph 2 2 3 3" xfId="21823" xr:uid="{E0AE08BE-BABA-4550-A670-C275F3DDB47D}"/>
    <cellStyle name="SAPBEXstdDataEmph 2 2 3 3 2" xfId="21824" xr:uid="{E477B891-05FA-49FC-9A40-ADB92A0234AC}"/>
    <cellStyle name="SAPBEXstdDataEmph 2 2 3 4" xfId="21825" xr:uid="{5E2A50BC-6606-4A12-BBA9-CD78D7AB063E}"/>
    <cellStyle name="SAPBEXstdDataEmph 2 2 3 4 2" xfId="21826" xr:uid="{AEEECE49-373C-4B97-A29C-6BB56AB8D68E}"/>
    <cellStyle name="SAPBEXstdDataEmph 2 2 3 5" xfId="21827" xr:uid="{0C007519-433F-4419-801C-B70B6D9A3060}"/>
    <cellStyle name="SAPBEXstdDataEmph 2 2 3 5 2" xfId="21828" xr:uid="{BC0742D3-911B-442D-9D62-B9CBEC1F1468}"/>
    <cellStyle name="SAPBEXstdDataEmph 2 2 3 6" xfId="21829" xr:uid="{F43CA744-C6CB-4FCC-8810-FB67EDA01AE2}"/>
    <cellStyle name="SAPBEXstdDataEmph 2 2 3 6 2" xfId="21830" xr:uid="{304FF11D-1025-49BB-8C7B-EB115F2B5E76}"/>
    <cellStyle name="SAPBEXstdDataEmph 2 2 3 7" xfId="21831" xr:uid="{6E124D8A-CBAD-4C99-8C58-C9A1BFA6C3C2}"/>
    <cellStyle name="SAPBEXstdDataEmph 2 2 3 7 2" xfId="21832" xr:uid="{8F1A58BD-D973-4FD9-9184-037DAB4BC46F}"/>
    <cellStyle name="SAPBEXstdDataEmph 2 2 3 8" xfId="21833" xr:uid="{76451513-4957-473B-8ACD-B510A96E3F90}"/>
    <cellStyle name="SAPBEXstdDataEmph 2 2 3 8 2" xfId="21834" xr:uid="{2B1454A2-224A-4C5C-99CD-06DE88A1D265}"/>
    <cellStyle name="SAPBEXstdDataEmph 2 2 3 9" xfId="21835" xr:uid="{C995DD46-0111-4658-8D28-0762FDFA1145}"/>
    <cellStyle name="SAPBEXstdDataEmph 2 2 3 9 2" xfId="21836" xr:uid="{5E7D489E-1668-4CF2-BC26-7C48D7DA17F5}"/>
    <cellStyle name="SAPBEXstdDataEmph 2 2 4" xfId="21837" xr:uid="{EC773577-CD3C-4E77-8B9D-5E3454A22DEF}"/>
    <cellStyle name="SAPBEXstdDataEmph 2 2 4 2" xfId="21838" xr:uid="{90910BC1-455B-4D6D-BB3C-62293B7E35F1}"/>
    <cellStyle name="SAPBEXstdDataEmph 2 2 5" xfId="21839" xr:uid="{8B468874-0F58-4933-91EC-B87B1038AFD1}"/>
    <cellStyle name="SAPBEXstdDataEmph 2 2 5 2" xfId="21840" xr:uid="{7501EA5C-1671-455E-9735-E3C746031C1D}"/>
    <cellStyle name="SAPBEXstdDataEmph 2 2 6" xfId="21841" xr:uid="{274A1644-EAE6-40A5-9C70-215DFFFDB0F4}"/>
    <cellStyle name="SAPBEXstdDataEmph 2 2 6 2" xfId="21842" xr:uid="{4383ED8F-7BC8-464A-8B55-5D63DFC71129}"/>
    <cellStyle name="SAPBEXstdDataEmph 2 2 7" xfId="21843" xr:uid="{AE42C433-8EF4-4BA8-9229-F974976740EE}"/>
    <cellStyle name="SAPBEXstdDataEmph 2 2 7 2" xfId="21844" xr:uid="{6A468E2A-02F5-443E-B195-CC6E1E4E7A90}"/>
    <cellStyle name="SAPBEXstdDataEmph 2 2 8" xfId="21845" xr:uid="{CCBDC306-41B7-43A5-B153-263261A945C5}"/>
    <cellStyle name="SAPBEXstdDataEmph 2 2 8 2" xfId="21846" xr:uid="{251E9284-9D38-4537-88F2-50EC8A70B5C2}"/>
    <cellStyle name="SAPBEXstdDataEmph 2 2 9" xfId="21847" xr:uid="{938FC960-7710-4AFA-8E18-392232588C79}"/>
    <cellStyle name="SAPBEXstdDataEmph 2 2 9 2" xfId="21848" xr:uid="{0D24A916-ED64-4950-8F63-25E2F0550E21}"/>
    <cellStyle name="SAPBEXstdDataEmph 2 3" xfId="21849" xr:uid="{43C1512D-1884-45CB-944F-235924BB9275}"/>
    <cellStyle name="SAPBEXstdDataEmph 2 3 10" xfId="21850" xr:uid="{BC80FF1B-D642-47AE-94A7-D8798A670BB5}"/>
    <cellStyle name="SAPBEXstdDataEmph 2 3 10 2" xfId="21851" xr:uid="{B6B4F211-EB5C-48E8-ACFF-98ECE0AF9E42}"/>
    <cellStyle name="SAPBEXstdDataEmph 2 3 11" xfId="21852" xr:uid="{181896D9-A667-4F96-87FA-A0AC3CF678F5}"/>
    <cellStyle name="SAPBEXstdDataEmph 2 3 11 2" xfId="21853" xr:uid="{E60387E5-B2DF-4CBB-B965-A44912BB86DF}"/>
    <cellStyle name="SAPBEXstdDataEmph 2 3 12" xfId="21854" xr:uid="{9C703DF5-BEEF-462C-80B1-E7384B068D37}"/>
    <cellStyle name="SAPBEXstdDataEmph 2 3 12 2" xfId="21855" xr:uid="{559668C9-E325-4E40-A2C8-AD56AE735573}"/>
    <cellStyle name="SAPBEXstdDataEmph 2 3 13" xfId="21856" xr:uid="{F36CA633-3C36-4998-9263-983C6E88C64B}"/>
    <cellStyle name="SAPBEXstdDataEmph 2 3 13 2" xfId="21857" xr:uid="{309EE5A8-BCEE-4C77-BE67-D60A05759FDF}"/>
    <cellStyle name="SAPBEXstdDataEmph 2 3 14" xfId="21858" xr:uid="{BAF69DEB-576D-4378-AA0D-D26A81AF2C6E}"/>
    <cellStyle name="SAPBEXstdDataEmph 2 3 14 2" xfId="21859" xr:uid="{FA696728-A0F2-457E-918A-D12BB272EB67}"/>
    <cellStyle name="SAPBEXstdDataEmph 2 3 15" xfId="21860" xr:uid="{9628DE2F-3400-44DF-8507-68C886A33448}"/>
    <cellStyle name="SAPBEXstdDataEmph 2 3 15 2" xfId="21861" xr:uid="{AFF7B778-E382-439E-BACB-23A1493A36FE}"/>
    <cellStyle name="SAPBEXstdDataEmph 2 3 16" xfId="21862" xr:uid="{7EE501A1-D8E9-4B59-B3AA-A882F6D16702}"/>
    <cellStyle name="SAPBEXstdDataEmph 2 3 16 2" xfId="21863" xr:uid="{C9069054-4202-4503-B2DB-BBA40EB6B33D}"/>
    <cellStyle name="SAPBEXstdDataEmph 2 3 17" xfId="21864" xr:uid="{8E04DF19-0268-4D5B-A329-932D0B48970F}"/>
    <cellStyle name="SAPBEXstdDataEmph 2 3 17 2" xfId="21865" xr:uid="{67468DA2-BA5C-4D8B-91E2-F1A39AE4C092}"/>
    <cellStyle name="SAPBEXstdDataEmph 2 3 2" xfId="21866" xr:uid="{EEBE3323-53C1-41C0-9756-C1CC964E05EF}"/>
    <cellStyle name="SAPBEXstdDataEmph 2 3 2 10" xfId="21867" xr:uid="{1284EC00-04B5-4472-8277-3FF5C5C73009}"/>
    <cellStyle name="SAPBEXstdDataEmph 2 3 2 10 2" xfId="21868" xr:uid="{2CA70BE7-12D6-4378-9436-D80D30B3BD3A}"/>
    <cellStyle name="SAPBEXstdDataEmph 2 3 2 11" xfId="21869" xr:uid="{E8793DEA-2BAB-4440-93BE-22CFAB57FCB1}"/>
    <cellStyle name="SAPBEXstdDataEmph 2 3 2 11 2" xfId="21870" xr:uid="{636E0B57-22B9-4684-8CC1-F43ECE785465}"/>
    <cellStyle name="SAPBEXstdDataEmph 2 3 2 12" xfId="21871" xr:uid="{48F41F08-A001-4CF3-B8A5-56838B70A7B9}"/>
    <cellStyle name="SAPBEXstdDataEmph 2 3 2 12 2" xfId="21872" xr:uid="{C0DCAF4E-D961-4846-834A-7ABF441DFCC5}"/>
    <cellStyle name="SAPBEXstdDataEmph 2 3 2 13" xfId="21873" xr:uid="{316DA0FF-5566-4C68-863C-54E308F1E967}"/>
    <cellStyle name="SAPBEXstdDataEmph 2 3 2 13 2" xfId="21874" xr:uid="{2EB8F8B1-EEE2-478F-BF01-A165CC16CBDF}"/>
    <cellStyle name="SAPBEXstdDataEmph 2 3 2 14" xfId="21875" xr:uid="{20FA471B-9AB0-43A2-8246-7E0ED2129541}"/>
    <cellStyle name="SAPBEXstdDataEmph 2 3 2 14 2" xfId="21876" xr:uid="{9FFD0960-1F5D-4782-9A25-648FB3F30BF6}"/>
    <cellStyle name="SAPBEXstdDataEmph 2 3 2 15" xfId="21877" xr:uid="{6A365619-A6CF-4E64-969A-5FAEAA76A6C7}"/>
    <cellStyle name="SAPBEXstdDataEmph 2 3 2 15 2" xfId="21878" xr:uid="{0190C53B-5438-47F1-ADE6-1BF3FC9C1BB0}"/>
    <cellStyle name="SAPBEXstdDataEmph 2 3 2 2" xfId="21879" xr:uid="{DABA3128-93B0-4A59-85E3-C2F776451BC9}"/>
    <cellStyle name="SAPBEXstdDataEmph 2 3 2 2 2" xfId="21880" xr:uid="{4A93B999-6734-4A2A-956A-1D00EE56833E}"/>
    <cellStyle name="SAPBEXstdDataEmph 2 3 2 3" xfId="21881" xr:uid="{5E3061B8-AEC0-4756-BC05-B76294C19677}"/>
    <cellStyle name="SAPBEXstdDataEmph 2 3 2 3 2" xfId="21882" xr:uid="{3BCC2245-3BA5-4399-9CD3-221790472786}"/>
    <cellStyle name="SAPBEXstdDataEmph 2 3 2 4" xfId="21883" xr:uid="{0680D215-6287-4C74-8DA3-FB929FEB9A3E}"/>
    <cellStyle name="SAPBEXstdDataEmph 2 3 2 4 2" xfId="21884" xr:uid="{EDFC2009-C9AE-4ACB-996E-C736BC24E8B3}"/>
    <cellStyle name="SAPBEXstdDataEmph 2 3 2 5" xfId="21885" xr:uid="{8739ABDC-C0E8-4465-9924-147A0F7CDD62}"/>
    <cellStyle name="SAPBEXstdDataEmph 2 3 2 5 2" xfId="21886" xr:uid="{41EB1E9C-2FA8-4189-A63D-15433047CAAA}"/>
    <cellStyle name="SAPBEXstdDataEmph 2 3 2 6" xfId="21887" xr:uid="{44610E4A-8164-4EE5-AC51-9E1A10E3E5A8}"/>
    <cellStyle name="SAPBEXstdDataEmph 2 3 2 6 2" xfId="21888" xr:uid="{E0F3AF20-30EC-43CB-9899-3EF72FE88A9A}"/>
    <cellStyle name="SAPBEXstdDataEmph 2 3 2 7" xfId="21889" xr:uid="{84BCC1A6-6327-43C4-A3FF-B96AA6171F46}"/>
    <cellStyle name="SAPBEXstdDataEmph 2 3 2 7 2" xfId="21890" xr:uid="{0F9EF90E-9FF5-4C09-97E8-546030FD6790}"/>
    <cellStyle name="SAPBEXstdDataEmph 2 3 2 8" xfId="21891" xr:uid="{80833696-EA65-499D-954F-C73773E66B0C}"/>
    <cellStyle name="SAPBEXstdDataEmph 2 3 2 8 2" xfId="21892" xr:uid="{09F6EC87-A6BD-4C6D-BA75-7A64D4D64653}"/>
    <cellStyle name="SAPBEXstdDataEmph 2 3 2 9" xfId="21893" xr:uid="{02AF1689-D7C3-42C6-A3D8-7589110B3002}"/>
    <cellStyle name="SAPBEXstdDataEmph 2 3 2 9 2" xfId="21894" xr:uid="{096AC5B2-E8AA-4131-9D48-63F60796A386}"/>
    <cellStyle name="SAPBEXstdDataEmph 2 3 3" xfId="21895" xr:uid="{55F96F5C-295D-4CA2-9E1F-085130246F79}"/>
    <cellStyle name="SAPBEXstdDataEmph 2 3 3 10" xfId="21896" xr:uid="{0916B680-6503-4307-9528-D0346CCB18F3}"/>
    <cellStyle name="SAPBEXstdDataEmph 2 3 3 10 2" xfId="21897" xr:uid="{CEA6D548-C4AC-4812-9D29-9D49740FC8D8}"/>
    <cellStyle name="SAPBEXstdDataEmph 2 3 3 11" xfId="21898" xr:uid="{22BAD11A-7D3D-4CF5-B06C-ED976C706C8F}"/>
    <cellStyle name="SAPBEXstdDataEmph 2 3 3 11 2" xfId="21899" xr:uid="{2BA566E0-0AC4-4E1A-8474-C5A30086DF2B}"/>
    <cellStyle name="SAPBEXstdDataEmph 2 3 3 12" xfId="21900" xr:uid="{6A149E4E-9312-4CF6-B385-8E6218BDA0AC}"/>
    <cellStyle name="SAPBEXstdDataEmph 2 3 3 12 2" xfId="21901" xr:uid="{CAEAA75F-49C0-4049-9FEF-1FD601497600}"/>
    <cellStyle name="SAPBEXstdDataEmph 2 3 3 13" xfId="21902" xr:uid="{70531BF8-1CED-48A7-A8D9-642B79B3D59F}"/>
    <cellStyle name="SAPBEXstdDataEmph 2 3 3 13 2" xfId="21903" xr:uid="{0EC1378F-73E2-4F4C-BC35-39A1507F340C}"/>
    <cellStyle name="SAPBEXstdDataEmph 2 3 3 14" xfId="21904" xr:uid="{88061F49-439E-4A9B-9947-7965D0556E7E}"/>
    <cellStyle name="SAPBEXstdDataEmph 2 3 3 14 2" xfId="21905" xr:uid="{6501ED4D-AEBD-4850-9E7E-359E7591958E}"/>
    <cellStyle name="SAPBEXstdDataEmph 2 3 3 15" xfId="21906" xr:uid="{03AB81BC-2029-4DF8-A942-F8F3A2C5D998}"/>
    <cellStyle name="SAPBEXstdDataEmph 2 3 3 15 2" xfId="21907" xr:uid="{79C2BB08-A698-40DC-A000-66610F9328ED}"/>
    <cellStyle name="SAPBEXstdDataEmph 2 3 3 2" xfId="21908" xr:uid="{51EBE898-FA3A-4240-9D03-A33B5842694F}"/>
    <cellStyle name="SAPBEXstdDataEmph 2 3 3 2 2" xfId="21909" xr:uid="{E90672E8-2D25-4085-9DAE-BABD622EC1C0}"/>
    <cellStyle name="SAPBEXstdDataEmph 2 3 3 3" xfId="21910" xr:uid="{0FE7C870-7280-4901-9533-F5FD537EABA9}"/>
    <cellStyle name="SAPBEXstdDataEmph 2 3 3 3 2" xfId="21911" xr:uid="{68E93619-31BA-4BB8-87C8-97D4D007BEF2}"/>
    <cellStyle name="SAPBEXstdDataEmph 2 3 3 4" xfId="21912" xr:uid="{6BD96668-5A75-4BFC-907D-00FDBB4D39E1}"/>
    <cellStyle name="SAPBEXstdDataEmph 2 3 3 4 2" xfId="21913" xr:uid="{89511CC4-B15C-435E-98F5-A2D46843E4A3}"/>
    <cellStyle name="SAPBEXstdDataEmph 2 3 3 5" xfId="21914" xr:uid="{0E2035CB-B964-41C7-B516-8890F744F1DC}"/>
    <cellStyle name="SAPBEXstdDataEmph 2 3 3 5 2" xfId="21915" xr:uid="{E321A32B-324A-463F-90AD-5BB30A17BCDE}"/>
    <cellStyle name="SAPBEXstdDataEmph 2 3 3 6" xfId="21916" xr:uid="{50B4DE81-83F9-4097-B590-D465605F81A5}"/>
    <cellStyle name="SAPBEXstdDataEmph 2 3 3 6 2" xfId="21917" xr:uid="{11E19432-AAB3-4B49-AFFE-5B208E417390}"/>
    <cellStyle name="SAPBEXstdDataEmph 2 3 3 7" xfId="21918" xr:uid="{F5DE0FDD-A581-4570-8DF8-93A73A0F08F3}"/>
    <cellStyle name="SAPBEXstdDataEmph 2 3 3 7 2" xfId="21919" xr:uid="{11E8DAB8-A295-4A82-9730-223ED66AD5FF}"/>
    <cellStyle name="SAPBEXstdDataEmph 2 3 3 8" xfId="21920" xr:uid="{3960E05E-0AA9-4A9F-A245-24FC324EF351}"/>
    <cellStyle name="SAPBEXstdDataEmph 2 3 3 8 2" xfId="21921" xr:uid="{DA03742C-4231-4871-ABDA-1D60274E7115}"/>
    <cellStyle name="SAPBEXstdDataEmph 2 3 3 9" xfId="21922" xr:uid="{9443E9D3-313A-4CB6-B069-4F3403CF5456}"/>
    <cellStyle name="SAPBEXstdDataEmph 2 3 3 9 2" xfId="21923" xr:uid="{0F22DC1C-F2B2-4D59-8D28-ABC05472C413}"/>
    <cellStyle name="SAPBEXstdDataEmph 2 3 4" xfId="21924" xr:uid="{5A3154CE-100C-48DE-8154-856D70276210}"/>
    <cellStyle name="SAPBEXstdDataEmph 2 3 4 2" xfId="21925" xr:uid="{01DFBD64-8742-4E36-AD75-20AB9AE34F2E}"/>
    <cellStyle name="SAPBEXstdDataEmph 2 3 5" xfId="21926" xr:uid="{E87FC9F0-D43B-41B1-A167-5327A29AB701}"/>
    <cellStyle name="SAPBEXstdDataEmph 2 3 5 2" xfId="21927" xr:uid="{26AC5460-79A6-473D-8B8E-25E2A0D5A8C8}"/>
    <cellStyle name="SAPBEXstdDataEmph 2 3 6" xfId="21928" xr:uid="{6E3D8E59-9C8A-4BCA-9FE6-A7A6DB50EC84}"/>
    <cellStyle name="SAPBEXstdDataEmph 2 3 6 2" xfId="21929" xr:uid="{CF70E126-D280-4D20-B03B-4C537A1F9FD6}"/>
    <cellStyle name="SAPBEXstdDataEmph 2 3 7" xfId="21930" xr:uid="{FAEEDBA0-1E71-4E84-990E-707FB49D1980}"/>
    <cellStyle name="SAPBEXstdDataEmph 2 3 7 2" xfId="21931" xr:uid="{2DCFB903-939F-42E2-B7BC-38A3C70B61D1}"/>
    <cellStyle name="SAPBEXstdDataEmph 2 3 8" xfId="21932" xr:uid="{AC8E7A16-F02A-4CFD-AA7D-4156221B188E}"/>
    <cellStyle name="SAPBEXstdDataEmph 2 3 8 2" xfId="21933" xr:uid="{0929DBFD-67C9-4E55-8415-89773E3F6BD7}"/>
    <cellStyle name="SAPBEXstdDataEmph 2 3 9" xfId="21934" xr:uid="{627B2A62-D6C2-46F0-932E-28B5868FF052}"/>
    <cellStyle name="SAPBEXstdDataEmph 2 3 9 2" xfId="21935" xr:uid="{5C964AFD-4E14-434E-A9D4-ADFB886BA81A}"/>
    <cellStyle name="SAPBEXstdDataEmph 2 4" xfId="21936" xr:uid="{66B5EC64-3FB5-4C3F-B4BE-802F73DF1B78}"/>
    <cellStyle name="SAPBEXstdDataEmph 2 4 10" xfId="21937" xr:uid="{606B2501-973E-472E-B7AA-A96AEF10C50F}"/>
    <cellStyle name="SAPBEXstdDataEmph 2 4 10 2" xfId="21938" xr:uid="{224D58E9-CE1F-49C3-AD3E-6FE5929EBB23}"/>
    <cellStyle name="SAPBEXstdDataEmph 2 4 11" xfId="21939" xr:uid="{C30C83D5-2698-4241-A489-F24F9BC4C130}"/>
    <cellStyle name="SAPBEXstdDataEmph 2 4 11 2" xfId="21940" xr:uid="{AD4DB12C-55E3-4477-8CC6-F483FE04A71E}"/>
    <cellStyle name="SAPBEXstdDataEmph 2 4 12" xfId="21941" xr:uid="{B4E3F38B-AD4F-4FEA-B565-5275B0E51681}"/>
    <cellStyle name="SAPBEXstdDataEmph 2 4 12 2" xfId="21942" xr:uid="{8BC1E4E9-A234-4AED-A25F-8D03F3892219}"/>
    <cellStyle name="SAPBEXstdDataEmph 2 4 13" xfId="21943" xr:uid="{0C8E5404-5AC6-440C-97DB-93A8BB9C9DB4}"/>
    <cellStyle name="SAPBEXstdDataEmph 2 4 13 2" xfId="21944" xr:uid="{CEC6C927-E70E-4EAB-BDD5-572FB3C55BD9}"/>
    <cellStyle name="SAPBEXstdDataEmph 2 4 14" xfId="21945" xr:uid="{67C41FDB-ECB3-45E7-8C91-2C78D06D26F3}"/>
    <cellStyle name="SAPBEXstdDataEmph 2 4 14 2" xfId="21946" xr:uid="{F7D71513-C9E7-42F1-9A67-A3026BF90F68}"/>
    <cellStyle name="SAPBEXstdDataEmph 2 4 15" xfId="21947" xr:uid="{C70549CA-A250-416C-90BB-2D6A3AFA6B5D}"/>
    <cellStyle name="SAPBEXstdDataEmph 2 4 15 2" xfId="21948" xr:uid="{44CE5D0D-54EB-4371-B256-7A279C57BA48}"/>
    <cellStyle name="SAPBEXstdDataEmph 2 4 16" xfId="21949" xr:uid="{DFCBC881-5B10-4C91-B6AC-0A5FBA2D683D}"/>
    <cellStyle name="SAPBEXstdDataEmph 2 4 16 2" xfId="21950" xr:uid="{44C9A4A4-CE1C-4B7D-881D-2F830B76EDFE}"/>
    <cellStyle name="SAPBEXstdDataEmph 2 4 17" xfId="21951" xr:uid="{70B45D9D-9838-4DAC-B9F0-B32CCF3F868B}"/>
    <cellStyle name="SAPBEXstdDataEmph 2 4 17 2" xfId="21952" xr:uid="{F0DA256A-8BC8-4A0C-9435-DD5C9A174CFA}"/>
    <cellStyle name="SAPBEXstdDataEmph 2 4 2" xfId="21953" xr:uid="{20A2AE94-878C-45CB-A1E2-536251843572}"/>
    <cellStyle name="SAPBEXstdDataEmph 2 4 2 10" xfId="21954" xr:uid="{6C3D00C7-8974-4458-9C8B-32AE426E1AB9}"/>
    <cellStyle name="SAPBEXstdDataEmph 2 4 2 10 2" xfId="21955" xr:uid="{105730EA-84D5-4438-8BD3-B626B10E11F3}"/>
    <cellStyle name="SAPBEXstdDataEmph 2 4 2 11" xfId="21956" xr:uid="{889805F5-589D-42B0-8006-947F2663A2B7}"/>
    <cellStyle name="SAPBEXstdDataEmph 2 4 2 11 2" xfId="21957" xr:uid="{F056D17B-883D-4FFB-AB93-E2A66D9D9A0F}"/>
    <cellStyle name="SAPBEXstdDataEmph 2 4 2 12" xfId="21958" xr:uid="{14431F6B-298D-4C31-8C8C-FE24C43A5AFB}"/>
    <cellStyle name="SAPBEXstdDataEmph 2 4 2 12 2" xfId="21959" xr:uid="{E30BD8BC-5790-4474-B9BB-28327F60F7F1}"/>
    <cellStyle name="SAPBEXstdDataEmph 2 4 2 13" xfId="21960" xr:uid="{E9FAC1FF-C6D7-4637-8833-0164E96F559B}"/>
    <cellStyle name="SAPBEXstdDataEmph 2 4 2 13 2" xfId="21961" xr:uid="{1628E9D2-D81D-424D-95F7-B4EB04D3F2E0}"/>
    <cellStyle name="SAPBEXstdDataEmph 2 4 2 14" xfId="21962" xr:uid="{A04F205E-CA65-4720-A3B5-BA49100541AB}"/>
    <cellStyle name="SAPBEXstdDataEmph 2 4 2 14 2" xfId="21963" xr:uid="{24D7D361-A13B-47FD-983B-860FB7216F0D}"/>
    <cellStyle name="SAPBEXstdDataEmph 2 4 2 15" xfId="21964" xr:uid="{B6E79D82-F6D5-4A39-A05A-0C5129864566}"/>
    <cellStyle name="SAPBEXstdDataEmph 2 4 2 15 2" xfId="21965" xr:uid="{F2DD3804-AC92-4327-AE35-ADB321B3C8F0}"/>
    <cellStyle name="SAPBEXstdDataEmph 2 4 2 2" xfId="21966" xr:uid="{5B0E795D-4A18-422A-B43E-E6A358DD8FB4}"/>
    <cellStyle name="SAPBEXstdDataEmph 2 4 2 2 2" xfId="21967" xr:uid="{7B308ADD-74FC-4B7A-8194-67454A1C7F67}"/>
    <cellStyle name="SAPBEXstdDataEmph 2 4 2 3" xfId="21968" xr:uid="{5D5E006D-07E9-4763-8076-FC83B3629385}"/>
    <cellStyle name="SAPBEXstdDataEmph 2 4 2 3 2" xfId="21969" xr:uid="{39CC7DA8-F9F0-4C5D-90BD-3F9D30B5B747}"/>
    <cellStyle name="SAPBEXstdDataEmph 2 4 2 4" xfId="21970" xr:uid="{A1FE6153-A6C3-4CBD-9055-EF3EBCAEABCA}"/>
    <cellStyle name="SAPBEXstdDataEmph 2 4 2 4 2" xfId="21971" xr:uid="{0318EC7D-B863-4964-BEA4-F6E01176D8D0}"/>
    <cellStyle name="SAPBEXstdDataEmph 2 4 2 5" xfId="21972" xr:uid="{AAF8EDDC-8DE0-4378-A951-5929A7F733CF}"/>
    <cellStyle name="SAPBEXstdDataEmph 2 4 2 5 2" xfId="21973" xr:uid="{4846B532-12FC-436E-83FE-6C4B55CF8BF8}"/>
    <cellStyle name="SAPBEXstdDataEmph 2 4 2 6" xfId="21974" xr:uid="{AD4CC908-A1AD-4782-AE56-9E2EAB71A0ED}"/>
    <cellStyle name="SAPBEXstdDataEmph 2 4 2 6 2" xfId="21975" xr:uid="{C0BDDC7E-94FA-47F2-ACE3-F02ED6E3B5A9}"/>
    <cellStyle name="SAPBEXstdDataEmph 2 4 2 7" xfId="21976" xr:uid="{08799A32-4E5B-4C07-8F94-E8CFE5F58E6D}"/>
    <cellStyle name="SAPBEXstdDataEmph 2 4 2 7 2" xfId="21977" xr:uid="{618160E3-C5CF-43D3-B6BF-4B9EAEB6CF49}"/>
    <cellStyle name="SAPBEXstdDataEmph 2 4 2 8" xfId="21978" xr:uid="{77F0CA64-BDA3-46C9-BFCC-101E7C03C244}"/>
    <cellStyle name="SAPBEXstdDataEmph 2 4 2 8 2" xfId="21979" xr:uid="{AEEBF9C3-421F-42E8-99FE-3C82583102AF}"/>
    <cellStyle name="SAPBEXstdDataEmph 2 4 2 9" xfId="21980" xr:uid="{B6EB639B-4783-4AD8-AF6D-014FC71E2F39}"/>
    <cellStyle name="SAPBEXstdDataEmph 2 4 2 9 2" xfId="21981" xr:uid="{5B056339-548F-4DEC-A4B4-ED5D7BF97D4F}"/>
    <cellStyle name="SAPBEXstdDataEmph 2 4 3" xfId="21982" xr:uid="{A3745434-8E40-4CD4-9E44-A06BCAC0771C}"/>
    <cellStyle name="SAPBEXstdDataEmph 2 4 3 10" xfId="21983" xr:uid="{EDB810EB-A60E-4A04-9671-CA5DA6BE7637}"/>
    <cellStyle name="SAPBEXstdDataEmph 2 4 3 10 2" xfId="21984" xr:uid="{5224CA23-6A6C-4D0D-B79C-34462D2D662B}"/>
    <cellStyle name="SAPBEXstdDataEmph 2 4 3 11" xfId="21985" xr:uid="{E4A13C5C-9D8F-4434-8F81-459A0F889FBD}"/>
    <cellStyle name="SAPBEXstdDataEmph 2 4 3 11 2" xfId="21986" xr:uid="{A7BE8487-54F8-4AA9-BDCB-33B5B1197673}"/>
    <cellStyle name="SAPBEXstdDataEmph 2 4 3 12" xfId="21987" xr:uid="{EBC9D494-3BB1-406F-9DF4-5A3B5BF383DE}"/>
    <cellStyle name="SAPBEXstdDataEmph 2 4 3 12 2" xfId="21988" xr:uid="{D17CF687-0287-43D6-A288-F6BCAEA29111}"/>
    <cellStyle name="SAPBEXstdDataEmph 2 4 3 13" xfId="21989" xr:uid="{8547B092-6A59-4D26-9CC9-8B2F60892126}"/>
    <cellStyle name="SAPBEXstdDataEmph 2 4 3 13 2" xfId="21990" xr:uid="{244839D0-DF29-4222-86F8-F81FD230FFDB}"/>
    <cellStyle name="SAPBEXstdDataEmph 2 4 3 14" xfId="21991" xr:uid="{C542B0EF-E664-4A0F-88E8-6B93C93B27CC}"/>
    <cellStyle name="SAPBEXstdDataEmph 2 4 3 14 2" xfId="21992" xr:uid="{56DB26B4-43E7-4572-BAE5-BC4061183E89}"/>
    <cellStyle name="SAPBEXstdDataEmph 2 4 3 15" xfId="21993" xr:uid="{D30309A5-7A2C-4318-8AEC-A8279982D419}"/>
    <cellStyle name="SAPBEXstdDataEmph 2 4 3 15 2" xfId="21994" xr:uid="{85B1C617-53B5-4932-84BE-9C33080998C3}"/>
    <cellStyle name="SAPBEXstdDataEmph 2 4 3 2" xfId="21995" xr:uid="{DD45735D-EF35-4322-9459-0939866F2F58}"/>
    <cellStyle name="SAPBEXstdDataEmph 2 4 3 2 2" xfId="21996" xr:uid="{2FA6E47A-6064-4832-BA5F-39615013981D}"/>
    <cellStyle name="SAPBEXstdDataEmph 2 4 3 3" xfId="21997" xr:uid="{79977344-290E-4834-91D2-FA354B26C173}"/>
    <cellStyle name="SAPBEXstdDataEmph 2 4 3 3 2" xfId="21998" xr:uid="{7C566459-C5F3-4C8F-964E-EAA366178477}"/>
    <cellStyle name="SAPBEXstdDataEmph 2 4 3 4" xfId="21999" xr:uid="{1A1328A1-BCA9-4DCD-B6AE-C14FC8946D55}"/>
    <cellStyle name="SAPBEXstdDataEmph 2 4 3 4 2" xfId="22000" xr:uid="{A51B46B1-4029-4846-B957-C7E3F2AB6D24}"/>
    <cellStyle name="SAPBEXstdDataEmph 2 4 3 5" xfId="22001" xr:uid="{30834874-C483-4DD3-BFEF-3F2CBD6755BA}"/>
    <cellStyle name="SAPBEXstdDataEmph 2 4 3 5 2" xfId="22002" xr:uid="{B46528B7-0676-493F-804D-CC3A6696140E}"/>
    <cellStyle name="SAPBEXstdDataEmph 2 4 3 6" xfId="22003" xr:uid="{1995141E-DA3E-4E1A-973A-D4118476433A}"/>
    <cellStyle name="SAPBEXstdDataEmph 2 4 3 6 2" xfId="22004" xr:uid="{B520906A-B20A-4C34-A6A6-FD39D77D5DED}"/>
    <cellStyle name="SAPBEXstdDataEmph 2 4 3 7" xfId="22005" xr:uid="{2BDC76ED-0F95-4B0C-A78F-AD97AE47E0B2}"/>
    <cellStyle name="SAPBEXstdDataEmph 2 4 3 7 2" xfId="22006" xr:uid="{2FF74D4A-6607-4039-968F-DF710E3188E6}"/>
    <cellStyle name="SAPBEXstdDataEmph 2 4 3 8" xfId="22007" xr:uid="{BE38C29A-1CAD-4803-A3B7-8B77EAE4D0E0}"/>
    <cellStyle name="SAPBEXstdDataEmph 2 4 3 8 2" xfId="22008" xr:uid="{8E32CA9A-338C-4134-8783-8D4D748D5144}"/>
    <cellStyle name="SAPBEXstdDataEmph 2 4 3 9" xfId="22009" xr:uid="{83381835-FA60-46DA-B830-9D96792AAC29}"/>
    <cellStyle name="SAPBEXstdDataEmph 2 4 3 9 2" xfId="22010" xr:uid="{A5329AC4-2FF9-4513-A07D-249178FCE481}"/>
    <cellStyle name="SAPBEXstdDataEmph 2 4 4" xfId="22011" xr:uid="{E216E543-F081-4139-8F3E-C6ADDFC53709}"/>
    <cellStyle name="SAPBEXstdDataEmph 2 4 4 2" xfId="22012" xr:uid="{E31DFD2F-1C7F-4613-B214-C4E24F04FAC1}"/>
    <cellStyle name="SAPBEXstdDataEmph 2 4 5" xfId="22013" xr:uid="{30F6F28B-6AE6-4DC8-8360-AE812076FE2E}"/>
    <cellStyle name="SAPBEXstdDataEmph 2 4 5 2" xfId="22014" xr:uid="{906F60F5-8E88-47EA-BC92-DF9FABADE698}"/>
    <cellStyle name="SAPBEXstdDataEmph 2 4 6" xfId="22015" xr:uid="{83149B18-3373-4889-B7D7-FED3AF40C99D}"/>
    <cellStyle name="SAPBEXstdDataEmph 2 4 6 2" xfId="22016" xr:uid="{60375A0B-E1F5-47DB-88B3-40470A4784BB}"/>
    <cellStyle name="SAPBEXstdDataEmph 2 4 7" xfId="22017" xr:uid="{44E58EB8-6300-4802-B044-2C53B374799F}"/>
    <cellStyle name="SAPBEXstdDataEmph 2 4 7 2" xfId="22018" xr:uid="{8493D7EF-8FED-41B6-8BF9-06CAE132FF46}"/>
    <cellStyle name="SAPBEXstdDataEmph 2 4 8" xfId="22019" xr:uid="{465ABA05-448B-4E03-969A-5452D1AFAFC6}"/>
    <cellStyle name="SAPBEXstdDataEmph 2 4 8 2" xfId="22020" xr:uid="{37C19D26-7C7D-48AE-B4FE-D872D0BD522F}"/>
    <cellStyle name="SAPBEXstdDataEmph 2 4 9" xfId="22021" xr:uid="{1E176851-F748-475E-9975-ABBAA0BFD414}"/>
    <cellStyle name="SAPBEXstdDataEmph 2 4 9 2" xfId="22022" xr:uid="{F42BF67F-22E5-4CA2-8BE6-CE266799B723}"/>
    <cellStyle name="SAPBEXstdDataEmph 2 5" xfId="22023" xr:uid="{FB39E831-8304-4636-9FC8-DE9D133ECB68}"/>
    <cellStyle name="SAPBEXstdDataEmph 2 5 2" xfId="22024" xr:uid="{81901669-24AE-47AA-8BDA-C3304D7CD3BA}"/>
    <cellStyle name="SAPBEXstdDataEmph 2 6" xfId="22025" xr:uid="{ADDF74BB-BD1A-4A73-89C8-1253C23A7906}"/>
    <cellStyle name="SAPBEXstdDataEmph 2 6 2" xfId="22026" xr:uid="{C947A2EE-1660-49F7-AB19-B1E2A9116FAD}"/>
    <cellStyle name="SAPBEXstdDataEmph 2 7" xfId="22027" xr:uid="{E7299298-83C5-4D31-B2D8-57924CC34932}"/>
    <cellStyle name="SAPBEXstdDataEmph 2 7 2" xfId="22028" xr:uid="{4E6929C7-EE3E-44C3-8FA0-176640B7B126}"/>
    <cellStyle name="SAPBEXstdDataEmph 2 8" xfId="22029" xr:uid="{B1C3E1B6-D18D-48FB-B53F-316EE043D653}"/>
    <cellStyle name="SAPBEXstdDataEmph 2 8 2" xfId="22030" xr:uid="{0AD1C7D4-7A50-40C1-BDE9-6E34F32EBD39}"/>
    <cellStyle name="SAPBEXstdDataEmph 2 9" xfId="22031" xr:uid="{77F696A2-A2AB-46CC-A8C7-341D4CC535CE}"/>
    <cellStyle name="SAPBEXstdDataEmph 2 9 2" xfId="22032" xr:uid="{34AF428C-7C0B-47ED-8809-59C1AFA90939}"/>
    <cellStyle name="SAPBEXstdDataEmph 2_T1 ANSP" xfId="21743" xr:uid="{E25E7E81-4F52-409F-B4E2-CAD527C27060}"/>
    <cellStyle name="SAPBEXstdDataEmph 20" xfId="22033" xr:uid="{C9884CD4-3515-4AC0-99C5-39AE7AED0B43}"/>
    <cellStyle name="SAPBEXstdDataEmph 3" xfId="1531" xr:uid="{00000000-0005-0000-0000-0000B4050000}"/>
    <cellStyle name="SAPBEXstdDataEmph 3 10" xfId="22035" xr:uid="{78DBBCEE-58E5-4846-9A9C-AA8910B25D94}"/>
    <cellStyle name="SAPBEXstdDataEmph 3 10 2" xfId="22036" xr:uid="{7CA40A58-3791-4418-85F2-D60F93E888AC}"/>
    <cellStyle name="SAPBEXstdDataEmph 3 11" xfId="22037" xr:uid="{2D2263AD-F51A-4429-8047-3F9AEBA1B40A}"/>
    <cellStyle name="SAPBEXstdDataEmph 3 11 2" xfId="22038" xr:uid="{C0344C4A-6761-438D-A1BC-D38D3152FCCB}"/>
    <cellStyle name="SAPBEXstdDataEmph 3 12" xfId="22039" xr:uid="{128901E3-9F35-4FD3-BD46-A5DD781D7A41}"/>
    <cellStyle name="SAPBEXstdDataEmph 3 12 2" xfId="22040" xr:uid="{BBA7F985-6782-40AB-AB93-67BB0F872135}"/>
    <cellStyle name="SAPBEXstdDataEmph 3 13" xfId="22041" xr:uid="{1BBD00EF-9D5E-4425-BA2E-C4E77CAB5755}"/>
    <cellStyle name="SAPBEXstdDataEmph 3 13 2" xfId="22042" xr:uid="{9F3527B2-242C-47AE-9579-8945F4CA83AF}"/>
    <cellStyle name="SAPBEXstdDataEmph 3 14" xfId="22043" xr:uid="{00368827-18A5-4C41-A1EA-2905C51FFD29}"/>
    <cellStyle name="SAPBEXstdDataEmph 3 14 2" xfId="22044" xr:uid="{585BC53F-CE07-47F5-8A39-3D3E8910C509}"/>
    <cellStyle name="SAPBEXstdDataEmph 3 15" xfId="22045" xr:uid="{9A78A580-2419-4247-8342-76000142138D}"/>
    <cellStyle name="SAPBEXstdDataEmph 3 15 2" xfId="22046" xr:uid="{5593E63D-1084-40D1-97E0-D6C42D15BCB3}"/>
    <cellStyle name="SAPBEXstdDataEmph 3 16" xfId="22047" xr:uid="{0774799A-77F1-4033-873F-8B6BB368E865}"/>
    <cellStyle name="SAPBEXstdDataEmph 3 16 2" xfId="22048" xr:uid="{D4536F72-ED1D-4CE2-A478-CEE5A3BC657A}"/>
    <cellStyle name="SAPBEXstdDataEmph 3 17" xfId="22049" xr:uid="{7015B5AE-EA7A-4108-B5CA-43FE2335848C}"/>
    <cellStyle name="SAPBEXstdDataEmph 3 17 2" xfId="22050" xr:uid="{9EEDCE33-01BA-4D65-92EB-8249C2CFFB9C}"/>
    <cellStyle name="SAPBEXstdDataEmph 3 18" xfId="22051" xr:uid="{3864D2BB-70C6-4F32-957B-98B5DE58D52F}"/>
    <cellStyle name="SAPBEXstdDataEmph 3 2" xfId="22052" xr:uid="{228465E8-625D-4C73-A868-6F22080D1730}"/>
    <cellStyle name="SAPBEXstdDataEmph 3 2 10" xfId="22053" xr:uid="{E053A3E3-9722-49E8-B062-E62B7DDEF80F}"/>
    <cellStyle name="SAPBEXstdDataEmph 3 2 10 2" xfId="22054" xr:uid="{8E437AE8-3598-41BD-9863-0404DC23CB63}"/>
    <cellStyle name="SAPBEXstdDataEmph 3 2 11" xfId="22055" xr:uid="{6511C1DA-5260-4C8C-A711-51B12F6F0163}"/>
    <cellStyle name="SAPBEXstdDataEmph 3 2 11 2" xfId="22056" xr:uid="{764F302C-3A4D-4A38-92D2-271372FCC9D2}"/>
    <cellStyle name="SAPBEXstdDataEmph 3 2 12" xfId="22057" xr:uid="{C13A1AF6-AFAB-45CF-BFAC-50769ECB42D8}"/>
    <cellStyle name="SAPBEXstdDataEmph 3 2 12 2" xfId="22058" xr:uid="{4188E0C2-616B-4BAF-BAA7-EC0C90A3D86B}"/>
    <cellStyle name="SAPBEXstdDataEmph 3 2 13" xfId="22059" xr:uid="{8467BC6C-D0D7-4922-AB9C-E0DAD3CE0267}"/>
    <cellStyle name="SAPBEXstdDataEmph 3 2 13 2" xfId="22060" xr:uid="{745E84D5-1D76-4C24-8D28-C2057C4F1526}"/>
    <cellStyle name="SAPBEXstdDataEmph 3 2 14" xfId="22061" xr:uid="{61950683-D57D-412D-8667-B82F896DC885}"/>
    <cellStyle name="SAPBEXstdDataEmph 3 2 14 2" xfId="22062" xr:uid="{EBEC0AB3-55AB-4CD8-82E3-217D9A60BD7A}"/>
    <cellStyle name="SAPBEXstdDataEmph 3 2 15" xfId="22063" xr:uid="{3C1A3618-0956-415C-B7DE-144F54C79143}"/>
    <cellStyle name="SAPBEXstdDataEmph 3 2 15 2" xfId="22064" xr:uid="{EE1CBA09-AEFB-4147-8892-433EE6828D6E}"/>
    <cellStyle name="SAPBEXstdDataEmph 3 2 16" xfId="22065" xr:uid="{E602AB59-7CC2-4C03-B738-F164254F3279}"/>
    <cellStyle name="SAPBEXstdDataEmph 3 2 2" xfId="22066" xr:uid="{A0F82637-6784-4FA5-9CE7-6401E2DD0D41}"/>
    <cellStyle name="SAPBEXstdDataEmph 3 2 2 2" xfId="22067" xr:uid="{170E6AD2-FB66-4EF6-AFB5-C06205D98D4B}"/>
    <cellStyle name="SAPBEXstdDataEmph 3 2 3" xfId="22068" xr:uid="{D862A846-F8C4-4F16-8ECA-14B99461F7D3}"/>
    <cellStyle name="SAPBEXstdDataEmph 3 2 3 2" xfId="22069" xr:uid="{C47EA842-245A-4F28-A910-0304D3A220CD}"/>
    <cellStyle name="SAPBEXstdDataEmph 3 2 4" xfId="22070" xr:uid="{2F878D1C-51EF-4BCE-A0AA-C1C5E07FAEE2}"/>
    <cellStyle name="SAPBEXstdDataEmph 3 2 4 2" xfId="22071" xr:uid="{FB41BA53-D3E0-41AB-A122-A5EEA728AEFC}"/>
    <cellStyle name="SAPBEXstdDataEmph 3 2 5" xfId="22072" xr:uid="{E5D8BEE2-0D36-435B-A024-FB5DC3B53952}"/>
    <cellStyle name="SAPBEXstdDataEmph 3 2 5 2" xfId="22073" xr:uid="{423BAC33-1609-489B-94C8-26C6FC0DFA27}"/>
    <cellStyle name="SAPBEXstdDataEmph 3 2 6" xfId="22074" xr:uid="{F5F015E3-97D8-4BB1-9BEF-176EC51E792F}"/>
    <cellStyle name="SAPBEXstdDataEmph 3 2 6 2" xfId="22075" xr:uid="{FBB0840A-50EC-427C-8755-44BA0FCF6DB9}"/>
    <cellStyle name="SAPBEXstdDataEmph 3 2 7" xfId="22076" xr:uid="{7103CAB8-D70C-4DFF-8DE3-FA459D95CF55}"/>
    <cellStyle name="SAPBEXstdDataEmph 3 2 7 2" xfId="22077" xr:uid="{C34D4C8F-BE42-4D32-8F84-84A3717CD2FA}"/>
    <cellStyle name="SAPBEXstdDataEmph 3 2 8" xfId="22078" xr:uid="{32C39292-B544-4B16-9588-3E6E932FE7BB}"/>
    <cellStyle name="SAPBEXstdDataEmph 3 2 8 2" xfId="22079" xr:uid="{A6780646-BBCC-4AEF-B197-3037776F3BDB}"/>
    <cellStyle name="SAPBEXstdDataEmph 3 2 9" xfId="22080" xr:uid="{92F4A33F-0096-4AB4-9667-44CEE6980BAA}"/>
    <cellStyle name="SAPBEXstdDataEmph 3 2 9 2" xfId="22081" xr:uid="{3B592F3D-8BCA-4D99-ACBC-4D9751E05394}"/>
    <cellStyle name="SAPBEXstdDataEmph 3 3" xfId="22082" xr:uid="{DB88A534-E638-4F4B-94D2-338D3CE0259C}"/>
    <cellStyle name="SAPBEXstdDataEmph 3 3 10" xfId="22083" xr:uid="{AC38FA37-83B3-4FE9-BF1E-A8F35800B4C0}"/>
    <cellStyle name="SAPBEXstdDataEmph 3 3 10 2" xfId="22084" xr:uid="{AB507425-E3D9-4904-A6BD-6AB697F43055}"/>
    <cellStyle name="SAPBEXstdDataEmph 3 3 11" xfId="22085" xr:uid="{610A9AC4-B587-4363-AFE5-F8702CBCBC0A}"/>
    <cellStyle name="SAPBEXstdDataEmph 3 3 11 2" xfId="22086" xr:uid="{1E00C1B4-5E0C-4D50-BF03-00D59EDC1A10}"/>
    <cellStyle name="SAPBEXstdDataEmph 3 3 12" xfId="22087" xr:uid="{AEA97291-DFB1-4A04-961D-1E0D37547128}"/>
    <cellStyle name="SAPBEXstdDataEmph 3 3 12 2" xfId="22088" xr:uid="{4C021DAA-91AC-4307-965E-B7456D96A479}"/>
    <cellStyle name="SAPBEXstdDataEmph 3 3 13" xfId="22089" xr:uid="{9BFFAF31-77C9-49D5-A145-0CF761BA4B74}"/>
    <cellStyle name="SAPBEXstdDataEmph 3 3 13 2" xfId="22090" xr:uid="{07F28C2F-96AE-403B-B6F8-C96B2C0DE6A3}"/>
    <cellStyle name="SAPBEXstdDataEmph 3 3 14" xfId="22091" xr:uid="{5073C075-5C4D-4558-B2A1-B44F8AFC56E2}"/>
    <cellStyle name="SAPBEXstdDataEmph 3 3 14 2" xfId="22092" xr:uid="{DB07D68F-6B69-467F-A32B-07EC78FDFCEA}"/>
    <cellStyle name="SAPBEXstdDataEmph 3 3 15" xfId="22093" xr:uid="{0B1752FD-30C8-4083-ADCA-3B58EF876396}"/>
    <cellStyle name="SAPBEXstdDataEmph 3 3 15 2" xfId="22094" xr:uid="{37A13084-D32B-489F-9330-BEF94ADEC75E}"/>
    <cellStyle name="SAPBEXstdDataEmph 3 3 16" xfId="22095" xr:uid="{F0B72B31-D796-49EB-B625-F4104FF19441}"/>
    <cellStyle name="SAPBEXstdDataEmph 3 3 2" xfId="22096" xr:uid="{FBDF7E75-E88E-4A45-BD84-BA4F1F2BDF5A}"/>
    <cellStyle name="SAPBEXstdDataEmph 3 3 2 2" xfId="22097" xr:uid="{6F1F92F9-6B98-4B99-B00D-FAFB0A0D03B9}"/>
    <cellStyle name="SAPBEXstdDataEmph 3 3 3" xfId="22098" xr:uid="{8E1CC9EE-D832-4D66-B815-7A6EA6CA0632}"/>
    <cellStyle name="SAPBEXstdDataEmph 3 3 3 2" xfId="22099" xr:uid="{9723E27F-21BC-4634-992C-895A0B191436}"/>
    <cellStyle name="SAPBEXstdDataEmph 3 3 4" xfId="22100" xr:uid="{FEF77837-BF23-4E49-B33F-EE8CBDBE10E1}"/>
    <cellStyle name="SAPBEXstdDataEmph 3 3 4 2" xfId="22101" xr:uid="{E8453B49-9BD5-4F31-B2A2-31169B7D4847}"/>
    <cellStyle name="SAPBEXstdDataEmph 3 3 5" xfId="22102" xr:uid="{1411D02A-2C94-426F-8966-C2D05220A42D}"/>
    <cellStyle name="SAPBEXstdDataEmph 3 3 5 2" xfId="22103" xr:uid="{40E558EC-BE6E-4F23-AB28-0502615F7F93}"/>
    <cellStyle name="SAPBEXstdDataEmph 3 3 6" xfId="22104" xr:uid="{21DF2E73-5521-49E1-A940-C98766CAD7E6}"/>
    <cellStyle name="SAPBEXstdDataEmph 3 3 6 2" xfId="22105" xr:uid="{2FE37345-D412-411D-B99F-14A3B6DF15D6}"/>
    <cellStyle name="SAPBEXstdDataEmph 3 3 7" xfId="22106" xr:uid="{7E7BC3E3-8C6B-4144-96B9-670E1849E922}"/>
    <cellStyle name="SAPBEXstdDataEmph 3 3 7 2" xfId="22107" xr:uid="{9548B094-5ADB-4283-868A-AFBF77D0CA81}"/>
    <cellStyle name="SAPBEXstdDataEmph 3 3 8" xfId="22108" xr:uid="{6C9E88EE-F819-408A-A775-48E064D04377}"/>
    <cellStyle name="SAPBEXstdDataEmph 3 3 8 2" xfId="22109" xr:uid="{296737CC-6E51-412B-A318-E25D8FC713A8}"/>
    <cellStyle name="SAPBEXstdDataEmph 3 3 9" xfId="22110" xr:uid="{4E63D266-754A-4147-9868-158CC2AE296A}"/>
    <cellStyle name="SAPBEXstdDataEmph 3 3 9 2" xfId="22111" xr:uid="{23A752D1-615C-48A2-B41D-98C4118F524A}"/>
    <cellStyle name="SAPBEXstdDataEmph 3 4" xfId="22112" xr:uid="{87A3AE1D-6CDD-4490-B6C1-459203C207B2}"/>
    <cellStyle name="SAPBEXstdDataEmph 3 4 2" xfId="22113" xr:uid="{770DDC03-4967-4DB5-A24B-1921F86B064C}"/>
    <cellStyle name="SAPBEXstdDataEmph 3 5" xfId="22114" xr:uid="{648C30B8-2B13-4A99-AA94-AA70659304AF}"/>
    <cellStyle name="SAPBEXstdDataEmph 3 5 2" xfId="22115" xr:uid="{D608AFAB-7148-4F54-812E-499F62B7466E}"/>
    <cellStyle name="SAPBEXstdDataEmph 3 6" xfId="22116" xr:uid="{3C8352AC-5BED-43D4-B02E-0ADF69C27E93}"/>
    <cellStyle name="SAPBEXstdDataEmph 3 6 2" xfId="22117" xr:uid="{2630AF74-02B2-4FFC-93B8-DB99A02E8EE8}"/>
    <cellStyle name="SAPBEXstdDataEmph 3 7" xfId="22118" xr:uid="{CEE12D42-DE6D-44CA-85D2-14649619EEA3}"/>
    <cellStyle name="SAPBEXstdDataEmph 3 7 2" xfId="22119" xr:uid="{400A727B-F976-4D2A-9544-B621A2F2604C}"/>
    <cellStyle name="SAPBEXstdDataEmph 3 8" xfId="22120" xr:uid="{FA1FB3D3-C46D-43D3-9189-97EF1CCF655D}"/>
    <cellStyle name="SAPBEXstdDataEmph 3 8 2" xfId="22121" xr:uid="{BB782DEA-2B06-4665-859A-4F60FF4DBB07}"/>
    <cellStyle name="SAPBEXstdDataEmph 3 9" xfId="22122" xr:uid="{7FDC9E41-BF11-4B8D-97A1-24370F2A1136}"/>
    <cellStyle name="SAPBEXstdDataEmph 3 9 2" xfId="22123" xr:uid="{903B0B3D-6864-4782-B366-E06CD07A6501}"/>
    <cellStyle name="SAPBEXstdDataEmph 3_T1 ANSP" xfId="22034" xr:uid="{9CD6DB61-2B7D-48C3-854C-05AA01284785}"/>
    <cellStyle name="SAPBEXstdDataEmph 4" xfId="22124" xr:uid="{08AD4105-D9FF-4BC6-917D-D9FEA3E888BB}"/>
    <cellStyle name="SAPBEXstdDataEmph 4 10" xfId="22125" xr:uid="{8FEFEC51-3654-4221-9E0C-C8415FA8A9E6}"/>
    <cellStyle name="SAPBEXstdDataEmph 4 10 2" xfId="22126" xr:uid="{54D45A36-22CA-47C1-B7E2-5B555460597D}"/>
    <cellStyle name="SAPBEXstdDataEmph 4 11" xfId="22127" xr:uid="{6F794E51-A93B-4FF6-B007-33A108803970}"/>
    <cellStyle name="SAPBEXstdDataEmph 4 11 2" xfId="22128" xr:uid="{5FD07814-8653-4DF1-A83A-AA6B1EECCAF6}"/>
    <cellStyle name="SAPBEXstdDataEmph 4 12" xfId="22129" xr:uid="{9370DCBA-4084-4D63-9085-F61070190A69}"/>
    <cellStyle name="SAPBEXstdDataEmph 4 12 2" xfId="22130" xr:uid="{B27C474B-C0C0-4593-AAA4-4ACA36A3EADD}"/>
    <cellStyle name="SAPBEXstdDataEmph 4 13" xfId="22131" xr:uid="{1562FBB8-FF29-4742-A974-942FE72062DA}"/>
    <cellStyle name="SAPBEXstdDataEmph 4 13 2" xfId="22132" xr:uid="{77E99029-437E-4AD5-B42F-4B318A06ABD7}"/>
    <cellStyle name="SAPBEXstdDataEmph 4 14" xfId="22133" xr:uid="{6DF3CA49-E536-4754-A4C6-26F673414EAF}"/>
    <cellStyle name="SAPBEXstdDataEmph 4 14 2" xfId="22134" xr:uid="{3DF00658-BF5C-4E27-97C2-EFA63698BA78}"/>
    <cellStyle name="SAPBEXstdDataEmph 4 15" xfId="22135" xr:uid="{84C92EAE-8348-4928-BABF-755070D96D9F}"/>
    <cellStyle name="SAPBEXstdDataEmph 4 15 2" xfId="22136" xr:uid="{F9F02093-D8D6-4607-B5EC-85B4072EF78C}"/>
    <cellStyle name="SAPBEXstdDataEmph 4 16" xfId="22137" xr:uid="{B062314A-37C8-4921-BB8E-9EB15B30FE61}"/>
    <cellStyle name="SAPBEXstdDataEmph 4 16 2" xfId="22138" xr:uid="{EAEFA09D-CFA1-4708-81C9-022F5D99FF50}"/>
    <cellStyle name="SAPBEXstdDataEmph 4 17" xfId="22139" xr:uid="{0EAF5829-C229-49C9-BCD5-3F9F158CAA23}"/>
    <cellStyle name="SAPBEXstdDataEmph 4 17 2" xfId="22140" xr:uid="{A636CCD5-EF4D-46D0-A06D-0ACA03F74C44}"/>
    <cellStyle name="SAPBEXstdDataEmph 4 18" xfId="22141" xr:uid="{7C7D12C3-0CB9-4A30-A12E-05DF5236E73E}"/>
    <cellStyle name="SAPBEXstdDataEmph 4 2" xfId="22142" xr:uid="{B2AD69C4-DA17-439C-9AEF-A73F16B1E246}"/>
    <cellStyle name="SAPBEXstdDataEmph 4 2 10" xfId="22143" xr:uid="{E8DEB336-535B-4054-9454-7D9F6D6E1802}"/>
    <cellStyle name="SAPBEXstdDataEmph 4 2 10 2" xfId="22144" xr:uid="{6E5CEC5D-A865-4647-B3AC-967AC8AFBCBA}"/>
    <cellStyle name="SAPBEXstdDataEmph 4 2 11" xfId="22145" xr:uid="{9E5829E9-C05A-488E-92A1-B53E660901AD}"/>
    <cellStyle name="SAPBEXstdDataEmph 4 2 11 2" xfId="22146" xr:uid="{B5976143-E681-4DA8-950B-D2E1ED3494AC}"/>
    <cellStyle name="SAPBEXstdDataEmph 4 2 12" xfId="22147" xr:uid="{E85241A9-B082-49D6-941E-C514E31B00DD}"/>
    <cellStyle name="SAPBEXstdDataEmph 4 2 12 2" xfId="22148" xr:uid="{DDB3033C-71EF-4432-A363-001A78E1BAE3}"/>
    <cellStyle name="SAPBEXstdDataEmph 4 2 13" xfId="22149" xr:uid="{22877285-D010-4618-9EB4-98D8620235C1}"/>
    <cellStyle name="SAPBEXstdDataEmph 4 2 13 2" xfId="22150" xr:uid="{B478D04F-CF7C-477A-8B66-E1CCF2491B45}"/>
    <cellStyle name="SAPBEXstdDataEmph 4 2 14" xfId="22151" xr:uid="{9626CB8B-7E51-4E6E-95E0-A6780DF4EB94}"/>
    <cellStyle name="SAPBEXstdDataEmph 4 2 14 2" xfId="22152" xr:uid="{E2FFEC44-C909-4C19-8EDA-BCC4364E4376}"/>
    <cellStyle name="SAPBEXstdDataEmph 4 2 15" xfId="22153" xr:uid="{F6EA66E3-4872-476C-8FC0-F0463280F7E5}"/>
    <cellStyle name="SAPBEXstdDataEmph 4 2 15 2" xfId="22154" xr:uid="{B78FBB7E-25BF-4FBD-B7FD-09A54AE5B8A2}"/>
    <cellStyle name="SAPBEXstdDataEmph 4 2 16" xfId="22155" xr:uid="{6C3D050A-8BB5-4968-AE0C-FB9BEF93AEC7}"/>
    <cellStyle name="SAPBEXstdDataEmph 4 2 2" xfId="22156" xr:uid="{872F41B2-7C4C-4D4E-B83D-187A3CC2663A}"/>
    <cellStyle name="SAPBEXstdDataEmph 4 2 2 2" xfId="22157" xr:uid="{446BBECE-E919-4F22-849F-C500F8E4ED0A}"/>
    <cellStyle name="SAPBEXstdDataEmph 4 2 3" xfId="22158" xr:uid="{8EEBBADA-CD39-46EB-B2C0-A80F6D9FA925}"/>
    <cellStyle name="SAPBEXstdDataEmph 4 2 3 2" xfId="22159" xr:uid="{F2CB9D62-3DEA-4548-86C0-5C8E5240BD3F}"/>
    <cellStyle name="SAPBEXstdDataEmph 4 2 4" xfId="22160" xr:uid="{A711B6D3-61F2-4C82-8DC6-1DCBD020B11B}"/>
    <cellStyle name="SAPBEXstdDataEmph 4 2 4 2" xfId="22161" xr:uid="{41A77F72-BAB2-41C2-AFBA-5A71739B04FE}"/>
    <cellStyle name="SAPBEXstdDataEmph 4 2 5" xfId="22162" xr:uid="{5EA87C94-462E-451A-A187-FCCC22C72EB6}"/>
    <cellStyle name="SAPBEXstdDataEmph 4 2 5 2" xfId="22163" xr:uid="{9341573E-0F63-43B4-9880-7E79E40CCDD9}"/>
    <cellStyle name="SAPBEXstdDataEmph 4 2 6" xfId="22164" xr:uid="{1F8482F9-AB6A-4DB3-83EC-BC1C548B36D0}"/>
    <cellStyle name="SAPBEXstdDataEmph 4 2 6 2" xfId="22165" xr:uid="{BA767484-533A-481F-9B15-BF93306A3AFD}"/>
    <cellStyle name="SAPBEXstdDataEmph 4 2 7" xfId="22166" xr:uid="{BB554884-3A2D-40BB-8376-AD81FC3858F6}"/>
    <cellStyle name="SAPBEXstdDataEmph 4 2 7 2" xfId="22167" xr:uid="{27E3D452-5365-4D5F-A222-13F8CF8543AF}"/>
    <cellStyle name="SAPBEXstdDataEmph 4 2 8" xfId="22168" xr:uid="{6EB34DCC-9559-4201-B966-206DFDC52438}"/>
    <cellStyle name="SAPBEXstdDataEmph 4 2 8 2" xfId="22169" xr:uid="{6BEF5CFE-8AA0-4839-8F04-8D22284C603E}"/>
    <cellStyle name="SAPBEXstdDataEmph 4 2 9" xfId="22170" xr:uid="{A1480F16-DC5C-4FF1-B973-F54A00F719B6}"/>
    <cellStyle name="SAPBEXstdDataEmph 4 2 9 2" xfId="22171" xr:uid="{15DB0A00-227D-4D7B-A016-93ECB3DE2198}"/>
    <cellStyle name="SAPBEXstdDataEmph 4 3" xfId="22172" xr:uid="{9509EB48-CCE7-4023-9B2E-CA1041D68237}"/>
    <cellStyle name="SAPBEXstdDataEmph 4 3 10" xfId="22173" xr:uid="{EE83C6B5-1A20-4D68-ACDC-32C795494682}"/>
    <cellStyle name="SAPBEXstdDataEmph 4 3 10 2" xfId="22174" xr:uid="{272F3FDC-AA19-422A-92CD-EA7781ECAF0F}"/>
    <cellStyle name="SAPBEXstdDataEmph 4 3 11" xfId="22175" xr:uid="{287B3FF0-98D9-40A4-8233-B638ABEFF2F4}"/>
    <cellStyle name="SAPBEXstdDataEmph 4 3 11 2" xfId="22176" xr:uid="{C993D7A6-B6E1-4776-A21F-5E91CCE30B99}"/>
    <cellStyle name="SAPBEXstdDataEmph 4 3 12" xfId="22177" xr:uid="{BCB5CCC8-FEC4-40FE-AB40-E94FF6E6E31C}"/>
    <cellStyle name="SAPBEXstdDataEmph 4 3 12 2" xfId="22178" xr:uid="{5B3BCC54-28CB-4717-B60F-D48770C3CB1B}"/>
    <cellStyle name="SAPBEXstdDataEmph 4 3 13" xfId="22179" xr:uid="{7E53D5E0-25D9-47D0-9F70-23655310D62E}"/>
    <cellStyle name="SAPBEXstdDataEmph 4 3 13 2" xfId="22180" xr:uid="{BAFB0D30-9615-4AA6-A50B-26C8F0E17D05}"/>
    <cellStyle name="SAPBEXstdDataEmph 4 3 14" xfId="22181" xr:uid="{4A562BAC-E830-44AA-9280-804BB8FF5FCE}"/>
    <cellStyle name="SAPBEXstdDataEmph 4 3 14 2" xfId="22182" xr:uid="{F03A7B36-1B51-4331-AE01-5D9F290746EE}"/>
    <cellStyle name="SAPBEXstdDataEmph 4 3 15" xfId="22183" xr:uid="{07460510-32F7-4C46-8B61-FB3714AC8B23}"/>
    <cellStyle name="SAPBEXstdDataEmph 4 3 15 2" xfId="22184" xr:uid="{B28DD765-87B9-4325-BD83-76DBE4F4F7DA}"/>
    <cellStyle name="SAPBEXstdDataEmph 4 3 16" xfId="22185" xr:uid="{A8258148-44ED-40D2-AC53-83EB979234A1}"/>
    <cellStyle name="SAPBEXstdDataEmph 4 3 2" xfId="22186" xr:uid="{37A2E2E4-936B-436D-9082-E8DF354CE769}"/>
    <cellStyle name="SAPBEXstdDataEmph 4 3 2 2" xfId="22187" xr:uid="{B77525E5-7D12-43EC-BDAA-891064EF1B7F}"/>
    <cellStyle name="SAPBEXstdDataEmph 4 3 3" xfId="22188" xr:uid="{7BCC51C3-BBF4-4B03-8160-A7649DD9F00D}"/>
    <cellStyle name="SAPBEXstdDataEmph 4 3 3 2" xfId="22189" xr:uid="{3D8DCFC3-007A-470E-813A-AA7C7499171E}"/>
    <cellStyle name="SAPBEXstdDataEmph 4 3 4" xfId="22190" xr:uid="{434F3D57-D5EB-4D31-825D-8CBB36D63647}"/>
    <cellStyle name="SAPBEXstdDataEmph 4 3 4 2" xfId="22191" xr:uid="{FBD7637A-A65A-44AE-A874-EA457B5E26F2}"/>
    <cellStyle name="SAPBEXstdDataEmph 4 3 5" xfId="22192" xr:uid="{D734ACCF-6FE5-4916-B002-67D269125534}"/>
    <cellStyle name="SAPBEXstdDataEmph 4 3 5 2" xfId="22193" xr:uid="{67DB8909-9A00-4415-AF13-9E18B61B6CB7}"/>
    <cellStyle name="SAPBEXstdDataEmph 4 3 6" xfId="22194" xr:uid="{F34403F5-FE3C-403C-AE9A-1960F9EC20F0}"/>
    <cellStyle name="SAPBEXstdDataEmph 4 3 6 2" xfId="22195" xr:uid="{2A1ED1A0-2D34-4986-833B-170C499BBA28}"/>
    <cellStyle name="SAPBEXstdDataEmph 4 3 7" xfId="22196" xr:uid="{809E41C6-50B8-4D6E-864D-33E68EBEF5E4}"/>
    <cellStyle name="SAPBEXstdDataEmph 4 3 7 2" xfId="22197" xr:uid="{865C982A-2A70-4746-9F2E-C28E718E21A6}"/>
    <cellStyle name="SAPBEXstdDataEmph 4 3 8" xfId="22198" xr:uid="{136BBF98-0F18-436D-B3AD-98322C357C43}"/>
    <cellStyle name="SAPBEXstdDataEmph 4 3 8 2" xfId="22199" xr:uid="{99C57738-9600-4F27-BB4E-9679B9887891}"/>
    <cellStyle name="SAPBEXstdDataEmph 4 3 9" xfId="22200" xr:uid="{EB469ED3-AFDF-4EA2-8149-569C7130CEE4}"/>
    <cellStyle name="SAPBEXstdDataEmph 4 3 9 2" xfId="22201" xr:uid="{87D5BE52-AD8B-4ACA-BB23-AD0B74AB34EA}"/>
    <cellStyle name="SAPBEXstdDataEmph 4 4" xfId="22202" xr:uid="{109DDAE0-D69D-4916-A75B-E9D4F4664700}"/>
    <cellStyle name="SAPBEXstdDataEmph 4 4 2" xfId="22203" xr:uid="{D3EA8B3C-A980-457D-BEFE-ACC18A855AB5}"/>
    <cellStyle name="SAPBEXstdDataEmph 4 5" xfId="22204" xr:uid="{D79B47B1-8654-4D86-BFB5-CC9B8D9DF09E}"/>
    <cellStyle name="SAPBEXstdDataEmph 4 5 2" xfId="22205" xr:uid="{68C9B6C1-D8DB-4AE0-ACD0-73A061243DC5}"/>
    <cellStyle name="SAPBEXstdDataEmph 4 6" xfId="22206" xr:uid="{047E104D-07D9-4874-9A65-47132F267C81}"/>
    <cellStyle name="SAPBEXstdDataEmph 4 6 2" xfId="22207" xr:uid="{D1FD5395-27BD-4948-B1C5-3D55CDA6394A}"/>
    <cellStyle name="SAPBEXstdDataEmph 4 7" xfId="22208" xr:uid="{B35BACD5-55DF-4871-9E8B-25626418D636}"/>
    <cellStyle name="SAPBEXstdDataEmph 4 7 2" xfId="22209" xr:uid="{ACCE1F75-A2CB-4C89-8160-A5AB59E97DCF}"/>
    <cellStyle name="SAPBEXstdDataEmph 4 8" xfId="22210" xr:uid="{23D3EF70-D081-45DA-BBE9-58308023FA94}"/>
    <cellStyle name="SAPBEXstdDataEmph 4 8 2" xfId="22211" xr:uid="{13DC5B98-E266-4957-B688-09515386D163}"/>
    <cellStyle name="SAPBEXstdDataEmph 4 9" xfId="22212" xr:uid="{FF19E94F-0FBE-4F17-8A3B-776ABE97D489}"/>
    <cellStyle name="SAPBEXstdDataEmph 4 9 2" xfId="22213" xr:uid="{7F8051CE-B985-4286-890C-FEF1883A1018}"/>
    <cellStyle name="SAPBEXstdDataEmph 5" xfId="22214" xr:uid="{9AF66F1E-F9F6-4CD2-90EC-254774994A5E}"/>
    <cellStyle name="SAPBEXstdDataEmph 5 10" xfId="22215" xr:uid="{9299D139-8BDB-43AF-8C3B-986D07542A1F}"/>
    <cellStyle name="SAPBEXstdDataEmph 5 10 2" xfId="22216" xr:uid="{466FC2BF-AF1E-4D87-8227-75EF37F9BDBE}"/>
    <cellStyle name="SAPBEXstdDataEmph 5 11" xfId="22217" xr:uid="{D0AAD02D-8DD0-4FE6-81DC-790173454EAF}"/>
    <cellStyle name="SAPBEXstdDataEmph 5 11 2" xfId="22218" xr:uid="{F17EEB14-1E5C-4D82-B911-1A49F019040E}"/>
    <cellStyle name="SAPBEXstdDataEmph 5 12" xfId="22219" xr:uid="{C843D31F-5F94-4D92-A1CF-BB6B3329A1A6}"/>
    <cellStyle name="SAPBEXstdDataEmph 5 12 2" xfId="22220" xr:uid="{4A9B1567-6043-4C1F-AD18-CDE4D7AD33F3}"/>
    <cellStyle name="SAPBEXstdDataEmph 5 13" xfId="22221" xr:uid="{E39BE729-83CA-423F-9A56-C7935FD62D8E}"/>
    <cellStyle name="SAPBEXstdDataEmph 5 13 2" xfId="22222" xr:uid="{94B582E9-69F0-4CA5-8B46-F9019413EF32}"/>
    <cellStyle name="SAPBEXstdDataEmph 5 14" xfId="22223" xr:uid="{285A25C6-1E1B-4F3D-A8B9-7D94150B684A}"/>
    <cellStyle name="SAPBEXstdDataEmph 5 14 2" xfId="22224" xr:uid="{8C1AACB4-04AA-4A21-83C7-9046A1F0ECF2}"/>
    <cellStyle name="SAPBEXstdDataEmph 5 15" xfId="22225" xr:uid="{86BBAB6A-6F65-4052-8FCC-B1ABED3D0161}"/>
    <cellStyle name="SAPBEXstdDataEmph 5 15 2" xfId="22226" xr:uid="{CF03A29B-7FA7-4E45-AF28-297F606D9726}"/>
    <cellStyle name="SAPBEXstdDataEmph 5 16" xfId="22227" xr:uid="{B8EFF427-4384-40A7-922A-34B2D4B3A0A6}"/>
    <cellStyle name="SAPBEXstdDataEmph 5 2" xfId="22228" xr:uid="{D3333651-B1AB-44C1-BF67-4099BAFDE336}"/>
    <cellStyle name="SAPBEXstdDataEmph 5 2 2" xfId="22229" xr:uid="{E74AB3A6-4127-4C5F-8E68-C3450522E53A}"/>
    <cellStyle name="SAPBEXstdDataEmph 5 3" xfId="22230" xr:uid="{9AF31ADE-3F7B-4DD3-B3B3-D8B51BE9170B}"/>
    <cellStyle name="SAPBEXstdDataEmph 5 3 2" xfId="22231" xr:uid="{A2BA9C91-D3D2-49B9-B64C-5D330689D1D3}"/>
    <cellStyle name="SAPBEXstdDataEmph 5 4" xfId="22232" xr:uid="{400110BC-9372-4296-8B3F-778661466C92}"/>
    <cellStyle name="SAPBEXstdDataEmph 5 4 2" xfId="22233" xr:uid="{F630C572-3965-40CF-B11C-D05F0DFC72CE}"/>
    <cellStyle name="SAPBEXstdDataEmph 5 5" xfId="22234" xr:uid="{E6A136F0-2F2A-496B-8C9C-DAF5CBE6F10C}"/>
    <cellStyle name="SAPBEXstdDataEmph 5 5 2" xfId="22235" xr:uid="{4DE5F1E8-D65E-4186-AF00-463F7701D34E}"/>
    <cellStyle name="SAPBEXstdDataEmph 5 6" xfId="22236" xr:uid="{8D100D92-49C6-461C-B95C-71A6B5C8851F}"/>
    <cellStyle name="SAPBEXstdDataEmph 5 6 2" xfId="22237" xr:uid="{EF844707-64E6-4FF4-921C-7A7F69E7C540}"/>
    <cellStyle name="SAPBEXstdDataEmph 5 7" xfId="22238" xr:uid="{D3FC4BEC-A35B-4516-AE30-337F6D985887}"/>
    <cellStyle name="SAPBEXstdDataEmph 5 7 2" xfId="22239" xr:uid="{4F3E137E-F870-4655-BD40-A706F4DF52ED}"/>
    <cellStyle name="SAPBEXstdDataEmph 5 8" xfId="22240" xr:uid="{9CF2CEAD-9884-4E36-B97A-E52883B94CA9}"/>
    <cellStyle name="SAPBEXstdDataEmph 5 8 2" xfId="22241" xr:uid="{E0EA139E-FE6D-45E3-986D-44764DC19D97}"/>
    <cellStyle name="SAPBEXstdDataEmph 5 9" xfId="22242" xr:uid="{EC3CA439-B102-4DDC-9449-74225F12F84B}"/>
    <cellStyle name="SAPBEXstdDataEmph 5 9 2" xfId="22243" xr:uid="{3E0B612F-0DFE-4B8B-BF69-13E30EB7FC4C}"/>
    <cellStyle name="SAPBEXstdDataEmph 6" xfId="22244" xr:uid="{94C05929-C1A8-4E14-B289-53BA0F68578F}"/>
    <cellStyle name="SAPBEXstdDataEmph 6 2" xfId="22245" xr:uid="{F86442EA-33B2-449C-8B41-86F6EDFE2033}"/>
    <cellStyle name="SAPBEXstdDataEmph 7" xfId="22246" xr:uid="{7F88BA34-6BDD-4085-98C8-1D94879D279B}"/>
    <cellStyle name="SAPBEXstdDataEmph 7 2" xfId="22247" xr:uid="{D5761411-B326-4EB3-8751-4C4DD366C890}"/>
    <cellStyle name="SAPBEXstdDataEmph 8" xfId="22248" xr:uid="{AE23D78A-967C-44C0-9140-827A17BFB6F1}"/>
    <cellStyle name="SAPBEXstdDataEmph 8 2" xfId="22249" xr:uid="{354477BB-8292-484A-8C1E-53370A760496}"/>
    <cellStyle name="SAPBEXstdDataEmph 9" xfId="22250" xr:uid="{D64B6859-CAEE-4AC3-88C5-5EEBA5EE29DA}"/>
    <cellStyle name="SAPBEXstdDataEmph 9 2" xfId="22251" xr:uid="{BF98A7FE-EA9F-4EC1-B35B-50637B79A1DF}"/>
    <cellStyle name="SAPBEXstdDataEmph_T1 ANSP" xfId="21722" xr:uid="{B8218B3F-BE7D-4A54-BC13-B2CF98A04A37}"/>
    <cellStyle name="SAPBEXstdItem" xfId="760" xr:uid="{00000000-0005-0000-0000-0000B5050000}"/>
    <cellStyle name="SAPBEXstdItem 10" xfId="22252" xr:uid="{3D416734-61D8-454C-8B90-BE21F07EDCE8}"/>
    <cellStyle name="SAPBEXstdItem 10 2" xfId="22253" xr:uid="{BF33ADB7-9E7B-48FD-89FA-9E3CDEC3AA54}"/>
    <cellStyle name="SAPBEXstdItem 11" xfId="22254" xr:uid="{767935F0-679A-4060-9F0C-4AC62CD84F40}"/>
    <cellStyle name="SAPBEXstdItem 11 2" xfId="22255" xr:uid="{B5380D4C-638B-4878-A920-D684FC126EC1}"/>
    <cellStyle name="SAPBEXstdItem 12" xfId="22256" xr:uid="{B189AD41-C262-4F24-A0F9-96ECB090CB0C}"/>
    <cellStyle name="SAPBEXstdItem 12 2" xfId="22257" xr:uid="{55186BA2-5786-4420-8BB9-A09BF7431715}"/>
    <cellStyle name="SAPBEXstdItem 13" xfId="22258" xr:uid="{0AB986D5-317D-4716-84FB-DA7E1C33A120}"/>
    <cellStyle name="SAPBEXstdItem 13 2" xfId="22259" xr:uid="{8BFA007E-F5A8-4175-A3A3-AF573B1BEB8F}"/>
    <cellStyle name="SAPBEXstdItem 14" xfId="22260" xr:uid="{99FD4B73-D6C3-4BCE-B801-2E9A6813E3C9}"/>
    <cellStyle name="SAPBEXstdItem 14 2" xfId="22261" xr:uid="{F6326AA1-B36C-4BDF-B364-DE3554B8A0DD}"/>
    <cellStyle name="SAPBEXstdItem 15" xfId="22262" xr:uid="{916B4791-510E-41E9-8A9E-945F5274632F}"/>
    <cellStyle name="SAPBEXstdItem 15 2" xfId="22263" xr:uid="{6D856B68-1CB1-4FC9-98B9-C13834A9C516}"/>
    <cellStyle name="SAPBEXstdItem 16" xfId="22264" xr:uid="{A1712DBC-5FA7-49CA-9847-86A24B302263}"/>
    <cellStyle name="SAPBEXstdItem 16 2" xfId="22265" xr:uid="{E26CAB40-D54E-4290-A924-7B0A071A4EBF}"/>
    <cellStyle name="SAPBEXstdItem 17" xfId="22266" xr:uid="{36757085-A767-43E3-8FA9-11C3D6FAD1D6}"/>
    <cellStyle name="SAPBEXstdItem 17 2" xfId="22267" xr:uid="{87A941F5-3481-4657-9A5B-002C06C33495}"/>
    <cellStyle name="SAPBEXstdItem 18" xfId="22268" xr:uid="{AE66C10C-CAF7-4C13-ABB5-F45501F31A61}"/>
    <cellStyle name="SAPBEXstdItem 18 2" xfId="22269" xr:uid="{2C6EE1E3-06AE-4BAC-B50C-1FDA8E91E30D}"/>
    <cellStyle name="SAPBEXstdItem 19" xfId="22270" xr:uid="{DBE692E8-EE02-461E-BCD3-1B612DA99200}"/>
    <cellStyle name="SAPBEXstdItem 19 2" xfId="22271" xr:uid="{9A1DD6CE-369F-4DF8-811C-F5AACB6E8041}"/>
    <cellStyle name="SAPBEXstdItem 2" xfId="1574" xr:uid="{00000000-0005-0000-0000-0000B6050000}"/>
    <cellStyle name="SAPBEXstdItem 2 10" xfId="22273" xr:uid="{E1521DB8-B26E-4DE3-B6E0-4152B0C56FE9}"/>
    <cellStyle name="SAPBEXstdItem 2 10 2" xfId="22274" xr:uid="{D61C76A8-B317-42F5-8B5C-E8C4E36C5985}"/>
    <cellStyle name="SAPBEXstdItem 2 11" xfId="22275" xr:uid="{DAAF7362-3878-4275-8655-5B431349143C}"/>
    <cellStyle name="SAPBEXstdItem 2 11 2" xfId="22276" xr:uid="{C17F3027-F4BB-4F24-B085-B94494C9420D}"/>
    <cellStyle name="SAPBEXstdItem 2 12" xfId="22277" xr:uid="{F26BDA61-0358-4AAC-9DC8-9578ED9CD9BA}"/>
    <cellStyle name="SAPBEXstdItem 2 12 2" xfId="22278" xr:uid="{2E1725D9-770E-4BFB-8E0E-E4B9FAEBC1FF}"/>
    <cellStyle name="SAPBEXstdItem 2 13" xfId="22279" xr:uid="{314EF82D-8071-4F12-BC6A-B0671A256DC7}"/>
    <cellStyle name="SAPBEXstdItem 2 13 2" xfId="22280" xr:uid="{D3AF7815-C5E3-4DAB-8820-C19CC5DB3228}"/>
    <cellStyle name="SAPBEXstdItem 2 14" xfId="22281" xr:uid="{91CC69B5-7E17-497F-A37C-290641E8D4C3}"/>
    <cellStyle name="SAPBEXstdItem 2 14 2" xfId="22282" xr:uid="{B3025A75-BCD8-4DEE-B385-2DFFC8E60D1C}"/>
    <cellStyle name="SAPBEXstdItem 2 15" xfId="22283" xr:uid="{0F67C370-E84C-4833-9918-F8E6E527B55A}"/>
    <cellStyle name="SAPBEXstdItem 2 15 2" xfId="22284" xr:uid="{33CFEEA3-84CA-42E8-8DFB-F45C394E3C8E}"/>
    <cellStyle name="SAPBEXstdItem 2 16" xfId="22285" xr:uid="{3198536B-1EA0-4D41-9009-1AA7866A379D}"/>
    <cellStyle name="SAPBEXstdItem 2 16 2" xfId="22286" xr:uid="{A43BC1D0-5D49-4E55-92A0-5A511260DAD8}"/>
    <cellStyle name="SAPBEXstdItem 2 17" xfId="22287" xr:uid="{35E36C8E-55B6-461B-87ED-2FF7F6BD56B0}"/>
    <cellStyle name="SAPBEXstdItem 2 17 2" xfId="22288" xr:uid="{C736B378-26B0-4F86-86F0-2D7F957738F5}"/>
    <cellStyle name="SAPBEXstdItem 2 18" xfId="22289" xr:uid="{33C9950E-0557-4189-A593-B393B4AFFD11}"/>
    <cellStyle name="SAPBEXstdItem 2 18 2" xfId="22290" xr:uid="{B6922024-2130-4D79-9B60-4608B5EBFC38}"/>
    <cellStyle name="SAPBEXstdItem 2 2" xfId="22291" xr:uid="{ECB7DB1B-F9ED-442E-89EC-9876B6124BC8}"/>
    <cellStyle name="SAPBEXstdItem 2 2 10" xfId="22292" xr:uid="{0A602CAF-F45A-4D7E-9811-F31B4F88ACD6}"/>
    <cellStyle name="SAPBEXstdItem 2 2 10 2" xfId="22293" xr:uid="{37DB80FC-33EC-458C-A3FE-CFE99E5F0499}"/>
    <cellStyle name="SAPBEXstdItem 2 2 11" xfId="22294" xr:uid="{6053115F-A74E-4F64-894E-88665BFCBC31}"/>
    <cellStyle name="SAPBEXstdItem 2 2 11 2" xfId="22295" xr:uid="{BD6C211A-8661-473D-8433-C61C81959480}"/>
    <cellStyle name="SAPBEXstdItem 2 2 12" xfId="22296" xr:uid="{30ED55C4-6D64-45D6-A7B4-A810ADC8F3C2}"/>
    <cellStyle name="SAPBEXstdItem 2 2 12 2" xfId="22297" xr:uid="{9728977D-5A50-421E-9C56-75F72F9F1351}"/>
    <cellStyle name="SAPBEXstdItem 2 2 13" xfId="22298" xr:uid="{600D516C-80D2-4695-9D1E-183E8AA309FA}"/>
    <cellStyle name="SAPBEXstdItem 2 2 13 2" xfId="22299" xr:uid="{454DE781-2334-4551-B6FF-2D7823E09919}"/>
    <cellStyle name="SAPBEXstdItem 2 2 14" xfId="22300" xr:uid="{5F155A5F-9954-44FD-8A61-4C34942425F2}"/>
    <cellStyle name="SAPBEXstdItem 2 2 14 2" xfId="22301" xr:uid="{F321B119-738B-40F2-B5F2-41239BEF4F2E}"/>
    <cellStyle name="SAPBEXstdItem 2 2 15" xfId="22302" xr:uid="{B7D911F1-2C6E-4D37-BE9B-0208DAFFE326}"/>
    <cellStyle name="SAPBEXstdItem 2 2 15 2" xfId="22303" xr:uid="{52699DD9-AE40-45AB-A071-A53BE1283B74}"/>
    <cellStyle name="SAPBEXstdItem 2 2 16" xfId="22304" xr:uid="{37F0931F-4E68-4CD5-9DFB-230F46591293}"/>
    <cellStyle name="SAPBEXstdItem 2 2 16 2" xfId="22305" xr:uid="{280CF5E3-70BD-440A-9619-B3CB4946D45C}"/>
    <cellStyle name="SAPBEXstdItem 2 2 17" xfId="22306" xr:uid="{B9858977-DE59-471C-A5EF-FDF0B0FF2A43}"/>
    <cellStyle name="SAPBEXstdItem 2 2 17 2" xfId="22307" xr:uid="{36BFEA38-9566-4B16-9039-216D7EBB43AE}"/>
    <cellStyle name="SAPBEXstdItem 2 2 2" xfId="22308" xr:uid="{3BA66741-25FF-4F60-A184-17CAC3D6E5D1}"/>
    <cellStyle name="SAPBEXstdItem 2 2 2 10" xfId="22309" xr:uid="{7958C9D9-8678-4AC2-9E15-6B2B8D0F523D}"/>
    <cellStyle name="SAPBEXstdItem 2 2 2 10 2" xfId="22310" xr:uid="{6022D0CE-412F-40FA-BF4E-FE6819B0FA96}"/>
    <cellStyle name="SAPBEXstdItem 2 2 2 11" xfId="22311" xr:uid="{87C8A2CC-37AF-4BED-8EA0-119C5A72A07F}"/>
    <cellStyle name="SAPBEXstdItem 2 2 2 11 2" xfId="22312" xr:uid="{419B0827-2ED4-4B4C-A58D-221CB0F304D7}"/>
    <cellStyle name="SAPBEXstdItem 2 2 2 12" xfId="22313" xr:uid="{707EFE02-2BEE-42F1-BB25-9BA2E6CE8655}"/>
    <cellStyle name="SAPBEXstdItem 2 2 2 12 2" xfId="22314" xr:uid="{19156418-2EAC-4997-B682-42590FF1362B}"/>
    <cellStyle name="SAPBEXstdItem 2 2 2 13" xfId="22315" xr:uid="{B06C4AC3-6B18-4FC1-99D8-7617538915F1}"/>
    <cellStyle name="SAPBEXstdItem 2 2 2 13 2" xfId="22316" xr:uid="{A6C48731-94B6-4D9F-9761-8814C8DC33CD}"/>
    <cellStyle name="SAPBEXstdItem 2 2 2 14" xfId="22317" xr:uid="{293F8B21-94B2-4F61-94DB-AC7DEAB772E1}"/>
    <cellStyle name="SAPBEXstdItem 2 2 2 14 2" xfId="22318" xr:uid="{8F5346CE-5C74-4E9C-B677-A0B1EAEC2EEC}"/>
    <cellStyle name="SAPBEXstdItem 2 2 2 15" xfId="22319" xr:uid="{3490105B-DD0C-48AF-83A4-BFEF976C82E6}"/>
    <cellStyle name="SAPBEXstdItem 2 2 2 15 2" xfId="22320" xr:uid="{62C1CAE8-06F6-493A-82E4-E609D6801DA9}"/>
    <cellStyle name="SAPBEXstdItem 2 2 2 2" xfId="22321" xr:uid="{06BA4864-7737-438E-ADEF-3247E655C9A9}"/>
    <cellStyle name="SAPBEXstdItem 2 2 2 2 2" xfId="22322" xr:uid="{ECFEB39E-8684-4FEA-B550-45AB2D0A1D60}"/>
    <cellStyle name="SAPBEXstdItem 2 2 2 3" xfId="22323" xr:uid="{67F75324-EF3F-49AB-974C-EC48F96732B6}"/>
    <cellStyle name="SAPBEXstdItem 2 2 2 3 2" xfId="22324" xr:uid="{717C65AA-6E39-4AF5-B55B-C6B79D6D2E12}"/>
    <cellStyle name="SAPBEXstdItem 2 2 2 4" xfId="22325" xr:uid="{ACB7CE80-F17B-4F61-890F-73F83D0360A2}"/>
    <cellStyle name="SAPBEXstdItem 2 2 2 4 2" xfId="22326" xr:uid="{8423899D-8653-4EBB-B343-942ED75ACCE1}"/>
    <cellStyle name="SAPBEXstdItem 2 2 2 5" xfId="22327" xr:uid="{F8A1027C-F04E-41F5-A025-663E0CE5B1A6}"/>
    <cellStyle name="SAPBEXstdItem 2 2 2 5 2" xfId="22328" xr:uid="{D17FCCCB-8376-4078-BCDB-157BD13D2FBE}"/>
    <cellStyle name="SAPBEXstdItem 2 2 2 6" xfId="22329" xr:uid="{05B67811-E4F8-4C42-A564-AD24E8E2FDC2}"/>
    <cellStyle name="SAPBEXstdItem 2 2 2 6 2" xfId="22330" xr:uid="{0B36FC66-ED8D-4B1E-B51F-933F785CFA9A}"/>
    <cellStyle name="SAPBEXstdItem 2 2 2 7" xfId="22331" xr:uid="{9FC04CD7-45B7-4F3E-9326-DAF7BBEEDDE0}"/>
    <cellStyle name="SAPBEXstdItem 2 2 2 7 2" xfId="22332" xr:uid="{D541F4D2-7525-468F-9BAE-8693090EC54D}"/>
    <cellStyle name="SAPBEXstdItem 2 2 2 8" xfId="22333" xr:uid="{37A2EAE2-7958-4661-8971-B31CA33372F9}"/>
    <cellStyle name="SAPBEXstdItem 2 2 2 8 2" xfId="22334" xr:uid="{72D3BEF3-54D3-4B70-97BC-85F036C27CA5}"/>
    <cellStyle name="SAPBEXstdItem 2 2 2 9" xfId="22335" xr:uid="{E49CEAC2-7506-4992-B4B6-2502A3FB8A8D}"/>
    <cellStyle name="SAPBEXstdItem 2 2 2 9 2" xfId="22336" xr:uid="{67D2D2D9-0CB1-4544-BC89-065E4FA649E7}"/>
    <cellStyle name="SAPBEXstdItem 2 2 3" xfId="22337" xr:uid="{B89407E7-EF5B-4C7F-AD8B-F427730C74E7}"/>
    <cellStyle name="SAPBEXstdItem 2 2 3 10" xfId="22338" xr:uid="{81C62BFD-48BD-4DA4-B8AE-D483DFDBF350}"/>
    <cellStyle name="SAPBEXstdItem 2 2 3 10 2" xfId="22339" xr:uid="{0C828FC8-874A-4203-B240-3C2EA2D06C86}"/>
    <cellStyle name="SAPBEXstdItem 2 2 3 11" xfId="22340" xr:uid="{54C3DCA5-C375-44B5-9E1F-A331621B38EC}"/>
    <cellStyle name="SAPBEXstdItem 2 2 3 11 2" xfId="22341" xr:uid="{6F00AEE3-85FB-4147-87FC-71DCC1DB3AD3}"/>
    <cellStyle name="SAPBEXstdItem 2 2 3 12" xfId="22342" xr:uid="{2CD1A232-249B-4585-9201-4B148DC9714D}"/>
    <cellStyle name="SAPBEXstdItem 2 2 3 12 2" xfId="22343" xr:uid="{5C29C3BF-F762-4DCC-B778-80CB4F02A594}"/>
    <cellStyle name="SAPBEXstdItem 2 2 3 13" xfId="22344" xr:uid="{3067410F-E1FF-4134-8ADB-6403CD78C7B3}"/>
    <cellStyle name="SAPBEXstdItem 2 2 3 13 2" xfId="22345" xr:uid="{FE755B46-4504-43F2-BAC3-8F8908512DBD}"/>
    <cellStyle name="SAPBEXstdItem 2 2 3 14" xfId="22346" xr:uid="{10BA7FA3-3FF0-4BED-844F-A63F1E9898DD}"/>
    <cellStyle name="SAPBEXstdItem 2 2 3 14 2" xfId="22347" xr:uid="{ADE79834-BD7E-4FB4-838D-5E2FFD79DE53}"/>
    <cellStyle name="SAPBEXstdItem 2 2 3 15" xfId="22348" xr:uid="{3C7ADC71-4F1E-4C50-BF00-EB8855214156}"/>
    <cellStyle name="SAPBEXstdItem 2 2 3 15 2" xfId="22349" xr:uid="{BC1AC404-AD31-4408-BB31-D19601374ACE}"/>
    <cellStyle name="SAPBEXstdItem 2 2 3 2" xfId="22350" xr:uid="{EB8ACB20-635F-4410-AB41-38B599FF45A7}"/>
    <cellStyle name="SAPBEXstdItem 2 2 3 2 2" xfId="22351" xr:uid="{3DB102CB-0300-4996-8D92-2CB86AB652EF}"/>
    <cellStyle name="SAPBEXstdItem 2 2 3 3" xfId="22352" xr:uid="{2A597CDD-E9FF-4390-9EE0-0AC92D4EB345}"/>
    <cellStyle name="SAPBEXstdItem 2 2 3 3 2" xfId="22353" xr:uid="{E5E13EA4-7DE9-497B-9D27-C42E540B457E}"/>
    <cellStyle name="SAPBEXstdItem 2 2 3 4" xfId="22354" xr:uid="{787EA2D6-6B45-45BD-A028-7D3E3FADBC19}"/>
    <cellStyle name="SAPBEXstdItem 2 2 3 4 2" xfId="22355" xr:uid="{78671409-6A25-48EB-9553-64B4717B3574}"/>
    <cellStyle name="SAPBEXstdItem 2 2 3 5" xfId="22356" xr:uid="{96D9F339-0591-4336-B2C6-1C05E9211C79}"/>
    <cellStyle name="SAPBEXstdItem 2 2 3 5 2" xfId="22357" xr:uid="{159DAA3A-502F-4498-B267-D2FCA1B56331}"/>
    <cellStyle name="SAPBEXstdItem 2 2 3 6" xfId="22358" xr:uid="{9055B057-F8B1-4DA9-926C-C66662B1FE48}"/>
    <cellStyle name="SAPBEXstdItem 2 2 3 6 2" xfId="22359" xr:uid="{D7CF1D4C-C60E-4087-877E-3CB8B5BE117D}"/>
    <cellStyle name="SAPBEXstdItem 2 2 3 7" xfId="22360" xr:uid="{9CBC7088-1125-43F8-8161-98D8AEA5E856}"/>
    <cellStyle name="SAPBEXstdItem 2 2 3 7 2" xfId="22361" xr:uid="{CA0849CE-7087-4DAD-9575-24AE0ACE9487}"/>
    <cellStyle name="SAPBEXstdItem 2 2 3 8" xfId="22362" xr:uid="{DEC88998-62FC-47CB-8978-0A52B3D334F6}"/>
    <cellStyle name="SAPBEXstdItem 2 2 3 8 2" xfId="22363" xr:uid="{557555B6-113A-4C4F-AD04-273897C6ABE5}"/>
    <cellStyle name="SAPBEXstdItem 2 2 3 9" xfId="22364" xr:uid="{CFEB873F-2007-4504-9BFA-76A056AABBA4}"/>
    <cellStyle name="SAPBEXstdItem 2 2 3 9 2" xfId="22365" xr:uid="{7FF260DC-1555-4408-9789-A4F9B10980A5}"/>
    <cellStyle name="SAPBEXstdItem 2 2 4" xfId="22366" xr:uid="{33D467BD-5395-47E6-BA91-B27621E27ACF}"/>
    <cellStyle name="SAPBEXstdItem 2 2 4 2" xfId="22367" xr:uid="{C2114782-DF51-4C8C-8912-042662AF9DC1}"/>
    <cellStyle name="SAPBEXstdItem 2 2 5" xfId="22368" xr:uid="{87CF596D-4FA6-4FA1-ADD8-12A621FEC55C}"/>
    <cellStyle name="SAPBEXstdItem 2 2 5 2" xfId="22369" xr:uid="{2966950B-890D-45AA-97D0-91E3618CD1BD}"/>
    <cellStyle name="SAPBEXstdItem 2 2 6" xfId="22370" xr:uid="{C146CCBF-4E13-45BE-BD7B-E146AD8693EF}"/>
    <cellStyle name="SAPBEXstdItem 2 2 6 2" xfId="22371" xr:uid="{75C936EF-F750-4A18-80CB-5CB6AF3FE407}"/>
    <cellStyle name="SAPBEXstdItem 2 2 7" xfId="22372" xr:uid="{F1574A0E-8E43-498B-8D71-70D6CCD1A4F1}"/>
    <cellStyle name="SAPBEXstdItem 2 2 7 2" xfId="22373" xr:uid="{8AB19939-8495-4C41-AE0D-92DBF2E85B9A}"/>
    <cellStyle name="SAPBEXstdItem 2 2 8" xfId="22374" xr:uid="{1EE96C73-1AD8-4287-A250-5380D05DEE97}"/>
    <cellStyle name="SAPBEXstdItem 2 2 8 2" xfId="22375" xr:uid="{7E45384D-2683-45BF-94DC-7E0474FA605A}"/>
    <cellStyle name="SAPBEXstdItem 2 2 9" xfId="22376" xr:uid="{568DD80B-69E7-4214-988E-76B6462EBA9A}"/>
    <cellStyle name="SAPBEXstdItem 2 2 9 2" xfId="22377" xr:uid="{E3249ABE-C600-42C1-8D2B-66A1EFBEC443}"/>
    <cellStyle name="SAPBEXstdItem 2 3" xfId="22378" xr:uid="{438591C5-F7DC-48CF-A6FF-B97ECC3FB988}"/>
    <cellStyle name="SAPBEXstdItem 2 3 10" xfId="22379" xr:uid="{2290D767-56DC-4346-A2A4-92042AD174B6}"/>
    <cellStyle name="SAPBEXstdItem 2 3 10 2" xfId="22380" xr:uid="{4E8041D4-9CD7-4416-AB18-560EFDE16086}"/>
    <cellStyle name="SAPBEXstdItem 2 3 11" xfId="22381" xr:uid="{B2413622-1B40-47DD-B22F-2D8EB0CBC7E9}"/>
    <cellStyle name="SAPBEXstdItem 2 3 11 2" xfId="22382" xr:uid="{AD68B07B-F12E-4367-B36B-D988BA717ADD}"/>
    <cellStyle name="SAPBEXstdItem 2 3 12" xfId="22383" xr:uid="{5930CFCF-E371-45D1-9331-117231C63E0D}"/>
    <cellStyle name="SAPBEXstdItem 2 3 12 2" xfId="22384" xr:uid="{7B240873-4E71-40E5-B354-1DED86A0807B}"/>
    <cellStyle name="SAPBEXstdItem 2 3 13" xfId="22385" xr:uid="{EF075649-691D-4B9F-9A0A-FC41738CC5FA}"/>
    <cellStyle name="SAPBEXstdItem 2 3 13 2" xfId="22386" xr:uid="{92F684CD-28D4-4D1A-9582-349D8E7BA11D}"/>
    <cellStyle name="SAPBEXstdItem 2 3 14" xfId="22387" xr:uid="{0289E3B8-ADD7-4B12-AD2A-5D321657267A}"/>
    <cellStyle name="SAPBEXstdItem 2 3 14 2" xfId="22388" xr:uid="{614327B6-1B21-4F01-8155-6FA2448B2BFC}"/>
    <cellStyle name="SAPBEXstdItem 2 3 15" xfId="22389" xr:uid="{1207187A-9E6C-493F-8085-AB8FD3A31E2F}"/>
    <cellStyle name="SAPBEXstdItem 2 3 15 2" xfId="22390" xr:uid="{CAFC6DE0-95D5-46EE-86B9-EF467FBA36D4}"/>
    <cellStyle name="SAPBEXstdItem 2 3 16" xfId="22391" xr:uid="{936510B3-4462-4947-AEC2-D424B4595CE3}"/>
    <cellStyle name="SAPBEXstdItem 2 3 16 2" xfId="22392" xr:uid="{39173C7A-0617-4DFC-875D-BABA24BA5485}"/>
    <cellStyle name="SAPBEXstdItem 2 3 17" xfId="22393" xr:uid="{E5234C80-B52F-4A6F-964D-20AAF30E082A}"/>
    <cellStyle name="SAPBEXstdItem 2 3 17 2" xfId="22394" xr:uid="{D283C5A7-9D9E-49AB-BBDB-73D0406E34A7}"/>
    <cellStyle name="SAPBEXstdItem 2 3 2" xfId="22395" xr:uid="{C7956510-1193-4B39-8576-1A6743F0A640}"/>
    <cellStyle name="SAPBEXstdItem 2 3 2 10" xfId="22396" xr:uid="{F23745E8-F4C7-48B4-AD96-E0F26DAD97C3}"/>
    <cellStyle name="SAPBEXstdItem 2 3 2 10 2" xfId="22397" xr:uid="{7125B90D-7209-46C0-ACE3-963B8C9D8BAE}"/>
    <cellStyle name="SAPBEXstdItem 2 3 2 11" xfId="22398" xr:uid="{BC924452-A9C6-4E19-83BD-ED2308A9C5CF}"/>
    <cellStyle name="SAPBEXstdItem 2 3 2 11 2" xfId="22399" xr:uid="{54C9672B-6148-438C-B646-555E6FA5FB3D}"/>
    <cellStyle name="SAPBEXstdItem 2 3 2 12" xfId="22400" xr:uid="{06176B58-C2B5-4B8A-AF95-43DA5F631264}"/>
    <cellStyle name="SAPBEXstdItem 2 3 2 12 2" xfId="22401" xr:uid="{45765D19-2947-4C02-A543-F80D8994AC01}"/>
    <cellStyle name="SAPBEXstdItem 2 3 2 13" xfId="22402" xr:uid="{8D5CA147-FFD1-4451-AF48-01CB7DD05DF8}"/>
    <cellStyle name="SAPBEXstdItem 2 3 2 13 2" xfId="22403" xr:uid="{14AD9316-1FB6-4DEA-9323-0F9AC1A82A26}"/>
    <cellStyle name="SAPBEXstdItem 2 3 2 14" xfId="22404" xr:uid="{6F61B5FC-0D50-4651-9E59-9034181BF40D}"/>
    <cellStyle name="SAPBEXstdItem 2 3 2 14 2" xfId="22405" xr:uid="{0A4440AD-47F0-4068-BF86-0F42B8FFD8CC}"/>
    <cellStyle name="SAPBEXstdItem 2 3 2 15" xfId="22406" xr:uid="{BE05C33C-8FD1-4C53-81D2-A3FA3BF0086B}"/>
    <cellStyle name="SAPBEXstdItem 2 3 2 15 2" xfId="22407" xr:uid="{93EBFA05-AAB8-4E1F-82F2-F1659DDBE587}"/>
    <cellStyle name="SAPBEXstdItem 2 3 2 2" xfId="22408" xr:uid="{DD16C65E-77B8-4B2D-9ADA-33323AF247B9}"/>
    <cellStyle name="SAPBEXstdItem 2 3 2 2 2" xfId="22409" xr:uid="{4268770C-608D-43E4-A05B-287E35F5F1C9}"/>
    <cellStyle name="SAPBEXstdItem 2 3 2 3" xfId="22410" xr:uid="{3F307934-4679-4254-A32C-CBBEF9BC7913}"/>
    <cellStyle name="SAPBEXstdItem 2 3 2 3 2" xfId="22411" xr:uid="{3A37927D-2D2F-40F2-B0BC-23EF120F74C5}"/>
    <cellStyle name="SAPBEXstdItem 2 3 2 4" xfId="22412" xr:uid="{F111E661-C9CB-44D1-B098-E847260AE022}"/>
    <cellStyle name="SAPBEXstdItem 2 3 2 4 2" xfId="22413" xr:uid="{6EFD4A56-3FFE-40D4-ABE3-5ADC4F5A67D8}"/>
    <cellStyle name="SAPBEXstdItem 2 3 2 5" xfId="22414" xr:uid="{804808EC-B079-477B-8DCE-9F0A6312BE75}"/>
    <cellStyle name="SAPBEXstdItem 2 3 2 5 2" xfId="22415" xr:uid="{D4E87C41-80E2-473F-BC78-FBE0D7B4F0A3}"/>
    <cellStyle name="SAPBEXstdItem 2 3 2 6" xfId="22416" xr:uid="{8B312C60-3555-4669-BA59-3DAE48076BD5}"/>
    <cellStyle name="SAPBEXstdItem 2 3 2 6 2" xfId="22417" xr:uid="{F868025E-B8FA-495B-9ECF-0234CD288FCD}"/>
    <cellStyle name="SAPBEXstdItem 2 3 2 7" xfId="22418" xr:uid="{5C4322DD-6CA9-4CE0-AD54-3F0DF1A3C878}"/>
    <cellStyle name="SAPBEXstdItem 2 3 2 7 2" xfId="22419" xr:uid="{9636CE77-D0C8-4ACA-BF6F-F24B16E3F843}"/>
    <cellStyle name="SAPBEXstdItem 2 3 2 8" xfId="22420" xr:uid="{674D399C-E05B-4C19-B802-5E62E7933BEA}"/>
    <cellStyle name="SAPBEXstdItem 2 3 2 8 2" xfId="22421" xr:uid="{744A03E4-38EC-4696-8193-230E8F95180F}"/>
    <cellStyle name="SAPBEXstdItem 2 3 2 9" xfId="22422" xr:uid="{ED765276-28D8-4B48-B427-3295251DBA85}"/>
    <cellStyle name="SAPBEXstdItem 2 3 2 9 2" xfId="22423" xr:uid="{9FEA4047-2015-43A4-AC71-9DC3B8BE0FEF}"/>
    <cellStyle name="SAPBEXstdItem 2 3 3" xfId="22424" xr:uid="{351B8667-7791-482C-A5EB-D15A8042491D}"/>
    <cellStyle name="SAPBEXstdItem 2 3 3 10" xfId="22425" xr:uid="{2CE120F3-E4D6-4C7E-A9F4-FD60CB95DBFE}"/>
    <cellStyle name="SAPBEXstdItem 2 3 3 10 2" xfId="22426" xr:uid="{266C5DD1-1E4A-4E9B-9FD3-BCA612070963}"/>
    <cellStyle name="SAPBEXstdItem 2 3 3 11" xfId="22427" xr:uid="{9B5F2F07-2BC1-40D2-BA93-2DD3432A724B}"/>
    <cellStyle name="SAPBEXstdItem 2 3 3 11 2" xfId="22428" xr:uid="{983C4485-D210-4E24-A587-C7A83C21DF1B}"/>
    <cellStyle name="SAPBEXstdItem 2 3 3 12" xfId="22429" xr:uid="{F3467317-5E9C-4214-A007-70D0A482925D}"/>
    <cellStyle name="SAPBEXstdItem 2 3 3 12 2" xfId="22430" xr:uid="{0160F267-5ACE-4649-8981-ADF66E8FF875}"/>
    <cellStyle name="SAPBEXstdItem 2 3 3 13" xfId="22431" xr:uid="{69938717-D2C3-4225-9D4B-4E6860A5FE59}"/>
    <cellStyle name="SAPBEXstdItem 2 3 3 13 2" xfId="22432" xr:uid="{E47EBE95-34F4-4040-BE01-9F56AABB1DA5}"/>
    <cellStyle name="SAPBEXstdItem 2 3 3 14" xfId="22433" xr:uid="{A2FD82E7-47B9-41D1-BB65-4059B96C4EE1}"/>
    <cellStyle name="SAPBEXstdItem 2 3 3 14 2" xfId="22434" xr:uid="{4B3FBBC8-D93A-4C18-867E-A9D5666B65D1}"/>
    <cellStyle name="SAPBEXstdItem 2 3 3 15" xfId="22435" xr:uid="{4AAA18F2-087A-45CD-AE93-B8EA8F793C7B}"/>
    <cellStyle name="SAPBEXstdItem 2 3 3 15 2" xfId="22436" xr:uid="{85261C50-DAE9-474D-8BC3-716DD4666ADE}"/>
    <cellStyle name="SAPBEXstdItem 2 3 3 2" xfId="22437" xr:uid="{6704349B-8531-4BEF-BAE8-32063314406A}"/>
    <cellStyle name="SAPBEXstdItem 2 3 3 2 2" xfId="22438" xr:uid="{C58CA671-9016-4AC0-8305-94FF897977E0}"/>
    <cellStyle name="SAPBEXstdItem 2 3 3 3" xfId="22439" xr:uid="{BC6281E1-44F5-41DB-B3B9-67C895E24BC1}"/>
    <cellStyle name="SAPBEXstdItem 2 3 3 3 2" xfId="22440" xr:uid="{483D0915-3522-4696-9357-52B803825D24}"/>
    <cellStyle name="SAPBEXstdItem 2 3 3 4" xfId="22441" xr:uid="{55FF0FF7-A332-4E5E-B597-D0F911B7069B}"/>
    <cellStyle name="SAPBEXstdItem 2 3 3 4 2" xfId="22442" xr:uid="{940D9D07-8C66-419B-842F-4D8FE831757B}"/>
    <cellStyle name="SAPBEXstdItem 2 3 3 5" xfId="22443" xr:uid="{015E8189-9A2A-4181-807B-8B04ECF91AF6}"/>
    <cellStyle name="SAPBEXstdItem 2 3 3 5 2" xfId="22444" xr:uid="{45963B45-3C64-42B7-B632-F4054A9CB8EB}"/>
    <cellStyle name="SAPBEXstdItem 2 3 3 6" xfId="22445" xr:uid="{A4BA49D4-D28D-40C8-B841-2B748453B981}"/>
    <cellStyle name="SAPBEXstdItem 2 3 3 6 2" xfId="22446" xr:uid="{31C53C84-607F-4D74-9D0D-53C89E74DEA4}"/>
    <cellStyle name="SAPBEXstdItem 2 3 3 7" xfId="22447" xr:uid="{EAD7AF4B-FD38-44EC-8401-28CD40970898}"/>
    <cellStyle name="SAPBEXstdItem 2 3 3 7 2" xfId="22448" xr:uid="{7657D25F-9222-4BF3-86B8-E0EF54008B2F}"/>
    <cellStyle name="SAPBEXstdItem 2 3 3 8" xfId="22449" xr:uid="{838CF294-2679-4F60-BEA4-7E92973F84DB}"/>
    <cellStyle name="SAPBEXstdItem 2 3 3 8 2" xfId="22450" xr:uid="{DFFAD905-F033-4FA4-8FEB-A5C8D5F82285}"/>
    <cellStyle name="SAPBEXstdItem 2 3 3 9" xfId="22451" xr:uid="{8A8D39DC-C28B-4CE4-AAE8-4A5C7F2491BE}"/>
    <cellStyle name="SAPBEXstdItem 2 3 3 9 2" xfId="22452" xr:uid="{2EF1CE4B-7AAE-4860-BE4B-C727402BDD0B}"/>
    <cellStyle name="SAPBEXstdItem 2 3 4" xfId="22453" xr:uid="{E2D63B05-FD15-48D0-AF7A-1E8F77FB39C8}"/>
    <cellStyle name="SAPBEXstdItem 2 3 4 2" xfId="22454" xr:uid="{B47AC0EF-D28A-4FC0-832E-A93A4F1194A6}"/>
    <cellStyle name="SAPBEXstdItem 2 3 5" xfId="22455" xr:uid="{D94B9533-1FD1-4E39-8F67-0BA092303B2E}"/>
    <cellStyle name="SAPBEXstdItem 2 3 5 2" xfId="22456" xr:uid="{3053EC1B-D90A-41C5-A61B-1B3B6D148563}"/>
    <cellStyle name="SAPBEXstdItem 2 3 6" xfId="22457" xr:uid="{F2BBD39F-27ED-47DF-A413-D3606D2BFE3F}"/>
    <cellStyle name="SAPBEXstdItem 2 3 6 2" xfId="22458" xr:uid="{2E0F52AF-7DF7-4A80-A847-0FB31ED46906}"/>
    <cellStyle name="SAPBEXstdItem 2 3 7" xfId="22459" xr:uid="{FF0BBB15-25E3-4A88-AFDA-8D48421D06CF}"/>
    <cellStyle name="SAPBEXstdItem 2 3 7 2" xfId="22460" xr:uid="{E5C4AC5D-2FBD-4C35-880A-BCCEECC5B664}"/>
    <cellStyle name="SAPBEXstdItem 2 3 8" xfId="22461" xr:uid="{A96859F7-6D97-44E8-AB3C-DDF5D321D5D5}"/>
    <cellStyle name="SAPBEXstdItem 2 3 8 2" xfId="22462" xr:uid="{636E1074-53BA-4358-8D6B-3056745E03FC}"/>
    <cellStyle name="SAPBEXstdItem 2 3 9" xfId="22463" xr:uid="{C6B29FF7-19F5-46FF-ABD6-DD2F257895A1}"/>
    <cellStyle name="SAPBEXstdItem 2 3 9 2" xfId="22464" xr:uid="{6649C17B-9D99-4AD0-9E86-7C583FCAEC4E}"/>
    <cellStyle name="SAPBEXstdItem 2 4" xfId="22465" xr:uid="{A9F977FE-18D3-47D1-9AC2-95192A976D20}"/>
    <cellStyle name="SAPBEXstdItem 2 4 10" xfId="22466" xr:uid="{3E8F627B-A5B5-4367-B178-FBEE1943F57F}"/>
    <cellStyle name="SAPBEXstdItem 2 4 10 2" xfId="22467" xr:uid="{B5C419AD-7937-4174-A2FC-C929FFA28A9E}"/>
    <cellStyle name="SAPBEXstdItem 2 4 11" xfId="22468" xr:uid="{867E6437-757B-49B7-8939-DD83098D428E}"/>
    <cellStyle name="SAPBEXstdItem 2 4 11 2" xfId="22469" xr:uid="{DA9A4D3C-F9F7-4E98-861F-5A015E674953}"/>
    <cellStyle name="SAPBEXstdItem 2 4 12" xfId="22470" xr:uid="{7CC0C46F-9524-4057-B72B-5C1295833E59}"/>
    <cellStyle name="SAPBEXstdItem 2 4 12 2" xfId="22471" xr:uid="{558E123D-6DC4-484D-9327-BE30F15E5DC0}"/>
    <cellStyle name="SAPBEXstdItem 2 4 13" xfId="22472" xr:uid="{13D17D22-85B0-42B8-8670-5A6EF34EE613}"/>
    <cellStyle name="SAPBEXstdItem 2 4 13 2" xfId="22473" xr:uid="{E4CD357D-C36F-4BB3-9A49-4CD4A2E36CB6}"/>
    <cellStyle name="SAPBEXstdItem 2 4 14" xfId="22474" xr:uid="{6435438A-A4A4-45C7-9DCF-E32E095C0F1B}"/>
    <cellStyle name="SAPBEXstdItem 2 4 14 2" xfId="22475" xr:uid="{1AA1BCA8-2CF7-416A-9AE2-75EF06C5413F}"/>
    <cellStyle name="SAPBEXstdItem 2 4 15" xfId="22476" xr:uid="{84767BA6-E32F-4BF7-9423-14F534CE5047}"/>
    <cellStyle name="SAPBEXstdItem 2 4 15 2" xfId="22477" xr:uid="{C21E0DAF-4C67-4EB7-A251-CD440CECACD7}"/>
    <cellStyle name="SAPBEXstdItem 2 4 16" xfId="22478" xr:uid="{2772DE4D-63F5-4093-A7E4-6F879963DA3E}"/>
    <cellStyle name="SAPBEXstdItem 2 4 16 2" xfId="22479" xr:uid="{2EEF094C-0875-4D9B-9750-893B0D42CE54}"/>
    <cellStyle name="SAPBEXstdItem 2 4 17" xfId="22480" xr:uid="{C5569079-EC6A-43F4-9D84-6A71EED48CE0}"/>
    <cellStyle name="SAPBEXstdItem 2 4 17 2" xfId="22481" xr:uid="{211C08A9-5E64-4F55-BC42-3A99DA4BF819}"/>
    <cellStyle name="SAPBEXstdItem 2 4 2" xfId="22482" xr:uid="{EBC0D602-5718-4BD4-9484-2E253AC7FA06}"/>
    <cellStyle name="SAPBEXstdItem 2 4 2 10" xfId="22483" xr:uid="{1DD8F774-092C-4013-9447-20D3B172E957}"/>
    <cellStyle name="SAPBEXstdItem 2 4 2 10 2" xfId="22484" xr:uid="{A8445D82-B8CB-4E5D-B913-EF7D4ABB92A6}"/>
    <cellStyle name="SAPBEXstdItem 2 4 2 11" xfId="22485" xr:uid="{E1AACEB8-D426-43D5-A47C-E8D317F7DF14}"/>
    <cellStyle name="SAPBEXstdItem 2 4 2 11 2" xfId="22486" xr:uid="{4B61EF95-672F-4750-AC26-08A66C711F7C}"/>
    <cellStyle name="SAPBEXstdItem 2 4 2 12" xfId="22487" xr:uid="{A31E9008-956B-4CA2-ACE0-E298FA2F71F4}"/>
    <cellStyle name="SAPBEXstdItem 2 4 2 12 2" xfId="22488" xr:uid="{598BA103-9026-43FD-BAA5-E91C0BC70156}"/>
    <cellStyle name="SAPBEXstdItem 2 4 2 13" xfId="22489" xr:uid="{0AFCAA04-BC62-403D-9A9D-913BB44A4BA2}"/>
    <cellStyle name="SAPBEXstdItem 2 4 2 13 2" xfId="22490" xr:uid="{78C697FD-77A1-4BD8-A079-A2E15043DA0C}"/>
    <cellStyle name="SAPBEXstdItem 2 4 2 14" xfId="22491" xr:uid="{1FC0D69B-7D29-4D0A-A5B9-1953A00181EC}"/>
    <cellStyle name="SAPBEXstdItem 2 4 2 14 2" xfId="22492" xr:uid="{0496B9F0-2598-4360-A2AF-4A61BC747B85}"/>
    <cellStyle name="SAPBEXstdItem 2 4 2 15" xfId="22493" xr:uid="{6422C336-D739-4295-A5BF-954E90EF1D1A}"/>
    <cellStyle name="SAPBEXstdItem 2 4 2 15 2" xfId="22494" xr:uid="{8DC834BA-B3AB-436C-9915-AF0AC71A0146}"/>
    <cellStyle name="SAPBEXstdItem 2 4 2 2" xfId="22495" xr:uid="{2CBB459A-1131-4B4C-B335-A002A5654119}"/>
    <cellStyle name="SAPBEXstdItem 2 4 2 2 2" xfId="22496" xr:uid="{6E2E1C04-BC74-42A3-8EEC-A62E2057F81D}"/>
    <cellStyle name="SAPBEXstdItem 2 4 2 3" xfId="22497" xr:uid="{B50C689C-C346-46A0-8771-76E970494BC2}"/>
    <cellStyle name="SAPBEXstdItem 2 4 2 3 2" xfId="22498" xr:uid="{E31183DF-1905-4B04-B3E9-754A429DFFBD}"/>
    <cellStyle name="SAPBEXstdItem 2 4 2 4" xfId="22499" xr:uid="{D5EA3B9D-046B-450E-8EB9-9A6F4AA9AA82}"/>
    <cellStyle name="SAPBEXstdItem 2 4 2 4 2" xfId="22500" xr:uid="{F6DF80C4-F52C-46E1-8B44-0EB5F80F465C}"/>
    <cellStyle name="SAPBEXstdItem 2 4 2 5" xfId="22501" xr:uid="{8B01F365-2A89-4B2A-85A6-9FB41CFAF1B4}"/>
    <cellStyle name="SAPBEXstdItem 2 4 2 5 2" xfId="22502" xr:uid="{058A68EB-23E2-4B8E-853D-C165894C6239}"/>
    <cellStyle name="SAPBEXstdItem 2 4 2 6" xfId="22503" xr:uid="{24731909-AC1A-408B-A349-073DFF1ACB11}"/>
    <cellStyle name="SAPBEXstdItem 2 4 2 6 2" xfId="22504" xr:uid="{A40733CB-42BC-472E-9667-3BDF59D57603}"/>
    <cellStyle name="SAPBEXstdItem 2 4 2 7" xfId="22505" xr:uid="{7A6987C2-7F3C-4091-B5DD-D518E5469544}"/>
    <cellStyle name="SAPBEXstdItem 2 4 2 7 2" xfId="22506" xr:uid="{573836E9-5299-4A3F-8A83-3B316E1CCCD0}"/>
    <cellStyle name="SAPBEXstdItem 2 4 2 8" xfId="22507" xr:uid="{F4B36DFB-A086-4EA7-A9D2-DE920440D6A4}"/>
    <cellStyle name="SAPBEXstdItem 2 4 2 8 2" xfId="22508" xr:uid="{5F702817-E91E-44BA-932F-EADCE90A4D8D}"/>
    <cellStyle name="SAPBEXstdItem 2 4 2 9" xfId="22509" xr:uid="{3C5F929A-33D6-4680-976C-6B326C6D5CB0}"/>
    <cellStyle name="SAPBEXstdItem 2 4 2 9 2" xfId="22510" xr:uid="{5E212589-1A3F-43DF-876E-CCA14CFB32D2}"/>
    <cellStyle name="SAPBEXstdItem 2 4 3" xfId="22511" xr:uid="{11C15EC4-18EE-4425-887A-834C75216088}"/>
    <cellStyle name="SAPBEXstdItem 2 4 3 10" xfId="22512" xr:uid="{6F5C4BA7-DFA3-470F-AF4D-68F1F06D2EA4}"/>
    <cellStyle name="SAPBEXstdItem 2 4 3 10 2" xfId="22513" xr:uid="{7BA68235-ABBE-4E73-AB90-4F6978E546AC}"/>
    <cellStyle name="SAPBEXstdItem 2 4 3 11" xfId="22514" xr:uid="{7FEB3A39-CD59-4435-9158-4074AAB31FAC}"/>
    <cellStyle name="SAPBEXstdItem 2 4 3 11 2" xfId="22515" xr:uid="{B385F0BB-1384-4CDD-BF2C-E21DC1DBEA40}"/>
    <cellStyle name="SAPBEXstdItem 2 4 3 12" xfId="22516" xr:uid="{95D6E3BF-822D-469D-A9AB-16C2D51C72CF}"/>
    <cellStyle name="SAPBEXstdItem 2 4 3 12 2" xfId="22517" xr:uid="{E197CBA1-B85D-4B3D-BE65-82C53F98F93E}"/>
    <cellStyle name="SAPBEXstdItem 2 4 3 13" xfId="22518" xr:uid="{1469D245-605D-412F-AEC4-FE37963A7694}"/>
    <cellStyle name="SAPBEXstdItem 2 4 3 13 2" xfId="22519" xr:uid="{83FEBE22-61AD-43D9-A99A-922B503FA4C9}"/>
    <cellStyle name="SAPBEXstdItem 2 4 3 14" xfId="22520" xr:uid="{841CEDB7-DF93-428E-AEC1-C686DC728E13}"/>
    <cellStyle name="SAPBEXstdItem 2 4 3 14 2" xfId="22521" xr:uid="{84F1C919-FA61-442C-B15D-66B3F17F9233}"/>
    <cellStyle name="SAPBEXstdItem 2 4 3 15" xfId="22522" xr:uid="{FD30EEC3-F584-424C-8D0A-A82070AF3A1A}"/>
    <cellStyle name="SAPBEXstdItem 2 4 3 15 2" xfId="22523" xr:uid="{DDB199CE-F8FF-4811-8DE7-E073FAD622A9}"/>
    <cellStyle name="SAPBEXstdItem 2 4 3 2" xfId="22524" xr:uid="{9A9C8BAB-7EE9-4F3E-AA65-EC997C305B3A}"/>
    <cellStyle name="SAPBEXstdItem 2 4 3 2 2" xfId="22525" xr:uid="{ED76D2CB-41D7-4B85-911E-9C324D2FDBAE}"/>
    <cellStyle name="SAPBEXstdItem 2 4 3 3" xfId="22526" xr:uid="{8EB395EA-2712-4012-A052-30F042A06A3E}"/>
    <cellStyle name="SAPBEXstdItem 2 4 3 3 2" xfId="22527" xr:uid="{1112F464-62EB-46EB-A171-67538D9A7E27}"/>
    <cellStyle name="SAPBEXstdItem 2 4 3 4" xfId="22528" xr:uid="{8CE28131-3B95-49B0-B055-BC8C6A737970}"/>
    <cellStyle name="SAPBEXstdItem 2 4 3 4 2" xfId="22529" xr:uid="{0F02B4A9-67D2-4FA2-9486-E99D71524BBB}"/>
    <cellStyle name="SAPBEXstdItem 2 4 3 5" xfId="22530" xr:uid="{8AB304B4-105F-4D0F-9847-8B98ACAA9EC1}"/>
    <cellStyle name="SAPBEXstdItem 2 4 3 5 2" xfId="22531" xr:uid="{869A42E0-B015-479D-AE60-3C4DCD96C72C}"/>
    <cellStyle name="SAPBEXstdItem 2 4 3 6" xfId="22532" xr:uid="{953B50A7-14EA-4817-A822-4CEC23E945BD}"/>
    <cellStyle name="SAPBEXstdItem 2 4 3 6 2" xfId="22533" xr:uid="{D5745FB5-7EC5-43DF-A3A0-FA260FF1DDC4}"/>
    <cellStyle name="SAPBEXstdItem 2 4 3 7" xfId="22534" xr:uid="{0F97B74E-BEC7-47C1-A4BB-EA9BC1DBD7FE}"/>
    <cellStyle name="SAPBEXstdItem 2 4 3 7 2" xfId="22535" xr:uid="{1E119D17-6AE5-4E45-9730-6BB434F97FEA}"/>
    <cellStyle name="SAPBEXstdItem 2 4 3 8" xfId="22536" xr:uid="{FC283BC9-7EE9-4501-BA21-2486CDA2296F}"/>
    <cellStyle name="SAPBEXstdItem 2 4 3 8 2" xfId="22537" xr:uid="{6CF8C25B-BD77-469D-A2DA-30C8E7BF519B}"/>
    <cellStyle name="SAPBEXstdItem 2 4 3 9" xfId="22538" xr:uid="{6DF7D8B0-A40F-4782-A00B-E3C16678B280}"/>
    <cellStyle name="SAPBEXstdItem 2 4 3 9 2" xfId="22539" xr:uid="{01B54960-38BA-4F73-85B8-7748E911CBFA}"/>
    <cellStyle name="SAPBEXstdItem 2 4 4" xfId="22540" xr:uid="{1D467656-01C8-448F-985A-B18BAED757B8}"/>
    <cellStyle name="SAPBEXstdItem 2 4 4 2" xfId="22541" xr:uid="{F5827EE6-BF10-426D-8045-D121C266EBFB}"/>
    <cellStyle name="SAPBEXstdItem 2 4 5" xfId="22542" xr:uid="{F3A39D21-0D3B-4A40-94B7-335FEBF80F58}"/>
    <cellStyle name="SAPBEXstdItem 2 4 5 2" xfId="22543" xr:uid="{FCA58467-664B-4F0E-B200-0DDC0ED7487D}"/>
    <cellStyle name="SAPBEXstdItem 2 4 6" xfId="22544" xr:uid="{66EEA79D-55C3-493D-8999-15C8AD6B9EA4}"/>
    <cellStyle name="SAPBEXstdItem 2 4 6 2" xfId="22545" xr:uid="{21D6B9EB-C0E8-476B-84AF-8BAE8FADC194}"/>
    <cellStyle name="SAPBEXstdItem 2 4 7" xfId="22546" xr:uid="{5DEE05DA-DC15-4E2E-813F-C0BD0A0F01B4}"/>
    <cellStyle name="SAPBEXstdItem 2 4 7 2" xfId="22547" xr:uid="{293F706E-E7DC-4C1D-83E2-B4FF1E382651}"/>
    <cellStyle name="SAPBEXstdItem 2 4 8" xfId="22548" xr:uid="{5CE55A8A-5360-48A1-93EE-A83D72223448}"/>
    <cellStyle name="SAPBEXstdItem 2 4 8 2" xfId="22549" xr:uid="{EFA24E0A-5105-414F-84C0-29E2E583E4ED}"/>
    <cellStyle name="SAPBEXstdItem 2 4 9" xfId="22550" xr:uid="{9FEC34DE-2051-4D4D-968A-D28B7A6FD1D0}"/>
    <cellStyle name="SAPBEXstdItem 2 4 9 2" xfId="22551" xr:uid="{A957DF55-8644-4F6A-B3FD-D85E7FD8F697}"/>
    <cellStyle name="SAPBEXstdItem 2 5" xfId="22552" xr:uid="{FE41F970-316F-4469-A833-2FDED22C6748}"/>
    <cellStyle name="SAPBEXstdItem 2 5 2" xfId="22553" xr:uid="{C3274143-E1D5-48B6-9544-A632A043CA24}"/>
    <cellStyle name="SAPBEXstdItem 2 6" xfId="22554" xr:uid="{A9B44282-FC73-426D-A8BC-A90A4E8FDCEF}"/>
    <cellStyle name="SAPBEXstdItem 2 6 2" xfId="22555" xr:uid="{B5DDB184-81BE-4A6E-81A9-A52B7D20F463}"/>
    <cellStyle name="SAPBEXstdItem 2 7" xfId="22556" xr:uid="{BB6121A0-93F9-4189-9540-237E3D2F6134}"/>
    <cellStyle name="SAPBEXstdItem 2 7 2" xfId="22557" xr:uid="{54946CEA-5701-4115-BB2B-0F895934EB74}"/>
    <cellStyle name="SAPBEXstdItem 2 8" xfId="22558" xr:uid="{758B4C60-40D0-4D38-80D4-A3FF7C6689C2}"/>
    <cellStyle name="SAPBEXstdItem 2 8 2" xfId="22559" xr:uid="{8F03A383-B2B9-4AF0-864D-16E84FDC2B01}"/>
    <cellStyle name="SAPBEXstdItem 2 9" xfId="22560" xr:uid="{6325D6CB-D849-4806-93C1-C4617CD551C2}"/>
    <cellStyle name="SAPBEXstdItem 2 9 2" xfId="22561" xr:uid="{DF9CA668-8D74-4121-AB1C-8CF443B6C4A3}"/>
    <cellStyle name="SAPBEXstdItem 2_T1 ANSP" xfId="22272" xr:uid="{43A86C64-ADFA-41F7-B8E5-34EC52A8F62C}"/>
    <cellStyle name="SAPBEXstdItem 20" xfId="22562" xr:uid="{19C2B4B6-EB3A-4AE2-B767-F1697E913FA7}"/>
    <cellStyle name="SAPBEXstdItem 3" xfId="1532" xr:uid="{00000000-0005-0000-0000-0000B7050000}"/>
    <cellStyle name="SAPBEXstdItem 3 10" xfId="22564" xr:uid="{96F0DFF5-4361-4948-B270-32EBD15AC035}"/>
    <cellStyle name="SAPBEXstdItem 3 10 2" xfId="22565" xr:uid="{87CDEB0A-5778-41F1-940C-B1185D7F51E5}"/>
    <cellStyle name="SAPBEXstdItem 3 11" xfId="22566" xr:uid="{886DC478-547D-4670-9588-AF7345D942B2}"/>
    <cellStyle name="SAPBEXstdItem 3 11 2" xfId="22567" xr:uid="{BF224751-C964-4303-9001-62D9A070F91E}"/>
    <cellStyle name="SAPBEXstdItem 3 12" xfId="22568" xr:uid="{9BC55AAF-F5C3-4BED-AC5A-9BD3CF3C7807}"/>
    <cellStyle name="SAPBEXstdItem 3 12 2" xfId="22569" xr:uid="{80B376E7-12AE-4978-8E05-BB37B63A30BC}"/>
    <cellStyle name="SAPBEXstdItem 3 13" xfId="22570" xr:uid="{0E3467EA-C3ED-4EF4-98FE-2AE2F97A36F8}"/>
    <cellStyle name="SAPBEXstdItem 3 13 2" xfId="22571" xr:uid="{46E6BDC3-70D6-477D-8123-77831F58AEF4}"/>
    <cellStyle name="SAPBEXstdItem 3 14" xfId="22572" xr:uid="{5049EBF9-2FAE-42D7-96CF-7F78478BCE3F}"/>
    <cellStyle name="SAPBEXstdItem 3 14 2" xfId="22573" xr:uid="{06CBE971-CF98-48C4-97B0-F1CB5A7526D9}"/>
    <cellStyle name="SAPBEXstdItem 3 15" xfId="22574" xr:uid="{58260DCD-E546-4E64-A788-4A39D1FD6120}"/>
    <cellStyle name="SAPBEXstdItem 3 15 2" xfId="22575" xr:uid="{6962E582-72C4-4189-BCE8-95FBE68E5364}"/>
    <cellStyle name="SAPBEXstdItem 3 16" xfId="22576" xr:uid="{4348A33A-DF15-446E-A32F-F723BB30E38E}"/>
    <cellStyle name="SAPBEXstdItem 3 16 2" xfId="22577" xr:uid="{CA262336-2E21-4F66-837F-84419FABABBC}"/>
    <cellStyle name="SAPBEXstdItem 3 17" xfId="22578" xr:uid="{0384F536-A067-45A1-8A9C-519930FCC824}"/>
    <cellStyle name="SAPBEXstdItem 3 17 2" xfId="22579" xr:uid="{48BE6246-FEB7-4702-AF68-BA5036CAC352}"/>
    <cellStyle name="SAPBEXstdItem 3 18" xfId="22580" xr:uid="{3C6CA672-DF06-44BC-929B-377D5A2FEA0D}"/>
    <cellStyle name="SAPBEXstdItem 3 2" xfId="22581" xr:uid="{5DB4F649-95E0-496A-9F7E-37F8E9DCAC7E}"/>
    <cellStyle name="SAPBEXstdItem 3 2 10" xfId="22582" xr:uid="{ADF51618-5AA5-4B49-8238-1289805AA1E8}"/>
    <cellStyle name="SAPBEXstdItem 3 2 10 2" xfId="22583" xr:uid="{AB92F90C-7647-4B04-93AF-B79AA6A8129C}"/>
    <cellStyle name="SAPBEXstdItem 3 2 11" xfId="22584" xr:uid="{EBE8A267-DB28-4B73-8118-D9F972ACEBD5}"/>
    <cellStyle name="SAPBEXstdItem 3 2 11 2" xfId="22585" xr:uid="{24F74AF9-627D-413D-9548-27DEAB77DDB5}"/>
    <cellStyle name="SAPBEXstdItem 3 2 12" xfId="22586" xr:uid="{12C40FAA-116C-48FE-B153-91E2BF1EF973}"/>
    <cellStyle name="SAPBEXstdItem 3 2 12 2" xfId="22587" xr:uid="{E2180A50-B229-454F-BA26-58D930F21DEC}"/>
    <cellStyle name="SAPBEXstdItem 3 2 13" xfId="22588" xr:uid="{24F40990-26F2-4C15-AAED-4263E40D64A6}"/>
    <cellStyle name="SAPBEXstdItem 3 2 13 2" xfId="22589" xr:uid="{DEF372C8-9EE4-4178-9F84-0A92A26F9BF9}"/>
    <cellStyle name="SAPBEXstdItem 3 2 14" xfId="22590" xr:uid="{775DDE56-385A-4B76-8AD0-912AF6885A89}"/>
    <cellStyle name="SAPBEXstdItem 3 2 14 2" xfId="22591" xr:uid="{1E3F83AE-A1C0-4983-91AE-ED6166CA5729}"/>
    <cellStyle name="SAPBEXstdItem 3 2 15" xfId="22592" xr:uid="{A8621DAE-59AE-4509-A7E9-533FE0D3CFBE}"/>
    <cellStyle name="SAPBEXstdItem 3 2 15 2" xfId="22593" xr:uid="{B7B4DF79-F83F-40FE-96DB-075D5B03C302}"/>
    <cellStyle name="SAPBEXstdItem 3 2 16" xfId="22594" xr:uid="{71C09FD1-782E-4494-ABE6-642DC01C75B8}"/>
    <cellStyle name="SAPBEXstdItem 3 2 2" xfId="22595" xr:uid="{92306A0B-6153-4B73-BE03-F08936FE7447}"/>
    <cellStyle name="SAPBEXstdItem 3 2 2 2" xfId="22596" xr:uid="{B12FC1A2-B719-45B4-BA2D-F7456480C1BB}"/>
    <cellStyle name="SAPBEXstdItem 3 2 3" xfId="22597" xr:uid="{48CF453F-6B7A-41FF-B542-892FFBA7E2A7}"/>
    <cellStyle name="SAPBEXstdItem 3 2 3 2" xfId="22598" xr:uid="{F433740C-ECCE-473A-9888-56A9F17EA33F}"/>
    <cellStyle name="SAPBEXstdItem 3 2 4" xfId="22599" xr:uid="{6895FCCC-BB5C-4976-A088-BB90BD85512F}"/>
    <cellStyle name="SAPBEXstdItem 3 2 4 2" xfId="22600" xr:uid="{FB4EBC7A-6941-486B-8626-EDE3F0BCDCDD}"/>
    <cellStyle name="SAPBEXstdItem 3 2 5" xfId="22601" xr:uid="{DCF2B07B-C69F-4EAB-9A52-653F10D60C93}"/>
    <cellStyle name="SAPBEXstdItem 3 2 5 2" xfId="22602" xr:uid="{07BD4628-CCE1-48E2-BB33-45867B2B202F}"/>
    <cellStyle name="SAPBEXstdItem 3 2 6" xfId="22603" xr:uid="{0741B2A8-3BD7-4F31-B4DE-D1E3FED0A97F}"/>
    <cellStyle name="SAPBEXstdItem 3 2 6 2" xfId="22604" xr:uid="{849FD41F-B792-4B8A-B387-6069BE83CA66}"/>
    <cellStyle name="SAPBEXstdItem 3 2 7" xfId="22605" xr:uid="{A520FC1A-CFF9-45CA-9048-AB53F2711792}"/>
    <cellStyle name="SAPBEXstdItem 3 2 7 2" xfId="22606" xr:uid="{9811DBC4-E9FF-48A8-82E0-664E26525390}"/>
    <cellStyle name="SAPBEXstdItem 3 2 8" xfId="22607" xr:uid="{BFD89959-525B-4EEF-B34B-87879AC73900}"/>
    <cellStyle name="SAPBEXstdItem 3 2 8 2" xfId="22608" xr:uid="{33AED358-8B9E-4F7C-B0BF-FAA257778285}"/>
    <cellStyle name="SAPBEXstdItem 3 2 9" xfId="22609" xr:uid="{B1655E39-DDFD-414F-B21F-DB49A98FAFFA}"/>
    <cellStyle name="SAPBEXstdItem 3 2 9 2" xfId="22610" xr:uid="{7AAB79DA-5E81-40BA-B92A-1EFEB05F9D57}"/>
    <cellStyle name="SAPBEXstdItem 3 3" xfId="22611" xr:uid="{7946EB52-F850-4B7E-89DC-E1246FF0FBAF}"/>
    <cellStyle name="SAPBEXstdItem 3 3 10" xfId="22612" xr:uid="{E69D0C58-30D5-481A-8542-0535F9E778B4}"/>
    <cellStyle name="SAPBEXstdItem 3 3 10 2" xfId="22613" xr:uid="{A3B1A3E8-1884-4B0F-A462-717DDB42BAE1}"/>
    <cellStyle name="SAPBEXstdItem 3 3 11" xfId="22614" xr:uid="{E6C17AD4-3BB1-46B3-A7BC-DB292A8BA53D}"/>
    <cellStyle name="SAPBEXstdItem 3 3 11 2" xfId="22615" xr:uid="{829BD3FC-A85A-4748-9E6B-8552DB6CDD50}"/>
    <cellStyle name="SAPBEXstdItem 3 3 12" xfId="22616" xr:uid="{37223B58-88B1-4C52-9ADD-262DABEC5604}"/>
    <cellStyle name="SAPBEXstdItem 3 3 12 2" xfId="22617" xr:uid="{2825AE76-3166-44CB-AD4F-BEB6D002CB9B}"/>
    <cellStyle name="SAPBEXstdItem 3 3 13" xfId="22618" xr:uid="{6B457BCE-919E-4197-9C1B-2327E5197074}"/>
    <cellStyle name="SAPBEXstdItem 3 3 13 2" xfId="22619" xr:uid="{09A97D83-F145-46D6-A145-D3AAC8EFCD0C}"/>
    <cellStyle name="SAPBEXstdItem 3 3 14" xfId="22620" xr:uid="{6B4F423F-543A-4D40-AD55-D22D358D5FB5}"/>
    <cellStyle name="SAPBEXstdItem 3 3 14 2" xfId="22621" xr:uid="{AD8DCD98-A1DC-4D74-8A9B-6BAE090CE60E}"/>
    <cellStyle name="SAPBEXstdItem 3 3 15" xfId="22622" xr:uid="{7813F7DB-09EA-4D39-9B84-0B9B935FAFA8}"/>
    <cellStyle name="SAPBEXstdItem 3 3 15 2" xfId="22623" xr:uid="{0B06FF89-14C6-41AF-91CA-F5168EC1427F}"/>
    <cellStyle name="SAPBEXstdItem 3 3 16" xfId="22624" xr:uid="{1C69583E-6A9C-4B8A-8B20-5C114CB925AC}"/>
    <cellStyle name="SAPBEXstdItem 3 3 2" xfId="22625" xr:uid="{2601732F-7357-46D8-A27E-FE72738BAD50}"/>
    <cellStyle name="SAPBEXstdItem 3 3 2 2" xfId="22626" xr:uid="{08F5C2AC-C11E-4859-9C44-6A5A567C2A9C}"/>
    <cellStyle name="SAPBEXstdItem 3 3 3" xfId="22627" xr:uid="{65EE572E-6C1E-4765-822D-864E09CF4836}"/>
    <cellStyle name="SAPBEXstdItem 3 3 3 2" xfId="22628" xr:uid="{C8F8F0CD-B698-4509-9B00-9F5C9F770439}"/>
    <cellStyle name="SAPBEXstdItem 3 3 4" xfId="22629" xr:uid="{061811FE-56F0-49B9-91BA-84F0D9C7EB9C}"/>
    <cellStyle name="SAPBEXstdItem 3 3 4 2" xfId="22630" xr:uid="{B1C385C5-08B2-4A4A-9CFB-1FCF9E41205D}"/>
    <cellStyle name="SAPBEXstdItem 3 3 5" xfId="22631" xr:uid="{0FDCE322-002D-4A0F-A4DB-2C5AFB1287A6}"/>
    <cellStyle name="SAPBEXstdItem 3 3 5 2" xfId="22632" xr:uid="{F9A13531-8ACE-4B8F-B4C9-9A86F17ABDA8}"/>
    <cellStyle name="SAPBEXstdItem 3 3 6" xfId="22633" xr:uid="{77A0670A-3971-4C8D-9F80-0D498FFFDE6C}"/>
    <cellStyle name="SAPBEXstdItem 3 3 6 2" xfId="22634" xr:uid="{ECF6B05E-9A9D-4E2F-92EC-993980C71CBC}"/>
    <cellStyle name="SAPBEXstdItem 3 3 7" xfId="22635" xr:uid="{1F3AACAA-C131-4186-A846-A4294B966B5B}"/>
    <cellStyle name="SAPBEXstdItem 3 3 7 2" xfId="22636" xr:uid="{9361E00D-FF91-40EF-BF4F-152D76C68BB6}"/>
    <cellStyle name="SAPBEXstdItem 3 3 8" xfId="22637" xr:uid="{60A15CB7-71C4-42DB-9832-2B9FB0D8B560}"/>
    <cellStyle name="SAPBEXstdItem 3 3 8 2" xfId="22638" xr:uid="{609C6B60-FB5D-45A5-A7EF-DF85A831CA5D}"/>
    <cellStyle name="SAPBEXstdItem 3 3 9" xfId="22639" xr:uid="{BC498E06-CD66-4EE1-8E08-48D707FD54E0}"/>
    <cellStyle name="SAPBEXstdItem 3 3 9 2" xfId="22640" xr:uid="{2E8B9F4A-0911-4163-B0A3-55E2ABD599D6}"/>
    <cellStyle name="SAPBEXstdItem 3 4" xfId="22641" xr:uid="{D086E751-95A7-4D68-B05D-32A603481157}"/>
    <cellStyle name="SAPBEXstdItem 3 4 2" xfId="22642" xr:uid="{72EC0FDA-2F90-46D8-B763-8A8228CE98DE}"/>
    <cellStyle name="SAPBEXstdItem 3 5" xfId="22643" xr:uid="{BA36F012-7C5A-4A41-A035-F6F4A2D597CB}"/>
    <cellStyle name="SAPBEXstdItem 3 5 2" xfId="22644" xr:uid="{97C37099-756B-4188-A308-ECAA27DBA137}"/>
    <cellStyle name="SAPBEXstdItem 3 6" xfId="22645" xr:uid="{695A8F10-8C17-48A4-B97A-339257B64D64}"/>
    <cellStyle name="SAPBEXstdItem 3 6 2" xfId="22646" xr:uid="{214CA994-67BF-487A-9FA3-50467A7CB612}"/>
    <cellStyle name="SAPBEXstdItem 3 7" xfId="22647" xr:uid="{E7DB7083-A599-48B5-9F94-047B77841B09}"/>
    <cellStyle name="SAPBEXstdItem 3 7 2" xfId="22648" xr:uid="{85890931-3840-468E-9937-F90F261BE945}"/>
    <cellStyle name="SAPBEXstdItem 3 8" xfId="22649" xr:uid="{C633F843-7800-49C2-814E-201143948EA5}"/>
    <cellStyle name="SAPBEXstdItem 3 8 2" xfId="22650" xr:uid="{6DFF5431-2AC0-4316-9B8B-898704AFAE03}"/>
    <cellStyle name="SAPBEXstdItem 3 9" xfId="22651" xr:uid="{9A8DE5E6-E14D-41B3-BCC6-6E4A047BBBF2}"/>
    <cellStyle name="SAPBEXstdItem 3 9 2" xfId="22652" xr:uid="{077EBF38-10D0-4629-930C-D7A66D37A45F}"/>
    <cellStyle name="SAPBEXstdItem 3_T1 ANSP" xfId="22563" xr:uid="{439C2702-17A0-49E1-869D-BE2E54127036}"/>
    <cellStyle name="SAPBEXstdItem 4" xfId="22653" xr:uid="{6BC669E1-52CA-47B3-9C81-2AF882DAF7D5}"/>
    <cellStyle name="SAPBEXstdItem 4 10" xfId="22654" xr:uid="{61B4F0C8-99CB-4C1B-9781-855B312FFE72}"/>
    <cellStyle name="SAPBEXstdItem 4 10 2" xfId="22655" xr:uid="{95D1F96D-23B2-4400-A3B8-B415F7F558FB}"/>
    <cellStyle name="SAPBEXstdItem 4 11" xfId="22656" xr:uid="{783D6ECF-3FB7-4D8A-82CC-B29E1274FD90}"/>
    <cellStyle name="SAPBEXstdItem 4 11 2" xfId="22657" xr:uid="{F924736C-2979-4825-975A-A7F68E826AEE}"/>
    <cellStyle name="SAPBEXstdItem 4 12" xfId="22658" xr:uid="{F9EC2F42-C60D-4E1E-99DE-7DFB18AB1FA7}"/>
    <cellStyle name="SAPBEXstdItem 4 12 2" xfId="22659" xr:uid="{687D65E6-0B19-4BA8-969E-E2A2FA1AAB5E}"/>
    <cellStyle name="SAPBEXstdItem 4 13" xfId="22660" xr:uid="{3BAA15E2-BDE2-47A7-B973-815FD24E663C}"/>
    <cellStyle name="SAPBEXstdItem 4 13 2" xfId="22661" xr:uid="{2313B8C5-291D-4768-8F96-C31286491767}"/>
    <cellStyle name="SAPBEXstdItem 4 14" xfId="22662" xr:uid="{F086BC6C-AE71-44A6-9695-53FD6B15F2B0}"/>
    <cellStyle name="SAPBEXstdItem 4 14 2" xfId="22663" xr:uid="{3A885431-2CE1-4838-9D27-4302270C3669}"/>
    <cellStyle name="SAPBEXstdItem 4 15" xfId="22664" xr:uid="{5111EBA3-34FA-4FA5-AF18-B6C73E4D3B30}"/>
    <cellStyle name="SAPBEXstdItem 4 15 2" xfId="22665" xr:uid="{427DBACB-6886-4340-BB9E-6604F0B21C86}"/>
    <cellStyle name="SAPBEXstdItem 4 16" xfId="22666" xr:uid="{BF49D2BE-7E57-4FD7-9723-BE04DDCB76A8}"/>
    <cellStyle name="SAPBEXstdItem 4 16 2" xfId="22667" xr:uid="{DE25494E-2869-489D-AD1B-7832C257FF19}"/>
    <cellStyle name="SAPBEXstdItem 4 17" xfId="22668" xr:uid="{FDAD8154-597E-475E-95DD-D486FF22F1F6}"/>
    <cellStyle name="SAPBEXstdItem 4 17 2" xfId="22669" xr:uid="{5577A45F-D04F-4C4A-A7F6-BB42F26FDDD5}"/>
    <cellStyle name="SAPBEXstdItem 4 18" xfId="22670" xr:uid="{A2DCFA97-4535-4483-96D9-47C645067943}"/>
    <cellStyle name="SAPBEXstdItem 4 2" xfId="22671" xr:uid="{6D0A9A3B-4F54-46F0-9970-68D0D0050C8A}"/>
    <cellStyle name="SAPBEXstdItem 4 2 10" xfId="22672" xr:uid="{FD121C43-E31F-476F-9780-B01151D0A420}"/>
    <cellStyle name="SAPBEXstdItem 4 2 10 2" xfId="22673" xr:uid="{65C7A9F0-268B-4E58-B1C3-82E8CBDC3B74}"/>
    <cellStyle name="SAPBEXstdItem 4 2 11" xfId="22674" xr:uid="{E3BA287D-3AB3-4AFE-9FE8-38A374F50CFE}"/>
    <cellStyle name="SAPBEXstdItem 4 2 11 2" xfId="22675" xr:uid="{C1D8CD24-62C3-4CDD-9637-CDF3F678BFC4}"/>
    <cellStyle name="SAPBEXstdItem 4 2 12" xfId="22676" xr:uid="{16F9A8FB-53F0-4411-8FA9-5B596710C69C}"/>
    <cellStyle name="SAPBEXstdItem 4 2 12 2" xfId="22677" xr:uid="{5D8A0600-78FD-4631-8710-6075D6A3077E}"/>
    <cellStyle name="SAPBEXstdItem 4 2 13" xfId="22678" xr:uid="{FB367A30-4E94-4707-8F1C-1DFD4905CFCB}"/>
    <cellStyle name="SAPBEXstdItem 4 2 13 2" xfId="22679" xr:uid="{7833E76A-C7B2-4179-9A3A-70108BCC5C5B}"/>
    <cellStyle name="SAPBEXstdItem 4 2 14" xfId="22680" xr:uid="{6874C5D6-C51F-4B0A-9BC4-AC81384F268D}"/>
    <cellStyle name="SAPBEXstdItem 4 2 14 2" xfId="22681" xr:uid="{2544FBC9-0DD0-4C0F-92D1-7F246B018239}"/>
    <cellStyle name="SAPBEXstdItem 4 2 15" xfId="22682" xr:uid="{F931B60E-6421-4546-BCC4-43CBE7647123}"/>
    <cellStyle name="SAPBEXstdItem 4 2 15 2" xfId="22683" xr:uid="{E097197E-B689-4180-BF72-37962860BCA3}"/>
    <cellStyle name="SAPBEXstdItem 4 2 16" xfId="22684" xr:uid="{F9D01A03-1C1A-4449-AFB8-DA9044BF8237}"/>
    <cellStyle name="SAPBEXstdItem 4 2 2" xfId="22685" xr:uid="{FFF1C686-CF60-48E0-B7D9-28CAE19AC14B}"/>
    <cellStyle name="SAPBEXstdItem 4 2 2 2" xfId="22686" xr:uid="{644EBF82-2C5E-4EF0-A0B2-CA57B6E63DB1}"/>
    <cellStyle name="SAPBEXstdItem 4 2 3" xfId="22687" xr:uid="{45DDF07A-1344-4D24-A0A4-705E9F536B3C}"/>
    <cellStyle name="SAPBEXstdItem 4 2 3 2" xfId="22688" xr:uid="{3A05AE9C-554F-49EA-893A-1A89A6A8EFFD}"/>
    <cellStyle name="SAPBEXstdItem 4 2 4" xfId="22689" xr:uid="{C02D4676-3C8F-48FD-BD82-840C30FD828A}"/>
    <cellStyle name="SAPBEXstdItem 4 2 4 2" xfId="22690" xr:uid="{2226FFDA-E6FF-4930-AB79-EA4BE31DFA94}"/>
    <cellStyle name="SAPBEXstdItem 4 2 5" xfId="22691" xr:uid="{5370A88C-A71D-42E4-BF71-2D7501C22152}"/>
    <cellStyle name="SAPBEXstdItem 4 2 5 2" xfId="22692" xr:uid="{F25F0AA4-8B0D-4929-A983-1605E8C34F5D}"/>
    <cellStyle name="SAPBEXstdItem 4 2 6" xfId="22693" xr:uid="{01692324-A4B1-4AD2-B661-C1D9D926E00E}"/>
    <cellStyle name="SAPBEXstdItem 4 2 6 2" xfId="22694" xr:uid="{0D32BCB6-7FDC-459B-8BFE-966DD3F159B0}"/>
    <cellStyle name="SAPBEXstdItem 4 2 7" xfId="22695" xr:uid="{11BF9028-B99E-4357-8326-C8D2050AC5FF}"/>
    <cellStyle name="SAPBEXstdItem 4 2 7 2" xfId="22696" xr:uid="{C4DB7DB6-9113-434E-BEC5-3E08F235A81C}"/>
    <cellStyle name="SAPBEXstdItem 4 2 8" xfId="22697" xr:uid="{B2AC4EC4-C7C9-4167-BFB7-0492358F47C7}"/>
    <cellStyle name="SAPBEXstdItem 4 2 8 2" xfId="22698" xr:uid="{F36ABAF0-2741-4D6D-B35A-A9C5BDA5FB06}"/>
    <cellStyle name="SAPBEXstdItem 4 2 9" xfId="22699" xr:uid="{97B92927-40DE-4C0D-9554-904FD9E0ADCE}"/>
    <cellStyle name="SAPBEXstdItem 4 2 9 2" xfId="22700" xr:uid="{015E2F78-227B-4299-81BA-3B06584838A6}"/>
    <cellStyle name="SAPBEXstdItem 4 3" xfId="22701" xr:uid="{219E601A-071F-4C7E-B307-3FC03FF965EB}"/>
    <cellStyle name="SAPBEXstdItem 4 3 10" xfId="22702" xr:uid="{A8051848-D1F3-4D29-B793-12F768B8C0E1}"/>
    <cellStyle name="SAPBEXstdItem 4 3 10 2" xfId="22703" xr:uid="{1C1368B1-7EAC-4237-8F87-C4B0DAAA7CB3}"/>
    <cellStyle name="SAPBEXstdItem 4 3 11" xfId="22704" xr:uid="{4E0626FE-B618-4B59-BB60-FF96BCD24E84}"/>
    <cellStyle name="SAPBEXstdItem 4 3 11 2" xfId="22705" xr:uid="{39406C33-FB33-47CF-98CD-D367BB77EF35}"/>
    <cellStyle name="SAPBEXstdItem 4 3 12" xfId="22706" xr:uid="{B8AACD50-B33F-4D6B-8226-F589ADEE660F}"/>
    <cellStyle name="SAPBEXstdItem 4 3 12 2" xfId="22707" xr:uid="{B7E5DADC-18F2-4894-80CB-D76A24FD64EB}"/>
    <cellStyle name="SAPBEXstdItem 4 3 13" xfId="22708" xr:uid="{34A33ABB-2C8C-4298-924C-A2CF53996255}"/>
    <cellStyle name="SAPBEXstdItem 4 3 13 2" xfId="22709" xr:uid="{FDE5460B-FE11-4596-B889-BCFCEB38EDA6}"/>
    <cellStyle name="SAPBEXstdItem 4 3 14" xfId="22710" xr:uid="{B126811E-A92F-4C98-8D59-F5FE65FFAD7D}"/>
    <cellStyle name="SAPBEXstdItem 4 3 14 2" xfId="22711" xr:uid="{2CCEB0BD-FA0F-4DB6-98BC-06214AE33C47}"/>
    <cellStyle name="SAPBEXstdItem 4 3 15" xfId="22712" xr:uid="{3A954AFC-C41F-44F0-8853-9F38BB55AD89}"/>
    <cellStyle name="SAPBEXstdItem 4 3 15 2" xfId="22713" xr:uid="{3596DFB2-1796-4BDB-954A-0E079E51E08F}"/>
    <cellStyle name="SAPBEXstdItem 4 3 16" xfId="22714" xr:uid="{4D67F0B7-A74C-4E16-9414-F1173A70E6BA}"/>
    <cellStyle name="SAPBEXstdItem 4 3 2" xfId="22715" xr:uid="{6B5F4FB0-FF69-4A3B-8A16-F2F01494A3E1}"/>
    <cellStyle name="SAPBEXstdItem 4 3 2 2" xfId="22716" xr:uid="{E28E0840-D8E2-4926-A098-4A291EAE3BF3}"/>
    <cellStyle name="SAPBEXstdItem 4 3 3" xfId="22717" xr:uid="{12B8C21A-F3A2-485B-8728-F266D041C844}"/>
    <cellStyle name="SAPBEXstdItem 4 3 3 2" xfId="22718" xr:uid="{87470D35-EFF4-440F-898D-162AC6B8B0D7}"/>
    <cellStyle name="SAPBEXstdItem 4 3 4" xfId="22719" xr:uid="{9708FADF-CAF7-4AD6-B416-C8A3E35FAC2D}"/>
    <cellStyle name="SAPBEXstdItem 4 3 4 2" xfId="22720" xr:uid="{EC470F39-C524-4D26-9C46-DB69FB7AE60B}"/>
    <cellStyle name="SAPBEXstdItem 4 3 5" xfId="22721" xr:uid="{2518E579-1C7F-4718-B53C-994D17188498}"/>
    <cellStyle name="SAPBEXstdItem 4 3 5 2" xfId="22722" xr:uid="{454F09AB-C25D-435D-A8E5-C0A62D815877}"/>
    <cellStyle name="SAPBEXstdItem 4 3 6" xfId="22723" xr:uid="{9207679A-2291-458C-A0BC-036D2489F758}"/>
    <cellStyle name="SAPBEXstdItem 4 3 6 2" xfId="22724" xr:uid="{5F4833FA-99FF-4566-9BB0-EC079151AB6A}"/>
    <cellStyle name="SAPBEXstdItem 4 3 7" xfId="22725" xr:uid="{B590DC4E-C9E9-4D35-B754-E8CC1AC06FE9}"/>
    <cellStyle name="SAPBEXstdItem 4 3 7 2" xfId="22726" xr:uid="{5EA3E8E6-4A3A-41A0-A819-0ECE9213DA78}"/>
    <cellStyle name="SAPBEXstdItem 4 3 8" xfId="22727" xr:uid="{8CBB9531-062C-4DD1-AAC8-17F397F8C081}"/>
    <cellStyle name="SAPBEXstdItem 4 3 8 2" xfId="22728" xr:uid="{72D2A8CD-0174-41CB-80BB-CB11F0B8DEA5}"/>
    <cellStyle name="SAPBEXstdItem 4 3 9" xfId="22729" xr:uid="{71387CBA-B6EC-478D-A362-5179116C1014}"/>
    <cellStyle name="SAPBEXstdItem 4 3 9 2" xfId="22730" xr:uid="{C769F632-31A7-4061-BC02-5E7C0F685D52}"/>
    <cellStyle name="SAPBEXstdItem 4 4" xfId="22731" xr:uid="{BA9D28D0-7076-4E8B-9678-2DCDBB3D0009}"/>
    <cellStyle name="SAPBEXstdItem 4 4 2" xfId="22732" xr:uid="{3C699131-7187-4BB4-A259-24B7B1E97686}"/>
    <cellStyle name="SAPBEXstdItem 4 5" xfId="22733" xr:uid="{A23C5922-F1F8-403F-ADFC-4B1D0D5A0702}"/>
    <cellStyle name="SAPBEXstdItem 4 5 2" xfId="22734" xr:uid="{29FB2CF5-1B9B-465F-8F05-55582C4D9311}"/>
    <cellStyle name="SAPBEXstdItem 4 6" xfId="22735" xr:uid="{4FE2B0BC-F1C0-4FF3-BE95-A78A8DB28BD4}"/>
    <cellStyle name="SAPBEXstdItem 4 6 2" xfId="22736" xr:uid="{3672806A-2BE4-441D-9BF3-B0A58BCA3C64}"/>
    <cellStyle name="SAPBEXstdItem 4 7" xfId="22737" xr:uid="{9A907C99-B4C5-47BF-9957-CD265921610F}"/>
    <cellStyle name="SAPBEXstdItem 4 7 2" xfId="22738" xr:uid="{DB106FF7-82FB-4C4D-B6C0-048A4B2AD1F0}"/>
    <cellStyle name="SAPBEXstdItem 4 8" xfId="22739" xr:uid="{2F4EFAD5-7865-404C-A839-409B30732A67}"/>
    <cellStyle name="SAPBEXstdItem 4 8 2" xfId="22740" xr:uid="{4FAAD52C-339A-4B98-9292-F39C08952169}"/>
    <cellStyle name="SAPBEXstdItem 4 9" xfId="22741" xr:uid="{CFDA38FD-3018-48B4-B72F-CE449BE08044}"/>
    <cellStyle name="SAPBEXstdItem 4 9 2" xfId="22742" xr:uid="{E522B493-7CBC-49D6-BAEB-76A3B443BE9C}"/>
    <cellStyle name="SAPBEXstdItem 5" xfId="22743" xr:uid="{F09F8351-B31B-47BE-87DA-82A77D05B80B}"/>
    <cellStyle name="SAPBEXstdItem 5 10" xfId="22744" xr:uid="{7A6C29C7-F798-4F0C-9DEF-1A7B3373377B}"/>
    <cellStyle name="SAPBEXstdItem 5 10 2" xfId="22745" xr:uid="{3C79D385-8063-4CF5-948C-A84E65B5C7D3}"/>
    <cellStyle name="SAPBEXstdItem 5 11" xfId="22746" xr:uid="{CF7BAB07-EC25-4FB2-B5B2-205356511277}"/>
    <cellStyle name="SAPBEXstdItem 5 11 2" xfId="22747" xr:uid="{BFA7E34E-7493-4CA0-A40D-9E3B910661E4}"/>
    <cellStyle name="SAPBEXstdItem 5 12" xfId="22748" xr:uid="{7D54B1DF-8EE3-4E3A-A7AC-5E46DFB8909D}"/>
    <cellStyle name="SAPBEXstdItem 5 12 2" xfId="22749" xr:uid="{81B1C01F-33BF-4BBD-B773-871DE3687B90}"/>
    <cellStyle name="SAPBEXstdItem 5 13" xfId="22750" xr:uid="{85EEC96A-7E2E-4C4E-9EE6-2623C586857C}"/>
    <cellStyle name="SAPBEXstdItem 5 13 2" xfId="22751" xr:uid="{DDDE0911-243F-48CD-A263-9C108DBD0C13}"/>
    <cellStyle name="SAPBEXstdItem 5 14" xfId="22752" xr:uid="{87919D50-80E5-41A8-B315-13EF611EE26A}"/>
    <cellStyle name="SAPBEXstdItem 5 14 2" xfId="22753" xr:uid="{5F40FCA6-CBF8-400A-886A-CDE252D72822}"/>
    <cellStyle name="SAPBEXstdItem 5 15" xfId="22754" xr:uid="{D5A156F0-ED9A-430E-98D2-7B76829B8DDF}"/>
    <cellStyle name="SAPBEXstdItem 5 15 2" xfId="22755" xr:uid="{07B593B6-ECC7-456B-83B9-0ECBCB0D5616}"/>
    <cellStyle name="SAPBEXstdItem 5 16" xfId="22756" xr:uid="{AE43FC35-3A3C-4472-91FE-2857B4E28E07}"/>
    <cellStyle name="SAPBEXstdItem 5 2" xfId="22757" xr:uid="{75F20F27-E0F2-4140-A3CA-61AD79581203}"/>
    <cellStyle name="SAPBEXstdItem 5 2 2" xfId="22758" xr:uid="{2546CC78-8EDA-4631-894A-BFC565B6A826}"/>
    <cellStyle name="SAPBEXstdItem 5 3" xfId="22759" xr:uid="{E9311452-53F3-4C81-9657-DE1076B21111}"/>
    <cellStyle name="SAPBEXstdItem 5 3 2" xfId="22760" xr:uid="{8A30EBC8-D7A0-46A2-814D-D3FA7D544682}"/>
    <cellStyle name="SAPBEXstdItem 5 4" xfId="22761" xr:uid="{C0EB1ACA-7809-44FB-A23C-BFB3C66D12BA}"/>
    <cellStyle name="SAPBEXstdItem 5 4 2" xfId="22762" xr:uid="{7B024C5B-411D-4F2C-A833-F5942EDD909A}"/>
    <cellStyle name="SAPBEXstdItem 5 5" xfId="22763" xr:uid="{DB97CE29-1594-4CE6-B8EB-E2493681649F}"/>
    <cellStyle name="SAPBEXstdItem 5 5 2" xfId="22764" xr:uid="{F4C5FB47-5099-46C3-8D2F-F24765C5F713}"/>
    <cellStyle name="SAPBEXstdItem 5 6" xfId="22765" xr:uid="{199C8799-1E95-4A79-98CD-C6B0DC00FC41}"/>
    <cellStyle name="SAPBEXstdItem 5 6 2" xfId="22766" xr:uid="{B99BDDCE-3CCE-4CC2-9DEA-021BCAEDE3BA}"/>
    <cellStyle name="SAPBEXstdItem 5 7" xfId="22767" xr:uid="{505A248E-22ED-4BE8-9552-77F238C4CB23}"/>
    <cellStyle name="SAPBEXstdItem 5 7 2" xfId="22768" xr:uid="{46D71C13-32DC-478C-9E40-931B698402D7}"/>
    <cellStyle name="SAPBEXstdItem 5 8" xfId="22769" xr:uid="{26D1A9E6-DF49-485F-B5A2-48A909D1170F}"/>
    <cellStyle name="SAPBEXstdItem 5 8 2" xfId="22770" xr:uid="{F51A2097-7398-4288-8E0A-E9197B6EA934}"/>
    <cellStyle name="SAPBEXstdItem 5 9" xfId="22771" xr:uid="{B00A5696-646C-4444-8A28-9C58890AFDC9}"/>
    <cellStyle name="SAPBEXstdItem 5 9 2" xfId="22772" xr:uid="{8245648F-7E53-4B64-9B5A-BE9D9C0784B4}"/>
    <cellStyle name="SAPBEXstdItem 6" xfId="22773" xr:uid="{EA8DA606-0CB6-499B-A0FF-EECF88CE4F6E}"/>
    <cellStyle name="SAPBEXstdItem 6 2" xfId="22774" xr:uid="{0556F4AE-AA8A-4BA7-A487-795D7D072B2D}"/>
    <cellStyle name="SAPBEXstdItem 7" xfId="22775" xr:uid="{D5A866D6-C642-4E08-B647-123A1B9EF7D0}"/>
    <cellStyle name="SAPBEXstdItem 7 2" xfId="22776" xr:uid="{8A4282B4-7690-4068-BFA2-C0C1153C98D7}"/>
    <cellStyle name="SAPBEXstdItem 8" xfId="22777" xr:uid="{2EEA33EA-D65A-4406-9C6F-27BB1D7BC9ED}"/>
    <cellStyle name="SAPBEXstdItem 8 2" xfId="22778" xr:uid="{27778A38-6F6B-4380-8C5E-311A912ED062}"/>
    <cellStyle name="SAPBEXstdItem 9" xfId="22779" xr:uid="{EB86B011-EBC0-4D8A-9587-476E32CFBBE5}"/>
    <cellStyle name="SAPBEXstdItem 9 2" xfId="22780" xr:uid="{89638295-81E7-4BDB-9332-D501D726DF1D}"/>
    <cellStyle name="SAPBEXstdItem_BEX Pensions Pass Through Model" xfId="22781" xr:uid="{EF2C480C-B98A-4375-9991-8F7ECB4192B8}"/>
    <cellStyle name="SAPBEXstdItemX" xfId="761" xr:uid="{00000000-0005-0000-0000-0000B8050000}"/>
    <cellStyle name="SAPBEXstdItemX 10" xfId="22783" xr:uid="{2174FEFF-7C56-4255-AB2C-30E220825E25}"/>
    <cellStyle name="SAPBEXstdItemX 10 2" xfId="22784" xr:uid="{D76F3F3D-A3DB-4A57-9CD8-E98B94E92A8F}"/>
    <cellStyle name="SAPBEXstdItemX 11" xfId="22785" xr:uid="{2FE468F0-D4C3-4106-B16E-FFC27A78D872}"/>
    <cellStyle name="SAPBEXstdItemX 11 2" xfId="22786" xr:uid="{944187A0-23B8-497F-BA42-9CA273450AEF}"/>
    <cellStyle name="SAPBEXstdItemX 12" xfId="22787" xr:uid="{966212DD-B450-4F3E-A44E-5E29608D04B9}"/>
    <cellStyle name="SAPBEXstdItemX 12 2" xfId="22788" xr:uid="{40E60CE0-9141-49C0-BAAB-F76DF7913423}"/>
    <cellStyle name="SAPBEXstdItemX 13" xfId="22789" xr:uid="{BCE52726-4354-48DC-8D3C-E0D68D470E93}"/>
    <cellStyle name="SAPBEXstdItemX 13 2" xfId="22790" xr:uid="{0E5390A5-D074-4EBD-8482-9C1D1B402F26}"/>
    <cellStyle name="SAPBEXstdItemX 14" xfId="22791" xr:uid="{C735DE33-CDAA-40DC-832C-4A4D92992638}"/>
    <cellStyle name="SAPBEXstdItemX 14 2" xfId="22792" xr:uid="{0EEDAE19-CCDA-4B8E-B73C-7031C3007D25}"/>
    <cellStyle name="SAPBEXstdItemX 15" xfId="22793" xr:uid="{0D7F905B-CE1B-4BCB-9BB2-8D8BEC04D1FC}"/>
    <cellStyle name="SAPBEXstdItemX 15 2" xfId="22794" xr:uid="{5468DF4B-F1C9-4176-8733-3C9645834B35}"/>
    <cellStyle name="SAPBEXstdItemX 16" xfId="22795" xr:uid="{06A9681F-FA5C-4E4E-A668-43349633709C}"/>
    <cellStyle name="SAPBEXstdItemX 16 2" xfId="22796" xr:uid="{03372A16-897B-4DD1-9F75-5C1694F15B13}"/>
    <cellStyle name="SAPBEXstdItemX 17" xfId="22797" xr:uid="{8DFECA18-B7A5-4372-BB1B-2723264A7C7F}"/>
    <cellStyle name="SAPBEXstdItemX 17 2" xfId="22798" xr:uid="{AA435B83-BC01-4B69-BF50-121D04960D66}"/>
    <cellStyle name="SAPBEXstdItemX 18" xfId="22799" xr:uid="{3AA7CDEC-F101-46FC-99E2-88ED362C2890}"/>
    <cellStyle name="SAPBEXstdItemX 18 2" xfId="22800" xr:uid="{F0681166-1D25-43FC-B250-F95ED1CFAF91}"/>
    <cellStyle name="SAPBEXstdItemX 19" xfId="22801" xr:uid="{F3C0310F-319E-4399-B331-3D9C90F1F927}"/>
    <cellStyle name="SAPBEXstdItemX 19 2" xfId="22802" xr:uid="{4BBAFBD0-216F-4C83-8B0C-5D4639B5AA2C}"/>
    <cellStyle name="SAPBEXstdItemX 2" xfId="1575" xr:uid="{00000000-0005-0000-0000-0000B9050000}"/>
    <cellStyle name="SAPBEXstdItemX 2 10" xfId="22804" xr:uid="{B092E443-0FB5-4118-8AD5-EC20B0FC71A4}"/>
    <cellStyle name="SAPBEXstdItemX 2 10 2" xfId="22805" xr:uid="{428CECAA-942A-4485-BC5C-21B70AB4764D}"/>
    <cellStyle name="SAPBEXstdItemX 2 11" xfId="22806" xr:uid="{9CC93052-894B-424D-9755-CB477A57E922}"/>
    <cellStyle name="SAPBEXstdItemX 2 11 2" xfId="22807" xr:uid="{48FAA471-8681-4F40-92C6-57B42C14BF6C}"/>
    <cellStyle name="SAPBEXstdItemX 2 12" xfId="22808" xr:uid="{349B814D-5D36-43C6-8F88-3E15FCE635CE}"/>
    <cellStyle name="SAPBEXstdItemX 2 12 2" xfId="22809" xr:uid="{0EEC7ED4-A2B9-42CC-AF1F-68B38F1829AA}"/>
    <cellStyle name="SAPBEXstdItemX 2 13" xfId="22810" xr:uid="{9CC419B4-0472-46C8-B031-678F2E40E1CA}"/>
    <cellStyle name="SAPBEXstdItemX 2 13 2" xfId="22811" xr:uid="{C712B3FF-85D0-4980-B56D-97A88CCCC20A}"/>
    <cellStyle name="SAPBEXstdItemX 2 14" xfId="22812" xr:uid="{C2C5A799-BEB2-4FB9-B7DA-9758AAB22CCB}"/>
    <cellStyle name="SAPBEXstdItemX 2 14 2" xfId="22813" xr:uid="{2B8E703B-6E78-4600-BB3F-D9DD76877997}"/>
    <cellStyle name="SAPBEXstdItemX 2 15" xfId="22814" xr:uid="{7CC3266A-8485-42F2-904B-BDC442CD3024}"/>
    <cellStyle name="SAPBEXstdItemX 2 15 2" xfId="22815" xr:uid="{62E2DDCA-2181-4FDD-B6D8-94D9DDD384F5}"/>
    <cellStyle name="SAPBEXstdItemX 2 16" xfId="22816" xr:uid="{779D1AEF-DE24-47E5-9AE6-E528777B7A90}"/>
    <cellStyle name="SAPBEXstdItemX 2 16 2" xfId="22817" xr:uid="{3DB987C3-E4D0-4EAB-BAA5-60BA56D1D9DF}"/>
    <cellStyle name="SAPBEXstdItemX 2 17" xfId="22818" xr:uid="{17F2439E-25DD-498F-8866-0C1AC611CB72}"/>
    <cellStyle name="SAPBEXstdItemX 2 17 2" xfId="22819" xr:uid="{70E483CB-B0C9-4C67-A359-845A1318DCCF}"/>
    <cellStyle name="SAPBEXstdItemX 2 18" xfId="22820" xr:uid="{7E26F439-353A-4835-AE30-97A369D84C26}"/>
    <cellStyle name="SAPBEXstdItemX 2 2" xfId="22821" xr:uid="{F2155A30-F848-4C7B-A34D-0B5D05D22470}"/>
    <cellStyle name="SAPBEXstdItemX 2 2 10" xfId="22822" xr:uid="{BD8160E0-F24D-4FE0-9D13-B77646A670BD}"/>
    <cellStyle name="SAPBEXstdItemX 2 2 10 2" xfId="22823" xr:uid="{581D60CD-2617-4F42-9569-64ED1316A383}"/>
    <cellStyle name="SAPBEXstdItemX 2 2 11" xfId="22824" xr:uid="{0CF19F81-C620-4808-B9AE-30BF1D25BA18}"/>
    <cellStyle name="SAPBEXstdItemX 2 2 11 2" xfId="22825" xr:uid="{7BCAEA76-6AC4-4B01-936A-FB80FECCB311}"/>
    <cellStyle name="SAPBEXstdItemX 2 2 12" xfId="22826" xr:uid="{F0F260E6-D3CD-4B6A-A7BB-973C27A47D23}"/>
    <cellStyle name="SAPBEXstdItemX 2 2 12 2" xfId="22827" xr:uid="{7442D826-4F20-44E2-A0D0-C8A6CC747E4A}"/>
    <cellStyle name="SAPBEXstdItemX 2 2 13" xfId="22828" xr:uid="{F616C7A7-6A9E-4661-B2B4-29A044FD98F0}"/>
    <cellStyle name="SAPBEXstdItemX 2 2 13 2" xfId="22829" xr:uid="{071E8F55-9C49-480A-AA4B-E8913517B20B}"/>
    <cellStyle name="SAPBEXstdItemX 2 2 14" xfId="22830" xr:uid="{C05E5A7D-3977-49F3-B22C-F5A7C5FF7250}"/>
    <cellStyle name="SAPBEXstdItemX 2 2 14 2" xfId="22831" xr:uid="{58F8D078-5CFC-4E06-941B-9F6DA365A60C}"/>
    <cellStyle name="SAPBEXstdItemX 2 2 15" xfId="22832" xr:uid="{D0B9A126-F78D-409E-9DDE-163D9E747FC9}"/>
    <cellStyle name="SAPBEXstdItemX 2 2 15 2" xfId="22833" xr:uid="{4CD405F9-227B-43CB-93DD-1A68BC26D70C}"/>
    <cellStyle name="SAPBEXstdItemX 2 2 16" xfId="22834" xr:uid="{8971FEB1-C7C4-414E-BC0E-7F3A79A1B91E}"/>
    <cellStyle name="SAPBEXstdItemX 2 2 16 2" xfId="22835" xr:uid="{BE1F1718-5AFE-4BA0-9D0E-0A62CACAFD52}"/>
    <cellStyle name="SAPBEXstdItemX 2 2 17" xfId="22836" xr:uid="{E002A485-344C-4478-A89C-DD1759B1FE84}"/>
    <cellStyle name="SAPBEXstdItemX 2 2 17 2" xfId="22837" xr:uid="{B6DC7FB2-FA4A-4BB2-9DE0-E1EE6445F0B5}"/>
    <cellStyle name="SAPBEXstdItemX 2 2 18" xfId="22838" xr:uid="{68116287-F35D-46FA-B262-53FD2CDF297F}"/>
    <cellStyle name="SAPBEXstdItemX 2 2 2" xfId="22839" xr:uid="{BD3F2867-22B1-4D81-9910-A8A6B3EE8284}"/>
    <cellStyle name="SAPBEXstdItemX 2 2 2 10" xfId="22840" xr:uid="{F28F5EC9-AAA2-4AFC-BF1E-563F3E263B6D}"/>
    <cellStyle name="SAPBEXstdItemX 2 2 2 10 2" xfId="22841" xr:uid="{20C0C045-B8BF-4781-BF7B-2F838E926EE3}"/>
    <cellStyle name="SAPBEXstdItemX 2 2 2 11" xfId="22842" xr:uid="{8DF25B3E-72C1-4C90-95D5-96A964C8522E}"/>
    <cellStyle name="SAPBEXstdItemX 2 2 2 11 2" xfId="22843" xr:uid="{59CF4EE4-AF63-4644-A788-BCAEAD730BC9}"/>
    <cellStyle name="SAPBEXstdItemX 2 2 2 12" xfId="22844" xr:uid="{1C7BFB3D-B91F-46DD-A544-BD69509ED7E1}"/>
    <cellStyle name="SAPBEXstdItemX 2 2 2 12 2" xfId="22845" xr:uid="{C3D466C0-6A85-4429-BC0C-453826763A01}"/>
    <cellStyle name="SAPBEXstdItemX 2 2 2 13" xfId="22846" xr:uid="{4CF91F80-73A5-4588-9586-F0E4D69B71C8}"/>
    <cellStyle name="SAPBEXstdItemX 2 2 2 13 2" xfId="22847" xr:uid="{C8D91D1C-8919-4BD1-9362-6D2C3F28C377}"/>
    <cellStyle name="SAPBEXstdItemX 2 2 2 14" xfId="22848" xr:uid="{CA722AD3-1D0F-41BA-BAD0-E077763F7154}"/>
    <cellStyle name="SAPBEXstdItemX 2 2 2 14 2" xfId="22849" xr:uid="{D35B6D42-932A-4313-9399-692F135F2D85}"/>
    <cellStyle name="SAPBEXstdItemX 2 2 2 15" xfId="22850" xr:uid="{7C258178-A10E-4582-B4E6-E0E10FDC42BC}"/>
    <cellStyle name="SAPBEXstdItemX 2 2 2 15 2" xfId="22851" xr:uid="{EAB8EA06-7C1B-439B-9C7E-A6B1B008CBEC}"/>
    <cellStyle name="SAPBEXstdItemX 2 2 2 16" xfId="22852" xr:uid="{4F0C979F-B3BA-4E09-80BE-D95BDF60C6E1}"/>
    <cellStyle name="SAPBEXstdItemX 2 2 2 2" xfId="22853" xr:uid="{2AA801FB-7B59-4D4C-BD95-FA9FFA303137}"/>
    <cellStyle name="SAPBEXstdItemX 2 2 2 2 2" xfId="22854" xr:uid="{DBC25121-AC36-42D9-9ECB-FB813FFFC912}"/>
    <cellStyle name="SAPBEXstdItemX 2 2 2 3" xfId="22855" xr:uid="{3A20CBB6-68BE-4FB4-B5F6-A96A194B1DB9}"/>
    <cellStyle name="SAPBEXstdItemX 2 2 2 3 2" xfId="22856" xr:uid="{E0F542C3-17E8-4C51-9BAE-097CFAC009E9}"/>
    <cellStyle name="SAPBEXstdItemX 2 2 2 4" xfId="22857" xr:uid="{7FC1700B-D0AC-4EB1-AF89-C0AFD965EA73}"/>
    <cellStyle name="SAPBEXstdItemX 2 2 2 4 2" xfId="22858" xr:uid="{003CDC09-0611-4818-914F-A9DC9D4DE41A}"/>
    <cellStyle name="SAPBEXstdItemX 2 2 2 5" xfId="22859" xr:uid="{9EC5D361-EB78-4523-8600-1EA7A612D9F8}"/>
    <cellStyle name="SAPBEXstdItemX 2 2 2 5 2" xfId="22860" xr:uid="{08E1AAC7-2DBF-4F63-B6E3-FF631668660F}"/>
    <cellStyle name="SAPBEXstdItemX 2 2 2 6" xfId="22861" xr:uid="{30535B55-73C9-409F-9D54-2056F2EF21AF}"/>
    <cellStyle name="SAPBEXstdItemX 2 2 2 6 2" xfId="22862" xr:uid="{8E7F3795-B959-49EC-A20F-F5732F7E8409}"/>
    <cellStyle name="SAPBEXstdItemX 2 2 2 7" xfId="22863" xr:uid="{813BA871-43FB-4A49-B0D2-4DD356F139B8}"/>
    <cellStyle name="SAPBEXstdItemX 2 2 2 7 2" xfId="22864" xr:uid="{37E93E17-615A-4453-B286-9F3CDC6042E1}"/>
    <cellStyle name="SAPBEXstdItemX 2 2 2 8" xfId="22865" xr:uid="{E5E08703-C7EB-4995-B75D-51A8E59AC4F3}"/>
    <cellStyle name="SAPBEXstdItemX 2 2 2 8 2" xfId="22866" xr:uid="{7837AB94-A81A-4678-AC1D-6F701DE0C690}"/>
    <cellStyle name="SAPBEXstdItemX 2 2 2 9" xfId="22867" xr:uid="{7E3B6EA5-33C5-4B15-8F3A-43695C5E3A7C}"/>
    <cellStyle name="SAPBEXstdItemX 2 2 2 9 2" xfId="22868" xr:uid="{BA9D50DE-8003-483C-BC0D-8D9BA0E07547}"/>
    <cellStyle name="SAPBEXstdItemX 2 2 3" xfId="22869" xr:uid="{00CA8BF7-EEFC-4E25-9902-061BD98E7AC4}"/>
    <cellStyle name="SAPBEXstdItemX 2 2 3 10" xfId="22870" xr:uid="{DF084F5C-2016-41F4-A0CD-E925913F9E12}"/>
    <cellStyle name="SAPBEXstdItemX 2 2 3 10 2" xfId="22871" xr:uid="{3CFE4CAB-4DEF-4DE4-8ABF-BBD06530D5A0}"/>
    <cellStyle name="SAPBEXstdItemX 2 2 3 11" xfId="22872" xr:uid="{040B5A9F-7219-481D-9D83-BB9341C757E1}"/>
    <cellStyle name="SAPBEXstdItemX 2 2 3 11 2" xfId="22873" xr:uid="{601461C5-C579-480B-97A0-DA009E9E5719}"/>
    <cellStyle name="SAPBEXstdItemX 2 2 3 12" xfId="22874" xr:uid="{273568F1-D9DE-41A1-B420-2061EAD878EA}"/>
    <cellStyle name="SAPBEXstdItemX 2 2 3 12 2" xfId="22875" xr:uid="{4BFF2E4A-AAE2-43F5-A00A-F8AFA50F2A47}"/>
    <cellStyle name="SAPBEXstdItemX 2 2 3 13" xfId="22876" xr:uid="{180DF2B4-811A-4D38-8E5B-E6393C3F55F9}"/>
    <cellStyle name="SAPBEXstdItemX 2 2 3 13 2" xfId="22877" xr:uid="{E2BC8B31-01B3-4EDD-8096-872D5F635336}"/>
    <cellStyle name="SAPBEXstdItemX 2 2 3 14" xfId="22878" xr:uid="{1E16C434-BE3E-4033-97DF-95E01C439E6C}"/>
    <cellStyle name="SAPBEXstdItemX 2 2 3 14 2" xfId="22879" xr:uid="{FE37DE95-6C3F-4538-AE22-7FC904A0CD21}"/>
    <cellStyle name="SAPBEXstdItemX 2 2 3 15" xfId="22880" xr:uid="{69875D74-0439-4A80-B332-075CDB9D0EEB}"/>
    <cellStyle name="SAPBEXstdItemX 2 2 3 15 2" xfId="22881" xr:uid="{9AF37ED0-9590-4172-9A81-8DDBDBE281A6}"/>
    <cellStyle name="SAPBEXstdItemX 2 2 3 16" xfId="22882" xr:uid="{CCB0DE27-75B0-45DA-832F-8742DE28CB34}"/>
    <cellStyle name="SAPBEXstdItemX 2 2 3 2" xfId="22883" xr:uid="{307DF6AB-8C9E-4110-B521-F3FC42D30F59}"/>
    <cellStyle name="SAPBEXstdItemX 2 2 3 2 2" xfId="22884" xr:uid="{24FC1250-6331-4A15-B721-D1DFE03163DA}"/>
    <cellStyle name="SAPBEXstdItemX 2 2 3 3" xfId="22885" xr:uid="{A2A950D7-8915-496E-928C-F1DBFFE8BE36}"/>
    <cellStyle name="SAPBEXstdItemX 2 2 3 3 2" xfId="22886" xr:uid="{5A66FC63-C9F5-4D62-A6AB-2634F0DDF68B}"/>
    <cellStyle name="SAPBEXstdItemX 2 2 3 4" xfId="22887" xr:uid="{4F560712-C23D-4673-B00E-DAA2178CD616}"/>
    <cellStyle name="SAPBEXstdItemX 2 2 3 4 2" xfId="22888" xr:uid="{A9AFB39A-CB97-4C4F-9312-7C6D73DC244D}"/>
    <cellStyle name="SAPBEXstdItemX 2 2 3 5" xfId="22889" xr:uid="{0762F3F1-325E-4FF2-A4F8-FE4E5EAE5316}"/>
    <cellStyle name="SAPBEXstdItemX 2 2 3 5 2" xfId="22890" xr:uid="{F0FB65D9-EF69-4FC1-84CA-8B35B4BE9DB1}"/>
    <cellStyle name="SAPBEXstdItemX 2 2 3 6" xfId="22891" xr:uid="{F04A5752-EC9C-47CA-89A5-2DBED52FCF3C}"/>
    <cellStyle name="SAPBEXstdItemX 2 2 3 6 2" xfId="22892" xr:uid="{3D215A42-0BC1-42AC-9BE0-32D55F0F46A8}"/>
    <cellStyle name="SAPBEXstdItemX 2 2 3 7" xfId="22893" xr:uid="{854DF0EF-C4A3-47B8-AC5A-7355F81EA6E3}"/>
    <cellStyle name="SAPBEXstdItemX 2 2 3 7 2" xfId="22894" xr:uid="{DE8446F0-FF8B-4CBB-9A28-DC95E8D71595}"/>
    <cellStyle name="SAPBEXstdItemX 2 2 3 8" xfId="22895" xr:uid="{A6A5B504-B4D5-4E02-B5D5-8513AF28F5A7}"/>
    <cellStyle name="SAPBEXstdItemX 2 2 3 8 2" xfId="22896" xr:uid="{2375901D-4643-4685-8860-D1B77B89ECDB}"/>
    <cellStyle name="SAPBEXstdItemX 2 2 3 9" xfId="22897" xr:uid="{FBFB3BC5-493A-4DB2-A607-523657EBD56D}"/>
    <cellStyle name="SAPBEXstdItemX 2 2 3 9 2" xfId="22898" xr:uid="{B9554AF7-6C33-4919-A1BF-2C35277E182F}"/>
    <cellStyle name="SAPBEXstdItemX 2 2 4" xfId="22899" xr:uid="{5510641D-2E64-482A-8AB6-51E66FF57A1D}"/>
    <cellStyle name="SAPBEXstdItemX 2 2 4 2" xfId="22900" xr:uid="{E78384BB-EECA-4D3E-84B1-1FC7D6889729}"/>
    <cellStyle name="SAPBEXstdItemX 2 2 5" xfId="22901" xr:uid="{F6F7DF53-8048-461E-8C06-4C4ECDD528FD}"/>
    <cellStyle name="SAPBEXstdItemX 2 2 5 2" xfId="22902" xr:uid="{410CF108-C59D-4510-ABFC-AD0A10BB2C57}"/>
    <cellStyle name="SAPBEXstdItemX 2 2 6" xfId="22903" xr:uid="{AF212FE4-0E21-4016-A542-3758BF7EDC24}"/>
    <cellStyle name="SAPBEXstdItemX 2 2 6 2" xfId="22904" xr:uid="{9FD70AD3-5A7D-4141-88A5-8A1D96FF2CB0}"/>
    <cellStyle name="SAPBEXstdItemX 2 2 7" xfId="22905" xr:uid="{B6E16076-9DEB-461D-904F-3AE2DCC96EDF}"/>
    <cellStyle name="SAPBEXstdItemX 2 2 7 2" xfId="22906" xr:uid="{8A48E377-D2E3-4E75-8AAC-A9435B3EC676}"/>
    <cellStyle name="SAPBEXstdItemX 2 2 8" xfId="22907" xr:uid="{B7148D80-B1B4-453D-A7B1-BA99C88C6D92}"/>
    <cellStyle name="SAPBEXstdItemX 2 2 8 2" xfId="22908" xr:uid="{0C442F5B-040A-4688-8FB9-5B8B307D4C1A}"/>
    <cellStyle name="SAPBEXstdItemX 2 2 9" xfId="22909" xr:uid="{E3FD00C5-68B3-462D-8A57-4CCABD463B7E}"/>
    <cellStyle name="SAPBEXstdItemX 2 2 9 2" xfId="22910" xr:uid="{FDC3104C-F823-4C94-A8BA-F8386B9620DB}"/>
    <cellStyle name="SAPBEXstdItemX 2 3" xfId="22911" xr:uid="{88FCEE1C-44AA-41B3-9062-C1AA29093C81}"/>
    <cellStyle name="SAPBEXstdItemX 2 3 10" xfId="22912" xr:uid="{631DF210-9F8E-4BE9-88A5-C1062E607051}"/>
    <cellStyle name="SAPBEXstdItemX 2 3 10 2" xfId="22913" xr:uid="{3F7B5D56-65ED-4F4E-9E85-14E997CDA4C3}"/>
    <cellStyle name="SAPBEXstdItemX 2 3 11" xfId="22914" xr:uid="{9B658D9A-D35E-4577-86CF-B9C8CC2A5540}"/>
    <cellStyle name="SAPBEXstdItemX 2 3 11 2" xfId="22915" xr:uid="{DFCF7C0F-3955-4989-A888-8708CBD19B15}"/>
    <cellStyle name="SAPBEXstdItemX 2 3 12" xfId="22916" xr:uid="{19074748-15D6-4314-BA1B-C3FC61C57B6A}"/>
    <cellStyle name="SAPBEXstdItemX 2 3 12 2" xfId="22917" xr:uid="{8F1A9C5B-F42D-4EB9-91F3-492FC11D4318}"/>
    <cellStyle name="SAPBEXstdItemX 2 3 13" xfId="22918" xr:uid="{20E372F0-7C1B-4379-B187-C227EECF6796}"/>
    <cellStyle name="SAPBEXstdItemX 2 3 13 2" xfId="22919" xr:uid="{8803D087-978A-428F-BDE7-6E280213D05D}"/>
    <cellStyle name="SAPBEXstdItemX 2 3 14" xfId="22920" xr:uid="{DE335A2F-F5C4-4B40-BB6A-102B9E958692}"/>
    <cellStyle name="SAPBEXstdItemX 2 3 14 2" xfId="22921" xr:uid="{174E93CF-EEC4-4F6F-964A-D4078CE910E6}"/>
    <cellStyle name="SAPBEXstdItemX 2 3 15" xfId="22922" xr:uid="{CA0A8B34-0019-4A00-AFA2-D9D487A56AAE}"/>
    <cellStyle name="SAPBEXstdItemX 2 3 15 2" xfId="22923" xr:uid="{F11BA715-A4D6-479A-9313-A6F9CC510BB2}"/>
    <cellStyle name="SAPBEXstdItemX 2 3 16" xfId="22924" xr:uid="{3C0F2CFF-E7E7-4572-AD8C-8F0AB6929CF3}"/>
    <cellStyle name="SAPBEXstdItemX 2 3 16 2" xfId="22925" xr:uid="{4210EF45-5142-4904-ABCB-0FB5C2722746}"/>
    <cellStyle name="SAPBEXstdItemX 2 3 17" xfId="22926" xr:uid="{DA170ECC-F3DE-4580-ACE9-D7CCE103B90A}"/>
    <cellStyle name="SAPBEXstdItemX 2 3 17 2" xfId="22927" xr:uid="{33BBF3E5-6730-4429-BE39-35CEFDBE39F0}"/>
    <cellStyle name="SAPBEXstdItemX 2 3 18" xfId="22928" xr:uid="{EF0396CB-2E07-4479-AFF1-32C404CE746E}"/>
    <cellStyle name="SAPBEXstdItemX 2 3 2" xfId="22929" xr:uid="{D71C37F5-D318-4138-B127-C9D6925786CC}"/>
    <cellStyle name="SAPBEXstdItemX 2 3 2 10" xfId="22930" xr:uid="{6AF26AAC-F131-4925-9EB0-6DD58214F315}"/>
    <cellStyle name="SAPBEXstdItemX 2 3 2 10 2" xfId="22931" xr:uid="{D7A680E5-32E1-4543-BB29-7DB96A6E7B58}"/>
    <cellStyle name="SAPBEXstdItemX 2 3 2 11" xfId="22932" xr:uid="{0D10F786-E889-4552-9FDE-36ECB6EC0661}"/>
    <cellStyle name="SAPBEXstdItemX 2 3 2 11 2" xfId="22933" xr:uid="{C4E814C1-86A4-45F1-815F-BBEAE85E1828}"/>
    <cellStyle name="SAPBEXstdItemX 2 3 2 12" xfId="22934" xr:uid="{5C0B6DB1-C8FD-460D-BD70-2255E652A5CA}"/>
    <cellStyle name="SAPBEXstdItemX 2 3 2 12 2" xfId="22935" xr:uid="{FF98E662-1E8C-4E39-B4D8-49F70D2CDB34}"/>
    <cellStyle name="SAPBEXstdItemX 2 3 2 13" xfId="22936" xr:uid="{4D30EFC2-1EFC-45DD-941C-3EB1E53D0810}"/>
    <cellStyle name="SAPBEXstdItemX 2 3 2 13 2" xfId="22937" xr:uid="{838506F9-2ABF-4657-8055-069B34E09696}"/>
    <cellStyle name="SAPBEXstdItemX 2 3 2 14" xfId="22938" xr:uid="{0CD5309C-2DA8-42B3-8421-F89B6AFCF8D6}"/>
    <cellStyle name="SAPBEXstdItemX 2 3 2 14 2" xfId="22939" xr:uid="{7E7B54D9-D3C7-4F29-8C1F-0C00A42FB07A}"/>
    <cellStyle name="SAPBEXstdItemX 2 3 2 15" xfId="22940" xr:uid="{939FEEDD-FEA6-4D80-9B90-06446C9FF449}"/>
    <cellStyle name="SAPBEXstdItemX 2 3 2 15 2" xfId="22941" xr:uid="{1E67FF1C-FC61-458D-80C2-436AB674DE8D}"/>
    <cellStyle name="SAPBEXstdItemX 2 3 2 16" xfId="22942" xr:uid="{4DE7E3A3-5208-47F6-A3E4-F7A1446C6C3F}"/>
    <cellStyle name="SAPBEXstdItemX 2 3 2 2" xfId="22943" xr:uid="{380CDBDB-4418-46BC-8832-9955A51BD08B}"/>
    <cellStyle name="SAPBEXstdItemX 2 3 2 2 2" xfId="22944" xr:uid="{8E8E8ED6-C29E-40EE-9E31-790D594BDECC}"/>
    <cellStyle name="SAPBEXstdItemX 2 3 2 3" xfId="22945" xr:uid="{8CD61F4C-B357-4DE5-98B7-9621211313B9}"/>
    <cellStyle name="SAPBEXstdItemX 2 3 2 3 2" xfId="22946" xr:uid="{D1F6A32C-0C37-463E-9FEE-A9E84AE2818B}"/>
    <cellStyle name="SAPBEXstdItemX 2 3 2 4" xfId="22947" xr:uid="{2DBB283A-A01F-4D80-A7AF-D7A4AB71ED95}"/>
    <cellStyle name="SAPBEXstdItemX 2 3 2 4 2" xfId="22948" xr:uid="{0B939BE7-D962-48FE-BF45-9EB8A85AE498}"/>
    <cellStyle name="SAPBEXstdItemX 2 3 2 5" xfId="22949" xr:uid="{CFE8DBA5-9098-4476-AE66-E44E169A1C4B}"/>
    <cellStyle name="SAPBEXstdItemX 2 3 2 5 2" xfId="22950" xr:uid="{3D1CD814-E020-4F3C-A7B5-869059CC67DB}"/>
    <cellStyle name="SAPBEXstdItemX 2 3 2 6" xfId="22951" xr:uid="{9F5E1922-D184-4022-ABAD-7D54C8A46973}"/>
    <cellStyle name="SAPBEXstdItemX 2 3 2 6 2" xfId="22952" xr:uid="{2B8C3383-2627-43FE-B5DB-36191CDB32FC}"/>
    <cellStyle name="SAPBEXstdItemX 2 3 2 7" xfId="22953" xr:uid="{8C53A1ED-5E84-42B6-848D-1B5F8B92C24D}"/>
    <cellStyle name="SAPBEXstdItemX 2 3 2 7 2" xfId="22954" xr:uid="{9F9866D4-7DBA-422B-A774-8C64C75B9C8C}"/>
    <cellStyle name="SAPBEXstdItemX 2 3 2 8" xfId="22955" xr:uid="{6F448824-DCBB-4E18-99BF-D8E56E802B81}"/>
    <cellStyle name="SAPBEXstdItemX 2 3 2 8 2" xfId="22956" xr:uid="{2E70F58F-B0CA-4B94-B7A9-EE2D47B30AAC}"/>
    <cellStyle name="SAPBEXstdItemX 2 3 2 9" xfId="22957" xr:uid="{DD706B07-2356-4B89-9F48-61BCAB8FFFC4}"/>
    <cellStyle name="SAPBEXstdItemX 2 3 2 9 2" xfId="22958" xr:uid="{4D91E28B-D082-4A95-8C1A-0043C1C41C9C}"/>
    <cellStyle name="SAPBEXstdItemX 2 3 3" xfId="22959" xr:uid="{A5293229-546F-4B4C-A573-E89A8E2C4405}"/>
    <cellStyle name="SAPBEXstdItemX 2 3 3 10" xfId="22960" xr:uid="{B5DB3D35-3090-4F25-BB81-75AC5CE7129D}"/>
    <cellStyle name="SAPBEXstdItemX 2 3 3 10 2" xfId="22961" xr:uid="{9AECB793-9366-41AE-90CB-6FC5ECDC70F2}"/>
    <cellStyle name="SAPBEXstdItemX 2 3 3 11" xfId="22962" xr:uid="{CCF4C9E6-2FE5-47E1-888E-F9406BAD1118}"/>
    <cellStyle name="SAPBEXstdItemX 2 3 3 11 2" xfId="22963" xr:uid="{A6501035-52A0-472A-BDD1-CA306B869BD1}"/>
    <cellStyle name="SAPBEXstdItemX 2 3 3 12" xfId="22964" xr:uid="{04C89107-7CE8-4052-915B-F12DA3EDABD9}"/>
    <cellStyle name="SAPBEXstdItemX 2 3 3 12 2" xfId="22965" xr:uid="{31A8F59D-894C-490B-8C59-605AC98C1B18}"/>
    <cellStyle name="SAPBEXstdItemX 2 3 3 13" xfId="22966" xr:uid="{513A9CFB-3A48-4556-9008-53BFA27E2B48}"/>
    <cellStyle name="SAPBEXstdItemX 2 3 3 13 2" xfId="22967" xr:uid="{45CE2801-8753-4D10-9BAB-DDA44CDA2A0D}"/>
    <cellStyle name="SAPBEXstdItemX 2 3 3 14" xfId="22968" xr:uid="{BF2FC858-469A-47BA-B971-F3FA624F4FC9}"/>
    <cellStyle name="SAPBEXstdItemX 2 3 3 14 2" xfId="22969" xr:uid="{BF44AA62-806E-4389-A25D-1AE50B4B8AED}"/>
    <cellStyle name="SAPBEXstdItemX 2 3 3 15" xfId="22970" xr:uid="{2B952192-85A2-4AD3-BE82-1B31470883A7}"/>
    <cellStyle name="SAPBEXstdItemX 2 3 3 15 2" xfId="22971" xr:uid="{72491461-9307-4BB9-B536-BFC702874DA4}"/>
    <cellStyle name="SAPBEXstdItemX 2 3 3 16" xfId="22972" xr:uid="{AF75BBE3-A4F2-47D1-ABDC-20CB28A7DF51}"/>
    <cellStyle name="SAPBEXstdItemX 2 3 3 2" xfId="22973" xr:uid="{CEAC550D-90F2-4E65-86BE-F6E5E3193F1E}"/>
    <cellStyle name="SAPBEXstdItemX 2 3 3 2 2" xfId="22974" xr:uid="{7598E80A-D517-422D-A814-8B0B59B957FC}"/>
    <cellStyle name="SAPBEXstdItemX 2 3 3 3" xfId="22975" xr:uid="{EC9A6D4F-CE4A-41E8-A1E8-9A124DD0D7F5}"/>
    <cellStyle name="SAPBEXstdItemX 2 3 3 3 2" xfId="22976" xr:uid="{4C06BD1F-30F9-4C6A-B59C-C4F564AD6C38}"/>
    <cellStyle name="SAPBEXstdItemX 2 3 3 4" xfId="22977" xr:uid="{78D48D58-8DC7-4282-BD6F-606D70C76716}"/>
    <cellStyle name="SAPBEXstdItemX 2 3 3 4 2" xfId="22978" xr:uid="{7B2A74CA-7BEE-472D-86BB-87E52A527FBC}"/>
    <cellStyle name="SAPBEXstdItemX 2 3 3 5" xfId="22979" xr:uid="{9E5F0110-F506-4959-8F70-74BC67001C7B}"/>
    <cellStyle name="SAPBEXstdItemX 2 3 3 5 2" xfId="22980" xr:uid="{2600CB49-47E5-4270-8B7E-FB7DF20B347F}"/>
    <cellStyle name="SAPBEXstdItemX 2 3 3 6" xfId="22981" xr:uid="{43CB9763-C6DE-4449-B7E4-2579D9485D6B}"/>
    <cellStyle name="SAPBEXstdItemX 2 3 3 6 2" xfId="22982" xr:uid="{BDB228F6-19B8-4267-8E32-E9A375220F88}"/>
    <cellStyle name="SAPBEXstdItemX 2 3 3 7" xfId="22983" xr:uid="{4E2C8A74-DD4A-4001-B9DB-50A3CCCCA54E}"/>
    <cellStyle name="SAPBEXstdItemX 2 3 3 7 2" xfId="22984" xr:uid="{A4B3519F-6EF8-4443-B926-5B03727FE43C}"/>
    <cellStyle name="SAPBEXstdItemX 2 3 3 8" xfId="22985" xr:uid="{FA86E38C-F3FE-4D6A-A8EC-381FF7E851B5}"/>
    <cellStyle name="SAPBEXstdItemX 2 3 3 8 2" xfId="22986" xr:uid="{A0BA0106-7D06-4FA8-979F-A2B20B919588}"/>
    <cellStyle name="SAPBEXstdItemX 2 3 3 9" xfId="22987" xr:uid="{EA922530-556E-47FD-B8DE-62A224E08B93}"/>
    <cellStyle name="SAPBEXstdItemX 2 3 3 9 2" xfId="22988" xr:uid="{41875E21-7C77-4E94-AB7B-8779C63C61F9}"/>
    <cellStyle name="SAPBEXstdItemX 2 3 4" xfId="22989" xr:uid="{3AF6B9AF-B14A-4F70-B774-83D1416CA479}"/>
    <cellStyle name="SAPBEXstdItemX 2 3 4 2" xfId="22990" xr:uid="{272E1030-3B0D-4463-B4AE-814FD2A864DC}"/>
    <cellStyle name="SAPBEXstdItemX 2 3 5" xfId="22991" xr:uid="{9ECB8147-DC44-47F7-B6ED-1A6DCA9EFB93}"/>
    <cellStyle name="SAPBEXstdItemX 2 3 5 2" xfId="22992" xr:uid="{91D06A15-784C-4763-802B-39B5FF198EDB}"/>
    <cellStyle name="SAPBEXstdItemX 2 3 6" xfId="22993" xr:uid="{15BB1CCF-52E1-4B3A-85D6-3D5C051B100D}"/>
    <cellStyle name="SAPBEXstdItemX 2 3 6 2" xfId="22994" xr:uid="{2B5DB02E-C33B-49D9-A70E-9E551826CCE7}"/>
    <cellStyle name="SAPBEXstdItemX 2 3 7" xfId="22995" xr:uid="{2BC8EE54-247D-4ECF-B0AD-0F9C9C74970E}"/>
    <cellStyle name="SAPBEXstdItemX 2 3 7 2" xfId="22996" xr:uid="{475B924E-9038-40DF-A9FA-728E1D1F5AA7}"/>
    <cellStyle name="SAPBEXstdItemX 2 3 8" xfId="22997" xr:uid="{225C765D-3C65-480E-AD8C-3C4C697FC170}"/>
    <cellStyle name="SAPBEXstdItemX 2 3 8 2" xfId="22998" xr:uid="{6C1927D9-6DC6-4397-B31A-A9F88FF51432}"/>
    <cellStyle name="SAPBEXstdItemX 2 3 9" xfId="22999" xr:uid="{B961C307-2F57-40D4-BADB-8E1463C52FA3}"/>
    <cellStyle name="SAPBEXstdItemX 2 3 9 2" xfId="23000" xr:uid="{FBBE6BD1-2D85-48A3-AB7D-0EBA08E8BC28}"/>
    <cellStyle name="SAPBEXstdItemX 2 4" xfId="23001" xr:uid="{76B95798-761A-474A-8079-CBD257D00DFE}"/>
    <cellStyle name="SAPBEXstdItemX 2 4 2" xfId="23002" xr:uid="{CE7C6F89-7791-40A3-BEE1-554CDB57DDFE}"/>
    <cellStyle name="SAPBEXstdItemX 2 5" xfId="23003" xr:uid="{30FF7FF5-2563-45B5-9B17-9B2B5FB19AD7}"/>
    <cellStyle name="SAPBEXstdItemX 2 5 2" xfId="23004" xr:uid="{79E286BD-53F6-4108-9AB9-2B15DBF171FF}"/>
    <cellStyle name="SAPBEXstdItemX 2 6" xfId="23005" xr:uid="{33E8FE44-8A64-4BC0-93E0-11C070C07893}"/>
    <cellStyle name="SAPBEXstdItemX 2 6 2" xfId="23006" xr:uid="{8B1481D1-0B0D-40B8-A246-DF8BDE8205F9}"/>
    <cellStyle name="SAPBEXstdItemX 2 7" xfId="23007" xr:uid="{3BF04DD2-D919-4812-9142-6181745D1057}"/>
    <cellStyle name="SAPBEXstdItemX 2 7 2" xfId="23008" xr:uid="{CC33AE86-B4EC-4BE9-9A37-270B951C0513}"/>
    <cellStyle name="SAPBEXstdItemX 2 8" xfId="23009" xr:uid="{C67E8D28-0734-4412-B302-89CCFC58AB9C}"/>
    <cellStyle name="SAPBEXstdItemX 2 8 2" xfId="23010" xr:uid="{A9A977AD-ED55-4D8A-9559-B048C84FB46A}"/>
    <cellStyle name="SAPBEXstdItemX 2 9" xfId="23011" xr:uid="{5E1D4261-7310-4ECE-8391-4CB62894F55A}"/>
    <cellStyle name="SAPBEXstdItemX 2 9 2" xfId="23012" xr:uid="{6F5CC30C-A4CD-43C8-A408-00EA76C33681}"/>
    <cellStyle name="SAPBEXstdItemX 2_T1 ANSP" xfId="22803" xr:uid="{E9D47F90-2249-4744-BAF4-1929BF3260C9}"/>
    <cellStyle name="SAPBEXstdItemX 20" xfId="23013" xr:uid="{1B702900-FC6E-458D-AFAA-1B3FB92CAE59}"/>
    <cellStyle name="SAPBEXstdItemX 3" xfId="1533" xr:uid="{00000000-0005-0000-0000-0000BA050000}"/>
    <cellStyle name="SAPBEXstdItemX 3 10" xfId="23015" xr:uid="{E4CC7F58-98CC-4AAB-96E8-8E2667171714}"/>
    <cellStyle name="SAPBEXstdItemX 3 10 2" xfId="23016" xr:uid="{F1DDCD2F-8F28-4D05-A0A0-8174258D4B9E}"/>
    <cellStyle name="SAPBEXstdItemX 3 11" xfId="23017" xr:uid="{791AA6C0-5628-4790-AE18-DDE8838FCF2D}"/>
    <cellStyle name="SAPBEXstdItemX 3 11 2" xfId="23018" xr:uid="{7D21D768-2C55-4BB8-A7CB-D91211D908CA}"/>
    <cellStyle name="SAPBEXstdItemX 3 12" xfId="23019" xr:uid="{06691D3D-3E7A-44BE-9FCE-00BDF8FBA020}"/>
    <cellStyle name="SAPBEXstdItemX 3 12 2" xfId="23020" xr:uid="{A8833194-B56C-401C-A7E2-BD201D4F4A28}"/>
    <cellStyle name="SAPBEXstdItemX 3 13" xfId="23021" xr:uid="{34B1FF49-E06D-49D1-AFE8-A292E0D56154}"/>
    <cellStyle name="SAPBEXstdItemX 3 13 2" xfId="23022" xr:uid="{DE9F5E48-045B-4889-A1A0-C52EB5B341C8}"/>
    <cellStyle name="SAPBEXstdItemX 3 14" xfId="23023" xr:uid="{9953166B-1433-4B3C-88BC-DF146D71F99E}"/>
    <cellStyle name="SAPBEXstdItemX 3 14 2" xfId="23024" xr:uid="{3DF3A00A-9244-4F32-8609-410D387E6190}"/>
    <cellStyle name="SAPBEXstdItemX 3 15" xfId="23025" xr:uid="{01F446FA-7859-45E5-BA42-0117D89720EF}"/>
    <cellStyle name="SAPBEXstdItemX 3 15 2" xfId="23026" xr:uid="{FC73BF51-65EF-49E7-8518-2FA12112886A}"/>
    <cellStyle name="SAPBEXstdItemX 3 16" xfId="23027" xr:uid="{8764111B-964E-4E1B-8BBE-020F0C2E6EAF}"/>
    <cellStyle name="SAPBEXstdItemX 3 16 2" xfId="23028" xr:uid="{06D8A9E0-084D-49E8-96D1-1B652875D23F}"/>
    <cellStyle name="SAPBEXstdItemX 3 17" xfId="23029" xr:uid="{11CD8069-415B-43E2-91F9-C806C93E55C2}"/>
    <cellStyle name="SAPBEXstdItemX 3 17 2" xfId="23030" xr:uid="{EA054444-1C32-473D-98BF-BA399CC9170D}"/>
    <cellStyle name="SAPBEXstdItemX 3 18" xfId="23031" xr:uid="{658E0FBA-1ADB-4BFD-A72D-BD69976961E0}"/>
    <cellStyle name="SAPBEXstdItemX 3 2" xfId="23032" xr:uid="{EB02D7DF-0A57-4331-B21B-F05F9855BDBC}"/>
    <cellStyle name="SAPBEXstdItemX 3 2 10" xfId="23033" xr:uid="{CF5973D5-DFEB-443D-BFFF-192EF1DE747D}"/>
    <cellStyle name="SAPBEXstdItemX 3 2 10 2" xfId="23034" xr:uid="{64E7BB26-C188-4A6F-9691-D668E87C74C1}"/>
    <cellStyle name="SAPBEXstdItemX 3 2 11" xfId="23035" xr:uid="{CD9B5FDD-73DB-40F4-9425-4A93223B3BA5}"/>
    <cellStyle name="SAPBEXstdItemX 3 2 11 2" xfId="23036" xr:uid="{3B807AB7-1802-4758-84E8-E2C70737F7FA}"/>
    <cellStyle name="SAPBEXstdItemX 3 2 12" xfId="23037" xr:uid="{1C10BEF3-DF3F-49D4-9538-100FC93F7E8E}"/>
    <cellStyle name="SAPBEXstdItemX 3 2 12 2" xfId="23038" xr:uid="{1EF1D3D8-751C-489A-AC7E-38D4231C8FFF}"/>
    <cellStyle name="SAPBEXstdItemX 3 2 13" xfId="23039" xr:uid="{66F3CC2C-6406-4209-A5D7-E2BDB3CAE5FB}"/>
    <cellStyle name="SAPBEXstdItemX 3 2 13 2" xfId="23040" xr:uid="{4461DB62-E664-429F-B658-240791A85F2A}"/>
    <cellStyle name="SAPBEXstdItemX 3 2 14" xfId="23041" xr:uid="{99AD84D4-605C-4EFD-9BB7-AA65945B8741}"/>
    <cellStyle name="SAPBEXstdItemX 3 2 14 2" xfId="23042" xr:uid="{6CC39B01-C0A7-41BC-9514-CB6B7458334F}"/>
    <cellStyle name="SAPBEXstdItemX 3 2 15" xfId="23043" xr:uid="{E7814B11-CF15-4BF9-A8FF-BEE63A2BB4FB}"/>
    <cellStyle name="SAPBEXstdItemX 3 2 15 2" xfId="23044" xr:uid="{AC6CACBB-0868-47D0-A5C0-28FBE903F95C}"/>
    <cellStyle name="SAPBEXstdItemX 3 2 16" xfId="23045" xr:uid="{DD60B267-1121-4947-981C-0303CF7F3525}"/>
    <cellStyle name="SAPBEXstdItemX 3 2 2" xfId="23046" xr:uid="{FB24F684-E39B-4F2D-90E5-7D06545D06D8}"/>
    <cellStyle name="SAPBEXstdItemX 3 2 2 2" xfId="23047" xr:uid="{9A12324B-5FA6-4869-A11F-16C00C808F8F}"/>
    <cellStyle name="SAPBEXstdItemX 3 2 3" xfId="23048" xr:uid="{63CA77E3-178D-4D17-AC17-398253139046}"/>
    <cellStyle name="SAPBEXstdItemX 3 2 3 2" xfId="23049" xr:uid="{752F76AB-B541-44CD-96B1-761AFB98206C}"/>
    <cellStyle name="SAPBEXstdItemX 3 2 4" xfId="23050" xr:uid="{8C060A18-9EA8-436A-A583-AAF87D3AC7C7}"/>
    <cellStyle name="SAPBEXstdItemX 3 2 4 2" xfId="23051" xr:uid="{637D4C49-E3C3-4665-8067-B28E0B74775C}"/>
    <cellStyle name="SAPBEXstdItemX 3 2 5" xfId="23052" xr:uid="{07D64519-CBD4-48CB-AD29-4842ABB7AC02}"/>
    <cellStyle name="SAPBEXstdItemX 3 2 5 2" xfId="23053" xr:uid="{2D093409-E25D-46FA-93E7-747B144453F1}"/>
    <cellStyle name="SAPBEXstdItemX 3 2 6" xfId="23054" xr:uid="{5857E30F-30B4-4D26-B39C-5966959BA730}"/>
    <cellStyle name="SAPBEXstdItemX 3 2 6 2" xfId="23055" xr:uid="{32B42922-4EE3-40ED-9500-4377BA8E4A84}"/>
    <cellStyle name="SAPBEXstdItemX 3 2 7" xfId="23056" xr:uid="{AF570863-3F28-4857-9A62-C5FDF6B39D35}"/>
    <cellStyle name="SAPBEXstdItemX 3 2 7 2" xfId="23057" xr:uid="{14772541-DEF0-4282-B48B-D18C109A593F}"/>
    <cellStyle name="SAPBEXstdItemX 3 2 8" xfId="23058" xr:uid="{E40C9CF2-DB60-42E0-81DF-8CCD8B60C718}"/>
    <cellStyle name="SAPBEXstdItemX 3 2 8 2" xfId="23059" xr:uid="{349DAC53-BCFD-4792-9359-CFCB411321D8}"/>
    <cellStyle name="SAPBEXstdItemX 3 2 9" xfId="23060" xr:uid="{DCB178E5-6198-4212-94DA-3255164F452D}"/>
    <cellStyle name="SAPBEXstdItemX 3 2 9 2" xfId="23061" xr:uid="{CF98F982-E1AB-45F7-8289-8060B29E9BC5}"/>
    <cellStyle name="SAPBEXstdItemX 3 3" xfId="23062" xr:uid="{216E8D78-ED0F-4544-B7F7-6AD579643E15}"/>
    <cellStyle name="SAPBEXstdItemX 3 3 10" xfId="23063" xr:uid="{A615E52B-37D7-46AB-B5FA-26F432F84D72}"/>
    <cellStyle name="SAPBEXstdItemX 3 3 10 2" xfId="23064" xr:uid="{5E5CBFA9-7FDB-4771-B003-C0E562D38457}"/>
    <cellStyle name="SAPBEXstdItemX 3 3 11" xfId="23065" xr:uid="{7C003F41-27E6-417A-85B4-703420D593C2}"/>
    <cellStyle name="SAPBEXstdItemX 3 3 11 2" xfId="23066" xr:uid="{B88FEEC5-C618-4D23-9984-146C64EDCB08}"/>
    <cellStyle name="SAPBEXstdItemX 3 3 12" xfId="23067" xr:uid="{900CE909-2A4D-426D-95FF-EF9499BAFB07}"/>
    <cellStyle name="SAPBEXstdItemX 3 3 12 2" xfId="23068" xr:uid="{CA078382-2B0E-4322-BE7D-DA0EEDFD7EC0}"/>
    <cellStyle name="SAPBEXstdItemX 3 3 13" xfId="23069" xr:uid="{186D69AA-D1F1-4E61-AE77-CF22FE639E9F}"/>
    <cellStyle name="SAPBEXstdItemX 3 3 13 2" xfId="23070" xr:uid="{F9FC08C8-A555-4924-8676-E43EA2586AA6}"/>
    <cellStyle name="SAPBEXstdItemX 3 3 14" xfId="23071" xr:uid="{64B010CB-58A1-4588-A502-47293E98457D}"/>
    <cellStyle name="SAPBEXstdItemX 3 3 14 2" xfId="23072" xr:uid="{80640ECF-EE12-44D1-A3EE-375A04C9E9BB}"/>
    <cellStyle name="SAPBEXstdItemX 3 3 15" xfId="23073" xr:uid="{238016C2-9830-4CF8-946B-19A3A0527043}"/>
    <cellStyle name="SAPBEXstdItemX 3 3 15 2" xfId="23074" xr:uid="{49B46317-463A-4A6A-80FE-51E6B74CC557}"/>
    <cellStyle name="SAPBEXstdItemX 3 3 16" xfId="23075" xr:uid="{D556E268-37E3-4373-822B-F9163A4C283A}"/>
    <cellStyle name="SAPBEXstdItemX 3 3 2" xfId="23076" xr:uid="{087C3CCE-3833-4425-98CE-5B7E5A41891D}"/>
    <cellStyle name="SAPBEXstdItemX 3 3 2 2" xfId="23077" xr:uid="{816030C2-73A1-4036-81BE-A238B94D230E}"/>
    <cellStyle name="SAPBEXstdItemX 3 3 3" xfId="23078" xr:uid="{70171E69-C2E9-4348-A29C-43359F54F815}"/>
    <cellStyle name="SAPBEXstdItemX 3 3 3 2" xfId="23079" xr:uid="{FB6E4D37-0B6C-4515-8C1E-A255B8C848AC}"/>
    <cellStyle name="SAPBEXstdItemX 3 3 4" xfId="23080" xr:uid="{E51429FF-9F5A-4A7C-AFA4-AFCE59D9ED9B}"/>
    <cellStyle name="SAPBEXstdItemX 3 3 4 2" xfId="23081" xr:uid="{2CE5D663-0977-4FDD-A389-2937D3C01C31}"/>
    <cellStyle name="SAPBEXstdItemX 3 3 5" xfId="23082" xr:uid="{75580546-7C28-4E6F-BCBC-8652F590E3AE}"/>
    <cellStyle name="SAPBEXstdItemX 3 3 5 2" xfId="23083" xr:uid="{CB328C28-9562-4821-B191-29D65B69FFB4}"/>
    <cellStyle name="SAPBEXstdItemX 3 3 6" xfId="23084" xr:uid="{12CC1375-A809-4E1B-935C-8CA35D3AEF8B}"/>
    <cellStyle name="SAPBEXstdItemX 3 3 6 2" xfId="23085" xr:uid="{78F8E8F9-0FD6-451B-8CB5-ABFF4E2115A5}"/>
    <cellStyle name="SAPBEXstdItemX 3 3 7" xfId="23086" xr:uid="{D6FE2804-C88C-4C94-8941-9601E176A612}"/>
    <cellStyle name="SAPBEXstdItemX 3 3 7 2" xfId="23087" xr:uid="{2DAC8402-3F08-496D-B2C3-CFDDD170849B}"/>
    <cellStyle name="SAPBEXstdItemX 3 3 8" xfId="23088" xr:uid="{F4C7601E-D6DE-48E8-A23E-E2C403BBC20E}"/>
    <cellStyle name="SAPBEXstdItemX 3 3 8 2" xfId="23089" xr:uid="{CF392FA7-AD83-49F8-B0F6-55598706CD00}"/>
    <cellStyle name="SAPBEXstdItemX 3 3 9" xfId="23090" xr:uid="{AD099CDA-5543-49D8-AF02-6CE6E2B01DE8}"/>
    <cellStyle name="SAPBEXstdItemX 3 3 9 2" xfId="23091" xr:uid="{604D9211-9333-4F4C-B853-FD6293BC7C11}"/>
    <cellStyle name="SAPBEXstdItemX 3 4" xfId="23092" xr:uid="{59B13278-ECFE-48F6-8A01-7FD6F3FF6331}"/>
    <cellStyle name="SAPBEXstdItemX 3 4 2" xfId="23093" xr:uid="{DAA2929E-C1FE-496F-863B-6BB0B3A11116}"/>
    <cellStyle name="SAPBEXstdItemX 3 5" xfId="23094" xr:uid="{3ED504BD-6099-41E1-A7E0-C3FAF12DFFA4}"/>
    <cellStyle name="SAPBEXstdItemX 3 5 2" xfId="23095" xr:uid="{7D5D3EBC-19B0-4877-B1B3-F947DD83B60B}"/>
    <cellStyle name="SAPBEXstdItemX 3 6" xfId="23096" xr:uid="{4D9A1B2B-595C-491A-8322-161AED32DC4A}"/>
    <cellStyle name="SAPBEXstdItemX 3 6 2" xfId="23097" xr:uid="{83FD7C45-5BBC-4A32-A43A-86513D46BB53}"/>
    <cellStyle name="SAPBEXstdItemX 3 7" xfId="23098" xr:uid="{AF24A5C6-F2B1-4E10-AFB7-C45A1ABAE9DD}"/>
    <cellStyle name="SAPBEXstdItemX 3 7 2" xfId="23099" xr:uid="{2270EC09-66D0-4795-A32E-960096B9C5C3}"/>
    <cellStyle name="SAPBEXstdItemX 3 8" xfId="23100" xr:uid="{D354B90D-99C4-45D3-8A55-194D456D089C}"/>
    <cellStyle name="SAPBEXstdItemX 3 8 2" xfId="23101" xr:uid="{686A9E2A-41D9-4520-A4F3-732314028BFB}"/>
    <cellStyle name="SAPBEXstdItemX 3 9" xfId="23102" xr:uid="{5D137054-0C60-492D-A2E6-A714E3CC8144}"/>
    <cellStyle name="SAPBEXstdItemX 3 9 2" xfId="23103" xr:uid="{BB7DC5E6-846D-49EC-BC4C-71F3C1AAC9B1}"/>
    <cellStyle name="SAPBEXstdItemX 3_T1 ANSP" xfId="23014" xr:uid="{AC508D90-BD40-4C96-B4B0-740B7F6EE15A}"/>
    <cellStyle name="SAPBEXstdItemX 4" xfId="23104" xr:uid="{CAF6E813-11D3-4D8B-9D11-7147A7BC8973}"/>
    <cellStyle name="SAPBEXstdItemX 4 10" xfId="23105" xr:uid="{9D9C19AA-78D6-4022-BA7A-AE13BB217278}"/>
    <cellStyle name="SAPBEXstdItemX 4 10 2" xfId="23106" xr:uid="{ABD88CC9-70D7-4575-AB54-36F1891D84FE}"/>
    <cellStyle name="SAPBEXstdItemX 4 11" xfId="23107" xr:uid="{5F78C130-6BBC-46A2-9092-846C1CE3D1CD}"/>
    <cellStyle name="SAPBEXstdItemX 4 11 2" xfId="23108" xr:uid="{5793F476-4C4C-4177-A903-BC11371B7AC2}"/>
    <cellStyle name="SAPBEXstdItemX 4 12" xfId="23109" xr:uid="{E3F13921-0499-44E7-9F32-44818E0A0608}"/>
    <cellStyle name="SAPBEXstdItemX 4 12 2" xfId="23110" xr:uid="{73C562BA-D014-4B36-9A0E-D1600EDC3924}"/>
    <cellStyle name="SAPBEXstdItemX 4 13" xfId="23111" xr:uid="{0D7CB09A-975E-4BBB-887B-90502ECE4D62}"/>
    <cellStyle name="SAPBEXstdItemX 4 13 2" xfId="23112" xr:uid="{EC59264D-C381-4308-83F8-B918758FEF46}"/>
    <cellStyle name="SAPBEXstdItemX 4 14" xfId="23113" xr:uid="{D437AC41-3912-4763-8A7E-0C4A8922C322}"/>
    <cellStyle name="SAPBEXstdItemX 4 14 2" xfId="23114" xr:uid="{492422B5-5660-464A-B5D5-7E033FDE77E2}"/>
    <cellStyle name="SAPBEXstdItemX 4 15" xfId="23115" xr:uid="{73F8EF8D-0D70-486A-97A5-C84BC7E0CF17}"/>
    <cellStyle name="SAPBEXstdItemX 4 15 2" xfId="23116" xr:uid="{614FE40A-285C-40B1-9A81-F1CC78CCE034}"/>
    <cellStyle name="SAPBEXstdItemX 4 16" xfId="23117" xr:uid="{939AC2C5-AA30-4F14-8068-3A92CACFE5F1}"/>
    <cellStyle name="SAPBEXstdItemX 4 16 2" xfId="23118" xr:uid="{9927EF45-BB77-4B6A-AA0A-98A37EE4140C}"/>
    <cellStyle name="SAPBEXstdItemX 4 17" xfId="23119" xr:uid="{F4101859-6D25-480B-8C60-5448A377D185}"/>
    <cellStyle name="SAPBEXstdItemX 4 17 2" xfId="23120" xr:uid="{ED37B98E-B3D5-46CE-9762-EBCA021F3A6E}"/>
    <cellStyle name="SAPBEXstdItemX 4 18" xfId="23121" xr:uid="{6245CCCC-12A5-42B2-9A05-A787F38E6328}"/>
    <cellStyle name="SAPBEXstdItemX 4 2" xfId="23122" xr:uid="{46B8DA58-A8EC-4026-81D7-E7BB5C65DED8}"/>
    <cellStyle name="SAPBEXstdItemX 4 2 10" xfId="23123" xr:uid="{469A9C48-EC20-4701-9C21-51E289ECAB70}"/>
    <cellStyle name="SAPBEXstdItemX 4 2 10 2" xfId="23124" xr:uid="{6E3D5515-86A8-4AB7-B858-680C8F51A380}"/>
    <cellStyle name="SAPBEXstdItemX 4 2 11" xfId="23125" xr:uid="{4623A4E6-8541-4341-997B-BFE0F66CC2E4}"/>
    <cellStyle name="SAPBEXstdItemX 4 2 11 2" xfId="23126" xr:uid="{6443289F-3A52-4AE6-8A7B-EBCA5C9C41C8}"/>
    <cellStyle name="SAPBEXstdItemX 4 2 12" xfId="23127" xr:uid="{C541D72C-504C-4111-8D93-A26DD33E97D2}"/>
    <cellStyle name="SAPBEXstdItemX 4 2 12 2" xfId="23128" xr:uid="{A3E914D3-3665-4F3E-8A5C-EB7916DAD9EF}"/>
    <cellStyle name="SAPBEXstdItemX 4 2 13" xfId="23129" xr:uid="{24EFA897-069F-4B56-96B2-596A0B1CA509}"/>
    <cellStyle name="SAPBEXstdItemX 4 2 13 2" xfId="23130" xr:uid="{F6A42B0B-9C5B-4286-87FB-57A75F654940}"/>
    <cellStyle name="SAPBEXstdItemX 4 2 14" xfId="23131" xr:uid="{76B2C24E-661F-41F8-9E87-5E72560F3E4E}"/>
    <cellStyle name="SAPBEXstdItemX 4 2 14 2" xfId="23132" xr:uid="{D2124B73-4EA0-4260-B457-93CADC7B2BE5}"/>
    <cellStyle name="SAPBEXstdItemX 4 2 15" xfId="23133" xr:uid="{E5C01083-1BAA-47A1-8D14-3886783A6AE3}"/>
    <cellStyle name="SAPBEXstdItemX 4 2 15 2" xfId="23134" xr:uid="{50F5F501-70C8-4308-87D5-8E1DE35CD06C}"/>
    <cellStyle name="SAPBEXstdItemX 4 2 16" xfId="23135" xr:uid="{FA7BD253-F24B-40A0-BB30-B124EB88877E}"/>
    <cellStyle name="SAPBEXstdItemX 4 2 2" xfId="23136" xr:uid="{436A0FCE-F6E6-43CF-9C2D-E2B48F9C5A1B}"/>
    <cellStyle name="SAPBEXstdItemX 4 2 2 2" xfId="23137" xr:uid="{7323E1EB-B907-44E9-AD33-6EE95181E9D0}"/>
    <cellStyle name="SAPBEXstdItemX 4 2 3" xfId="23138" xr:uid="{4A06A80F-1A9A-496B-AAB1-4140A0FC8687}"/>
    <cellStyle name="SAPBEXstdItemX 4 2 3 2" xfId="23139" xr:uid="{3170BAAC-E90D-4621-93FD-4F8900620BF2}"/>
    <cellStyle name="SAPBEXstdItemX 4 2 4" xfId="23140" xr:uid="{7C615220-1D3D-46F2-ABFD-7F8B8D1351E1}"/>
    <cellStyle name="SAPBEXstdItemX 4 2 4 2" xfId="23141" xr:uid="{04B765E0-0EE3-4B74-AE7F-BE774913A868}"/>
    <cellStyle name="SAPBEXstdItemX 4 2 5" xfId="23142" xr:uid="{FB463BAC-34D5-4C98-82F9-4496A08B77EB}"/>
    <cellStyle name="SAPBEXstdItemX 4 2 5 2" xfId="23143" xr:uid="{63EFA022-6C15-4B01-AC1E-7896924A37AD}"/>
    <cellStyle name="SAPBEXstdItemX 4 2 6" xfId="23144" xr:uid="{2052F0C9-24C7-4F62-A595-D73F5866E5F9}"/>
    <cellStyle name="SAPBEXstdItemX 4 2 6 2" xfId="23145" xr:uid="{4E0F4A54-89E8-4A26-9D0B-0CA4EB2FD567}"/>
    <cellStyle name="SAPBEXstdItemX 4 2 7" xfId="23146" xr:uid="{006061A5-8B2F-4E6C-BF14-923CD3831DE3}"/>
    <cellStyle name="SAPBEXstdItemX 4 2 7 2" xfId="23147" xr:uid="{402AB31C-3326-4B87-B5E7-753BFBAC02C0}"/>
    <cellStyle name="SAPBEXstdItemX 4 2 8" xfId="23148" xr:uid="{FFF0EF08-5274-4201-A852-0979D2E06BB0}"/>
    <cellStyle name="SAPBEXstdItemX 4 2 8 2" xfId="23149" xr:uid="{4491835F-64BC-4904-A6C2-EB8AB9C0B88C}"/>
    <cellStyle name="SAPBEXstdItemX 4 2 9" xfId="23150" xr:uid="{22C0D9B2-9B9E-4254-A394-14A0E1B64534}"/>
    <cellStyle name="SAPBEXstdItemX 4 2 9 2" xfId="23151" xr:uid="{32D82A42-1A70-4765-8695-CF5CD2032A63}"/>
    <cellStyle name="SAPBEXstdItemX 4 3" xfId="23152" xr:uid="{179B9A05-A036-4421-821F-E99F3D8DDCBA}"/>
    <cellStyle name="SAPBEXstdItemX 4 3 10" xfId="23153" xr:uid="{ED365940-0B32-4842-90E0-71F11F7350E0}"/>
    <cellStyle name="SAPBEXstdItemX 4 3 10 2" xfId="23154" xr:uid="{01659265-6BC2-4BE5-904C-85C14D7A582A}"/>
    <cellStyle name="SAPBEXstdItemX 4 3 11" xfId="23155" xr:uid="{62077943-9E5A-415A-8DE4-0736411289BC}"/>
    <cellStyle name="SAPBEXstdItemX 4 3 11 2" xfId="23156" xr:uid="{FE975FC8-FB81-4B87-80A6-31B09B36D579}"/>
    <cellStyle name="SAPBEXstdItemX 4 3 12" xfId="23157" xr:uid="{D354E99A-6416-4DD6-8D83-E9A1410F24E6}"/>
    <cellStyle name="SAPBEXstdItemX 4 3 12 2" xfId="23158" xr:uid="{45A8D011-0E21-4CE2-8ABE-1A4B75AAA109}"/>
    <cellStyle name="SAPBEXstdItemX 4 3 13" xfId="23159" xr:uid="{E4026113-B077-4B13-A3D3-247A7E1F4A36}"/>
    <cellStyle name="SAPBEXstdItemX 4 3 13 2" xfId="23160" xr:uid="{1EC1C2CF-4F3F-4EBD-973B-02D23AD4425D}"/>
    <cellStyle name="SAPBEXstdItemX 4 3 14" xfId="23161" xr:uid="{6C2252C1-9C13-491B-A50C-EA00CB8B1C30}"/>
    <cellStyle name="SAPBEXstdItemX 4 3 14 2" xfId="23162" xr:uid="{52F104BA-F47C-4063-9C7F-CFF37C1D3128}"/>
    <cellStyle name="SAPBEXstdItemX 4 3 15" xfId="23163" xr:uid="{BF7B4FB7-8C1E-4D9C-9189-BA43D40DDB37}"/>
    <cellStyle name="SAPBEXstdItemX 4 3 15 2" xfId="23164" xr:uid="{AC380DC1-B6E2-4F71-A8D2-F84B73965984}"/>
    <cellStyle name="SAPBEXstdItemX 4 3 16" xfId="23165" xr:uid="{7AB76AC6-0DFF-44E2-919C-351EF8E005E9}"/>
    <cellStyle name="SAPBEXstdItemX 4 3 2" xfId="23166" xr:uid="{867BF9BB-0A31-4AC0-9206-ED6CF541BF3A}"/>
    <cellStyle name="SAPBEXstdItemX 4 3 2 2" xfId="23167" xr:uid="{06AC5122-CA5D-4515-BB50-383CE212A669}"/>
    <cellStyle name="SAPBEXstdItemX 4 3 3" xfId="23168" xr:uid="{14E49AF7-DE72-49A6-9885-545D65714E62}"/>
    <cellStyle name="SAPBEXstdItemX 4 3 3 2" xfId="23169" xr:uid="{EBCB235E-8A94-40E5-A062-3D060BC2F0FD}"/>
    <cellStyle name="SAPBEXstdItemX 4 3 4" xfId="23170" xr:uid="{D445B85D-670A-4717-8F1D-A7134C956E18}"/>
    <cellStyle name="SAPBEXstdItemX 4 3 4 2" xfId="23171" xr:uid="{BBFFB6F5-8F8A-4967-A32C-2B872073F848}"/>
    <cellStyle name="SAPBEXstdItemX 4 3 5" xfId="23172" xr:uid="{BED2E7BA-73B6-4A0B-952F-3BD2F9839756}"/>
    <cellStyle name="SAPBEXstdItemX 4 3 5 2" xfId="23173" xr:uid="{CDCFE0E9-762B-40A3-AD5C-DDB0753A9A61}"/>
    <cellStyle name="SAPBEXstdItemX 4 3 6" xfId="23174" xr:uid="{D1ACAC7E-E8DC-414C-8CAE-8A086066E0E4}"/>
    <cellStyle name="SAPBEXstdItemX 4 3 6 2" xfId="23175" xr:uid="{BF0D6B23-55EF-478F-AB7A-41BF0CFE54B3}"/>
    <cellStyle name="SAPBEXstdItemX 4 3 7" xfId="23176" xr:uid="{530FC7BC-C112-4C4E-AFDC-C0DC1BE76BEE}"/>
    <cellStyle name="SAPBEXstdItemX 4 3 7 2" xfId="23177" xr:uid="{510142A3-5869-4E80-BD52-5A477C4AFF22}"/>
    <cellStyle name="SAPBEXstdItemX 4 3 8" xfId="23178" xr:uid="{462FF815-1303-44EB-BCE0-55F26B317DCE}"/>
    <cellStyle name="SAPBEXstdItemX 4 3 8 2" xfId="23179" xr:uid="{653F8E95-4B6E-4B80-B7FF-1022D525FF41}"/>
    <cellStyle name="SAPBEXstdItemX 4 3 9" xfId="23180" xr:uid="{3CE35984-F2B5-44E3-9CE1-2BC82C97F895}"/>
    <cellStyle name="SAPBEXstdItemX 4 3 9 2" xfId="23181" xr:uid="{25CDF774-B476-49B0-8CB4-C2A5EB3CC48D}"/>
    <cellStyle name="SAPBEXstdItemX 4 4" xfId="23182" xr:uid="{A0C13E09-3DE7-4C03-9E0F-6C79CEF7F7A0}"/>
    <cellStyle name="SAPBEXstdItemX 4 4 2" xfId="23183" xr:uid="{0DC98F75-28C4-4A03-9A9F-1102AB267E40}"/>
    <cellStyle name="SAPBEXstdItemX 4 5" xfId="23184" xr:uid="{C79F70F0-5340-4EF3-AB16-D72391817717}"/>
    <cellStyle name="SAPBEXstdItemX 4 5 2" xfId="23185" xr:uid="{A8CB541D-00C1-41B2-9346-6779DE19C462}"/>
    <cellStyle name="SAPBEXstdItemX 4 6" xfId="23186" xr:uid="{AF5AC531-E06C-4C95-8038-82D0EEA47435}"/>
    <cellStyle name="SAPBEXstdItemX 4 6 2" xfId="23187" xr:uid="{F828B502-7DB6-47E4-8372-A641749F5025}"/>
    <cellStyle name="SAPBEXstdItemX 4 7" xfId="23188" xr:uid="{A6D6E76D-D6A4-4B84-9033-C6356B460CBE}"/>
    <cellStyle name="SAPBEXstdItemX 4 7 2" xfId="23189" xr:uid="{5FDDDAB9-3C6E-4921-95AB-4712254D7849}"/>
    <cellStyle name="SAPBEXstdItemX 4 8" xfId="23190" xr:uid="{EBF278BC-F9CD-4BF7-97E4-72C0ECA4DCAF}"/>
    <cellStyle name="SAPBEXstdItemX 4 8 2" xfId="23191" xr:uid="{2242737A-0DDC-4449-9B74-AF8A2E5467A6}"/>
    <cellStyle name="SAPBEXstdItemX 4 9" xfId="23192" xr:uid="{0BDBD13A-EF6B-4361-A405-AB47D1781228}"/>
    <cellStyle name="SAPBEXstdItemX 4 9 2" xfId="23193" xr:uid="{E18498F9-983D-4F76-A89B-871A74B3A649}"/>
    <cellStyle name="SAPBEXstdItemX 5" xfId="23194" xr:uid="{9258A2B7-EA3E-48DD-A3E4-6863C411CFC3}"/>
    <cellStyle name="SAPBEXstdItemX 5 10" xfId="23195" xr:uid="{858883FF-EDA6-4BB1-8DFF-212C37EB3D3E}"/>
    <cellStyle name="SAPBEXstdItemX 5 10 2" xfId="23196" xr:uid="{A9848F82-8111-4563-81FC-0C51A29A20A5}"/>
    <cellStyle name="SAPBEXstdItemX 5 11" xfId="23197" xr:uid="{2F88D408-70D9-4DE1-A211-B0B072B4C6C8}"/>
    <cellStyle name="SAPBEXstdItemX 5 11 2" xfId="23198" xr:uid="{A1E3BF77-E100-4C27-BA57-B9211CD11BE6}"/>
    <cellStyle name="SAPBEXstdItemX 5 12" xfId="23199" xr:uid="{758733B2-A872-449E-ABC5-A95AF12F6AF0}"/>
    <cellStyle name="SAPBEXstdItemX 5 12 2" xfId="23200" xr:uid="{32D4116A-84C1-42F7-9658-D83377DDE51F}"/>
    <cellStyle name="SAPBEXstdItemX 5 13" xfId="23201" xr:uid="{ADDEE75A-E0E6-4732-94CE-CD6242834502}"/>
    <cellStyle name="SAPBEXstdItemX 5 13 2" xfId="23202" xr:uid="{6837230F-AF9C-43AF-9E79-A4070DC51B60}"/>
    <cellStyle name="SAPBEXstdItemX 5 14" xfId="23203" xr:uid="{2DEB1C0A-2325-45B7-8F33-AE21B0452932}"/>
    <cellStyle name="SAPBEXstdItemX 5 14 2" xfId="23204" xr:uid="{2E6F109F-8EFE-407B-9E9A-142AA8BFBD28}"/>
    <cellStyle name="SAPBEXstdItemX 5 15" xfId="23205" xr:uid="{AC06E0C5-30E2-4FE5-B10F-52FC8EC2450C}"/>
    <cellStyle name="SAPBEXstdItemX 5 15 2" xfId="23206" xr:uid="{A0DEF48E-D4AE-41C5-9A47-686EB14757DC}"/>
    <cellStyle name="SAPBEXstdItemX 5 16" xfId="23207" xr:uid="{97E3907A-81E4-42A0-819D-E9284FE29124}"/>
    <cellStyle name="SAPBEXstdItemX 5 2" xfId="23208" xr:uid="{4C70A19C-0195-45AB-B454-F86C2558D8A0}"/>
    <cellStyle name="SAPBEXstdItemX 5 2 2" xfId="23209" xr:uid="{4EFDB67B-83C2-4CD8-A6C8-6D1B17261EEE}"/>
    <cellStyle name="SAPBEXstdItemX 5 3" xfId="23210" xr:uid="{B41B5F17-C116-47EE-8710-FD7CE151F27B}"/>
    <cellStyle name="SAPBEXstdItemX 5 3 2" xfId="23211" xr:uid="{7BD74F7D-CB1A-4690-A7FB-9F98D817888F}"/>
    <cellStyle name="SAPBEXstdItemX 5 4" xfId="23212" xr:uid="{0EF0E24A-2F4D-4388-9646-1FE35D7767F8}"/>
    <cellStyle name="SAPBEXstdItemX 5 4 2" xfId="23213" xr:uid="{6B366066-C1DF-4B22-9576-248DDC5248C2}"/>
    <cellStyle name="SAPBEXstdItemX 5 5" xfId="23214" xr:uid="{15F9E055-2F72-476B-9C65-2FB40307D539}"/>
    <cellStyle name="SAPBEXstdItemX 5 5 2" xfId="23215" xr:uid="{87533C77-D839-45E0-853B-43AFEDA98F04}"/>
    <cellStyle name="SAPBEXstdItemX 5 6" xfId="23216" xr:uid="{F2BCC931-B100-4542-A0C0-E1B033D7C557}"/>
    <cellStyle name="SAPBEXstdItemX 5 6 2" xfId="23217" xr:uid="{F909DAB4-D866-46C6-9C63-E91AD4901DF0}"/>
    <cellStyle name="SAPBEXstdItemX 5 7" xfId="23218" xr:uid="{B53941F5-1D5B-4FDE-9F9E-1F603DEF5F28}"/>
    <cellStyle name="SAPBEXstdItemX 5 7 2" xfId="23219" xr:uid="{931F7C42-436F-433B-8797-5BB2EBE3414F}"/>
    <cellStyle name="SAPBEXstdItemX 5 8" xfId="23220" xr:uid="{72CA0D8E-F236-4BDA-8536-366339A1D26F}"/>
    <cellStyle name="SAPBEXstdItemX 5 8 2" xfId="23221" xr:uid="{666FDC5B-FAF1-4420-AD04-E3E436DF5C90}"/>
    <cellStyle name="SAPBEXstdItemX 5 9" xfId="23222" xr:uid="{105CB0BB-451A-4908-8E8F-4D5B20FE3562}"/>
    <cellStyle name="SAPBEXstdItemX 5 9 2" xfId="23223" xr:uid="{63A623CC-34AC-4D7D-B422-658EBA59ABEA}"/>
    <cellStyle name="SAPBEXstdItemX 6" xfId="23224" xr:uid="{30BB4227-5508-4150-9852-4A72624D720B}"/>
    <cellStyle name="SAPBEXstdItemX 6 2" xfId="23225" xr:uid="{5FBE6F0B-8D18-4572-8C49-BE883F2EF4FE}"/>
    <cellStyle name="SAPBEXstdItemX 7" xfId="23226" xr:uid="{0C3C8FAC-1FB8-4735-9B27-8C04DA838214}"/>
    <cellStyle name="SAPBEXstdItemX 7 2" xfId="23227" xr:uid="{63319D77-1016-442A-933A-481A355667C9}"/>
    <cellStyle name="SAPBEXstdItemX 8" xfId="23228" xr:uid="{8706174C-D6EC-491E-9BB7-4509CFB91DE4}"/>
    <cellStyle name="SAPBEXstdItemX 8 2" xfId="23229" xr:uid="{62C78060-B85A-4640-AACA-43E9ED3F0541}"/>
    <cellStyle name="SAPBEXstdItemX 9" xfId="23230" xr:uid="{5B1683CB-0062-4A3E-813E-3D0210338E01}"/>
    <cellStyle name="SAPBEXstdItemX 9 2" xfId="23231" xr:uid="{3AAEEB68-6589-4A11-952E-D134193BFDB2}"/>
    <cellStyle name="SAPBEXstdItemX_T1 ANSP" xfId="22782" xr:uid="{4573C2EB-C4B0-4E68-B0CE-9265E7684924}"/>
    <cellStyle name="SAPBEXtitle" xfId="762" xr:uid="{00000000-0005-0000-0000-0000BB050000}"/>
    <cellStyle name="SAPBEXtitle 2" xfId="23233" xr:uid="{08B9BFED-8EEB-4BE6-92B3-6BE46BC51703}"/>
    <cellStyle name="SAPBEXtitle 2 10" xfId="23234" xr:uid="{83ECA746-79DE-41D5-8180-FF3AF482DD72}"/>
    <cellStyle name="SAPBEXtitle 2 10 2" xfId="23235" xr:uid="{FBE4099D-4009-4C61-9899-CAF43A10B51A}"/>
    <cellStyle name="SAPBEXtitle 2 11" xfId="23236" xr:uid="{A019E4BC-2CD8-476C-966E-5F79C2F2DDDA}"/>
    <cellStyle name="SAPBEXtitle 2 11 2" xfId="23237" xr:uid="{8B2B4C40-D0F3-4AA2-B08C-CB995D6C1CF6}"/>
    <cellStyle name="SAPBEXtitle 2 12" xfId="23238" xr:uid="{9864CF15-418A-4CB8-87E4-41F7100A17A2}"/>
    <cellStyle name="SAPBEXtitle 2 12 2" xfId="23239" xr:uid="{D3BEBEDD-7B7B-43B9-89D1-C3C10BDAD119}"/>
    <cellStyle name="SAPBEXtitle 2 13" xfId="23240" xr:uid="{7095CAFA-0FF4-43B0-82ED-CDA63B50A049}"/>
    <cellStyle name="SAPBEXtitle 2 13 2" xfId="23241" xr:uid="{3F237A60-91DD-4437-8215-594FE374C12A}"/>
    <cellStyle name="SAPBEXtitle 2 14" xfId="23242" xr:uid="{E021FDC8-5456-4699-B822-C9C6F622000D}"/>
    <cellStyle name="SAPBEXtitle 2 14 2" xfId="23243" xr:uid="{FAB99069-C13C-46FF-AB3B-5516C0EB8FFE}"/>
    <cellStyle name="SAPBEXtitle 2 15" xfId="23244" xr:uid="{686471E5-0259-4712-A384-C1CC697C08A3}"/>
    <cellStyle name="SAPBEXtitle 2 15 2" xfId="23245" xr:uid="{3D9E9030-9213-41B4-88D3-5A4FA03C9A8F}"/>
    <cellStyle name="SAPBEXtitle 2 16" xfId="23246" xr:uid="{22757661-AE5D-4B3F-9FE0-71A8E338BBCD}"/>
    <cellStyle name="SAPBEXtitle 2 16 2" xfId="23247" xr:uid="{F6DD14C2-C20B-4302-8BCA-2A1DF29FF117}"/>
    <cellStyle name="SAPBEXtitle 2 17" xfId="23248" xr:uid="{9BB2E921-353A-44BB-BD93-2941EFD016EE}"/>
    <cellStyle name="SAPBEXtitle 2 17 2" xfId="23249" xr:uid="{B00C3ABA-29ED-4C01-8269-2A68E2E32CA0}"/>
    <cellStyle name="SAPBEXtitle 2 18" xfId="23250" xr:uid="{D501A9D7-918E-4710-B029-5F2D0ACDCD77}"/>
    <cellStyle name="SAPBEXtitle 2 18 2" xfId="23251" xr:uid="{EF900FCF-F780-4C48-92DF-F26F7F4393B4}"/>
    <cellStyle name="SAPBEXtitle 2 19" xfId="23252" xr:uid="{D27A4588-0BB4-441C-AF17-178111B4C2BF}"/>
    <cellStyle name="SAPBEXtitle 2 2" xfId="23253" xr:uid="{4882C7E5-F038-4383-A5E5-C903ACC4D8CB}"/>
    <cellStyle name="SAPBEXtitle 2 2 10" xfId="23254" xr:uid="{D77278C6-4646-4A2E-A023-B297D7BD203E}"/>
    <cellStyle name="SAPBEXtitle 2 2 10 2" xfId="23255" xr:uid="{DB460FCA-0FCC-4919-8962-C579C7720397}"/>
    <cellStyle name="SAPBEXtitle 2 2 11" xfId="23256" xr:uid="{05DDB56F-31E7-4263-8F9F-C7A754A89ED9}"/>
    <cellStyle name="SAPBEXtitle 2 2 11 2" xfId="23257" xr:uid="{E0604FE3-FD23-4AE4-B6CC-9B19622108EF}"/>
    <cellStyle name="SAPBEXtitle 2 2 12" xfId="23258" xr:uid="{FD5FF1FC-1439-4C9B-BC83-0B2B46594D05}"/>
    <cellStyle name="SAPBEXtitle 2 2 12 2" xfId="23259" xr:uid="{0C7D85E1-FC4A-438E-9D88-B5C34AD2EE8B}"/>
    <cellStyle name="SAPBEXtitle 2 2 13" xfId="23260" xr:uid="{B074E404-3460-4F70-829F-76EC22B57F6A}"/>
    <cellStyle name="SAPBEXtitle 2 2 13 2" xfId="23261" xr:uid="{03ADD8BE-4254-482F-9FBF-D2BECF69DF46}"/>
    <cellStyle name="SAPBEXtitle 2 2 14" xfId="23262" xr:uid="{B3B210B2-0F50-4C43-98F9-6A6AA81FE90A}"/>
    <cellStyle name="SAPBEXtitle 2 2 14 2" xfId="23263" xr:uid="{EBF23830-AC5B-4A1A-B955-75DBDAEADE59}"/>
    <cellStyle name="SAPBEXtitle 2 2 15" xfId="23264" xr:uid="{64027341-F98E-471A-81C1-BBE0BA7CC86D}"/>
    <cellStyle name="SAPBEXtitle 2 2 15 2" xfId="23265" xr:uid="{04DFE45F-2F0C-4B29-85AD-97335AD21515}"/>
    <cellStyle name="SAPBEXtitle 2 2 16" xfId="23266" xr:uid="{F4491C08-83B7-44E3-8336-8863CA837D88}"/>
    <cellStyle name="SAPBEXtitle 2 2 16 2" xfId="23267" xr:uid="{D9730726-0B28-44C3-BD4C-18604D282819}"/>
    <cellStyle name="SAPBEXtitle 2 2 17" xfId="23268" xr:uid="{62CE7E21-8A3E-4EF7-AB4D-42763CA1138F}"/>
    <cellStyle name="SAPBEXtitle 2 2 17 2" xfId="23269" xr:uid="{CEDACC19-0723-415D-AF3F-A6B7758AD889}"/>
    <cellStyle name="SAPBEXtitle 2 2 18" xfId="23270" xr:uid="{A8E8E87E-BDA6-433B-A121-1993DDFB0F82}"/>
    <cellStyle name="SAPBEXtitle 2 2 2" xfId="23271" xr:uid="{486A5291-9016-41BD-969F-3C0D2B346509}"/>
    <cellStyle name="SAPBEXtitle 2 2 2 10" xfId="23272" xr:uid="{E4587FBB-435F-4365-B450-C083CA9783B2}"/>
    <cellStyle name="SAPBEXtitle 2 2 2 10 2" xfId="23273" xr:uid="{FCBF17B2-2AFC-43B6-9DA7-D49383260C9E}"/>
    <cellStyle name="SAPBEXtitle 2 2 2 11" xfId="23274" xr:uid="{9B49D3CB-010B-4AF4-8CE0-605BFE2B46E8}"/>
    <cellStyle name="SAPBEXtitle 2 2 2 11 2" xfId="23275" xr:uid="{4073A158-0E35-41AB-B6E9-C53C31A7F2D1}"/>
    <cellStyle name="SAPBEXtitle 2 2 2 12" xfId="23276" xr:uid="{70949D50-3E9F-422D-BAC7-60C59C7735E4}"/>
    <cellStyle name="SAPBEXtitle 2 2 2 12 2" xfId="23277" xr:uid="{CC457C75-B561-47DA-9209-AF6A674D2014}"/>
    <cellStyle name="SAPBEXtitle 2 2 2 13" xfId="23278" xr:uid="{1789FF51-87AD-4C5E-B2C9-28F6521E84AF}"/>
    <cellStyle name="SAPBEXtitle 2 2 2 13 2" xfId="23279" xr:uid="{52A0A176-BACC-49CD-AA26-63D452B89BC3}"/>
    <cellStyle name="SAPBEXtitle 2 2 2 14" xfId="23280" xr:uid="{55B9F394-073F-4E6F-9029-C455864C87ED}"/>
    <cellStyle name="SAPBEXtitle 2 2 2 14 2" xfId="23281" xr:uid="{E2839C79-9FB2-429B-ABA9-54F21FF8D751}"/>
    <cellStyle name="SAPBEXtitle 2 2 2 15" xfId="23282" xr:uid="{7DDF2808-DAC6-4743-90D8-EAE306A9736D}"/>
    <cellStyle name="SAPBEXtitle 2 2 2 15 2" xfId="23283" xr:uid="{B80A441E-489D-4781-91BC-5FDC30F2668F}"/>
    <cellStyle name="SAPBEXtitle 2 2 2 16" xfId="23284" xr:uid="{3386428F-9CCB-4794-A82F-33133F5A60ED}"/>
    <cellStyle name="SAPBEXtitle 2 2 2 2" xfId="23285" xr:uid="{E792B179-2BF1-4DC1-92FB-5B267D4882E1}"/>
    <cellStyle name="SAPBEXtitle 2 2 2 2 2" xfId="23286" xr:uid="{4E903A2D-3ADF-473C-9FAD-CD5DBF64E1D0}"/>
    <cellStyle name="SAPBEXtitle 2 2 2 3" xfId="23287" xr:uid="{C18E4DEC-A288-4DEA-8820-65EF68168D4B}"/>
    <cellStyle name="SAPBEXtitle 2 2 2 3 2" xfId="23288" xr:uid="{27077B85-E228-448B-8EAC-6D904734906C}"/>
    <cellStyle name="SAPBEXtitle 2 2 2 4" xfId="23289" xr:uid="{2BD4B74F-DFFE-4291-B14A-FDF40C4AA0DB}"/>
    <cellStyle name="SAPBEXtitle 2 2 2 4 2" xfId="23290" xr:uid="{F93BB509-BD75-44FE-9D2C-7141049FD8AB}"/>
    <cellStyle name="SAPBEXtitle 2 2 2 5" xfId="23291" xr:uid="{9E810B4A-4E01-44B4-AA35-947AE6D81630}"/>
    <cellStyle name="SAPBEXtitle 2 2 2 5 2" xfId="23292" xr:uid="{1C602BBF-53E4-43CF-A973-523369719D6C}"/>
    <cellStyle name="SAPBEXtitle 2 2 2 6" xfId="23293" xr:uid="{5151885D-FA53-4C7F-B611-6DE4EB0C1014}"/>
    <cellStyle name="SAPBEXtitle 2 2 2 6 2" xfId="23294" xr:uid="{B65AD5BA-77D1-4333-B636-ECFC17E0633E}"/>
    <cellStyle name="SAPBEXtitle 2 2 2 7" xfId="23295" xr:uid="{DC91C940-3262-44B0-84B6-6DAD807B773B}"/>
    <cellStyle name="SAPBEXtitle 2 2 2 7 2" xfId="23296" xr:uid="{93DE50AE-B5A6-42CB-8706-EA8ADB12944A}"/>
    <cellStyle name="SAPBEXtitle 2 2 2 8" xfId="23297" xr:uid="{FDC8F078-592A-48ED-8833-FBA5CE78A4DF}"/>
    <cellStyle name="SAPBEXtitle 2 2 2 8 2" xfId="23298" xr:uid="{7EA32166-B741-461C-90E9-D12881E12280}"/>
    <cellStyle name="SAPBEXtitle 2 2 2 9" xfId="23299" xr:uid="{D59B817E-6A95-474B-ADB4-E5BBBAED5794}"/>
    <cellStyle name="SAPBEXtitle 2 2 2 9 2" xfId="23300" xr:uid="{FA5C3900-C413-4E51-97C3-0494D7ABAED4}"/>
    <cellStyle name="SAPBEXtitle 2 2 3" xfId="23301" xr:uid="{4DFC7143-A56F-457A-94A0-B39F9CAAF3C6}"/>
    <cellStyle name="SAPBEXtitle 2 2 3 10" xfId="23302" xr:uid="{E6B691C5-74B8-4E6E-90FB-581C5E7F832E}"/>
    <cellStyle name="SAPBEXtitle 2 2 3 10 2" xfId="23303" xr:uid="{BB3399DD-113F-4BEC-AF56-9EB177F18746}"/>
    <cellStyle name="SAPBEXtitle 2 2 3 11" xfId="23304" xr:uid="{EAD691D6-F914-4CDB-B952-1C7763A62264}"/>
    <cellStyle name="SAPBEXtitle 2 2 3 11 2" xfId="23305" xr:uid="{1CF8F227-338D-4BA9-9696-43DF14C9785F}"/>
    <cellStyle name="SAPBEXtitle 2 2 3 12" xfId="23306" xr:uid="{D78143F0-7B11-4A23-B434-DBF7D2AAA56B}"/>
    <cellStyle name="SAPBEXtitle 2 2 3 12 2" xfId="23307" xr:uid="{14A65145-6BA1-4179-AA1A-86679D7D6264}"/>
    <cellStyle name="SAPBEXtitle 2 2 3 13" xfId="23308" xr:uid="{2175D13A-233C-46C1-B1DB-909641FA0278}"/>
    <cellStyle name="SAPBEXtitle 2 2 3 13 2" xfId="23309" xr:uid="{5D562329-4358-4E05-A37E-4C13972736D0}"/>
    <cellStyle name="SAPBEXtitle 2 2 3 14" xfId="23310" xr:uid="{7ECB35B5-8FD9-4951-8F7F-A051CD7BFB86}"/>
    <cellStyle name="SAPBEXtitle 2 2 3 14 2" xfId="23311" xr:uid="{1E346E2A-B074-4914-BF75-C00CDCA70774}"/>
    <cellStyle name="SAPBEXtitle 2 2 3 15" xfId="23312" xr:uid="{D1F2C6A6-87E3-4230-9FF4-935DFC224911}"/>
    <cellStyle name="SAPBEXtitle 2 2 3 15 2" xfId="23313" xr:uid="{A2FE348F-DAA9-4D9F-809C-AA1556BE8842}"/>
    <cellStyle name="SAPBEXtitle 2 2 3 16" xfId="23314" xr:uid="{4576290F-3ADF-44B4-8653-B9532BBE9D66}"/>
    <cellStyle name="SAPBEXtitle 2 2 3 2" xfId="23315" xr:uid="{958E4D0F-CA62-40F3-BEAD-3F39DDAF8E87}"/>
    <cellStyle name="SAPBEXtitle 2 2 3 2 2" xfId="23316" xr:uid="{714AC4B5-4D40-4F41-8E3D-16D84AD4CEA8}"/>
    <cellStyle name="SAPBEXtitle 2 2 3 3" xfId="23317" xr:uid="{EBA916FF-83B0-4219-89E8-09CC84F8EA60}"/>
    <cellStyle name="SAPBEXtitle 2 2 3 3 2" xfId="23318" xr:uid="{1F92810F-CA2A-4FE0-A6D6-3751AC0ECDD5}"/>
    <cellStyle name="SAPBEXtitle 2 2 3 4" xfId="23319" xr:uid="{D1B6F5F3-86C8-4B08-8A0D-828BE88DC43F}"/>
    <cellStyle name="SAPBEXtitle 2 2 3 4 2" xfId="23320" xr:uid="{040226D8-5833-4009-B82E-7AD02047AEFD}"/>
    <cellStyle name="SAPBEXtitle 2 2 3 5" xfId="23321" xr:uid="{0678BF29-21F4-4962-A9B7-6E3C381A7964}"/>
    <cellStyle name="SAPBEXtitle 2 2 3 5 2" xfId="23322" xr:uid="{792A7D26-BE12-4294-9631-91D574FEB713}"/>
    <cellStyle name="SAPBEXtitle 2 2 3 6" xfId="23323" xr:uid="{FF846E0F-3E32-4385-9CA8-BBFBA54B0081}"/>
    <cellStyle name="SAPBEXtitle 2 2 3 6 2" xfId="23324" xr:uid="{51FDE347-4CC8-4EC9-9ED6-C2E3E4E3A399}"/>
    <cellStyle name="SAPBEXtitle 2 2 3 7" xfId="23325" xr:uid="{F60D95DC-3B10-452C-A412-14FCD5E7909F}"/>
    <cellStyle name="SAPBEXtitle 2 2 3 7 2" xfId="23326" xr:uid="{C64A1CAA-7CE7-4AAE-AD54-09854A7525AC}"/>
    <cellStyle name="SAPBEXtitle 2 2 3 8" xfId="23327" xr:uid="{DA6E7DAF-B952-4ACC-B48B-3CEE7FB95894}"/>
    <cellStyle name="SAPBEXtitle 2 2 3 8 2" xfId="23328" xr:uid="{C8CE4F52-0C93-46B3-9487-9BEC7C6D6266}"/>
    <cellStyle name="SAPBEXtitle 2 2 3 9" xfId="23329" xr:uid="{00214E49-20FE-4F51-B634-8DDB13201488}"/>
    <cellStyle name="SAPBEXtitle 2 2 3 9 2" xfId="23330" xr:uid="{F4667893-EEF8-401B-887A-13662E7DF611}"/>
    <cellStyle name="SAPBEXtitle 2 2 4" xfId="23331" xr:uid="{1DE66F17-EDC0-4AA8-9594-63DA636BC7AD}"/>
    <cellStyle name="SAPBEXtitle 2 2 4 2" xfId="23332" xr:uid="{222AE4F8-22FE-49E6-A5CC-372BC1DF5AFA}"/>
    <cellStyle name="SAPBEXtitle 2 2 5" xfId="23333" xr:uid="{FE03ED9D-E492-48D7-AE6C-E527B9A773B5}"/>
    <cellStyle name="SAPBEXtitle 2 2 5 2" xfId="23334" xr:uid="{7D2B963A-BD71-41F2-BD8B-206E1CC36D3F}"/>
    <cellStyle name="SAPBEXtitle 2 2 6" xfId="23335" xr:uid="{691E8B8B-C7AA-445C-B0AE-F49E53C899DF}"/>
    <cellStyle name="SAPBEXtitle 2 2 6 2" xfId="23336" xr:uid="{22E831C5-DD8E-4AD0-86E4-602FD9FFD897}"/>
    <cellStyle name="SAPBEXtitle 2 2 7" xfId="23337" xr:uid="{6DD00775-F11C-4683-8E38-38AADBEF081E}"/>
    <cellStyle name="SAPBEXtitle 2 2 7 2" xfId="23338" xr:uid="{CCFCD62B-D908-4942-82B7-DDCBDEF4E4E2}"/>
    <cellStyle name="SAPBEXtitle 2 2 8" xfId="23339" xr:uid="{937B0EA0-AF45-4DE9-8DE8-92306AE9213A}"/>
    <cellStyle name="SAPBEXtitle 2 2 8 2" xfId="23340" xr:uid="{022151E7-57DA-4982-8E6E-4376CF705CDD}"/>
    <cellStyle name="SAPBEXtitle 2 2 9" xfId="23341" xr:uid="{5ED4512C-3E94-49CA-A89C-CBA2DDEEE205}"/>
    <cellStyle name="SAPBEXtitle 2 2 9 2" xfId="23342" xr:uid="{10B56B29-1461-4381-8A35-7703A6057153}"/>
    <cellStyle name="SAPBEXtitle 2 3" xfId="23343" xr:uid="{67C61C6C-E283-4971-A995-E2A23B906AF1}"/>
    <cellStyle name="SAPBEXtitle 2 3 10" xfId="23344" xr:uid="{FEC584CF-9F2D-4FA7-88E6-E9750855A8EC}"/>
    <cellStyle name="SAPBEXtitle 2 3 10 2" xfId="23345" xr:uid="{394E22CA-E427-42E2-A8B5-585B2620B217}"/>
    <cellStyle name="SAPBEXtitle 2 3 11" xfId="23346" xr:uid="{79C3B0B7-A082-4A14-92AB-A0E05E10AA4E}"/>
    <cellStyle name="SAPBEXtitle 2 3 11 2" xfId="23347" xr:uid="{4739F567-4F16-46A3-8210-5B4BDF814007}"/>
    <cellStyle name="SAPBEXtitle 2 3 12" xfId="23348" xr:uid="{1E9D9B79-A439-4612-8850-C699EA3B63BC}"/>
    <cellStyle name="SAPBEXtitle 2 3 12 2" xfId="23349" xr:uid="{C350B120-39A8-4E8B-93B9-11F386958212}"/>
    <cellStyle name="SAPBEXtitle 2 3 13" xfId="23350" xr:uid="{E761C5EE-CEAF-4854-A835-886D3C2FCFD5}"/>
    <cellStyle name="SAPBEXtitle 2 3 13 2" xfId="23351" xr:uid="{B3670A5A-2028-4FC1-B524-C5A0D2A940F2}"/>
    <cellStyle name="SAPBEXtitle 2 3 14" xfId="23352" xr:uid="{C292F837-CEA2-41D4-A679-5913AE484C0F}"/>
    <cellStyle name="SAPBEXtitle 2 3 14 2" xfId="23353" xr:uid="{9C5C1FFF-AC51-4599-A647-FF696C6001B3}"/>
    <cellStyle name="SAPBEXtitle 2 3 15" xfId="23354" xr:uid="{D53CA86F-835E-49F2-A9CD-A175FF124D6F}"/>
    <cellStyle name="SAPBEXtitle 2 3 15 2" xfId="23355" xr:uid="{4A04EE30-9E54-4DF1-A6D0-24F3F9CC2FAD}"/>
    <cellStyle name="SAPBEXtitle 2 3 16" xfId="23356" xr:uid="{BE8B5A8A-5464-43C2-AAF0-C4EC0BC55F11}"/>
    <cellStyle name="SAPBEXtitle 2 3 16 2" xfId="23357" xr:uid="{1A8D072D-04BF-41F3-ACC0-FEF0B3C04BED}"/>
    <cellStyle name="SAPBEXtitle 2 3 17" xfId="23358" xr:uid="{4DAD67F7-78F8-4BAB-BA24-C2A0CF253291}"/>
    <cellStyle name="SAPBEXtitle 2 3 17 2" xfId="23359" xr:uid="{48DDF11D-A93D-4842-A32A-9C6B622E6BC9}"/>
    <cellStyle name="SAPBEXtitle 2 3 18" xfId="23360" xr:uid="{E42566DA-FC17-449A-83AF-8CE42CC2AECA}"/>
    <cellStyle name="SAPBEXtitle 2 3 2" xfId="23361" xr:uid="{C598F7B1-A31B-4EEA-B6DE-8D5C2AC99840}"/>
    <cellStyle name="SAPBEXtitle 2 3 2 10" xfId="23362" xr:uid="{1756688C-4504-4B8E-AA7B-204FFB4ADDEE}"/>
    <cellStyle name="SAPBEXtitle 2 3 2 10 2" xfId="23363" xr:uid="{CCE6DE8E-2E6B-4935-8583-B3507E528DF6}"/>
    <cellStyle name="SAPBEXtitle 2 3 2 11" xfId="23364" xr:uid="{798CA7BC-F3CA-4566-927B-67BA4D0F40C1}"/>
    <cellStyle name="SAPBEXtitle 2 3 2 11 2" xfId="23365" xr:uid="{BF3D8D06-7F7E-4E73-8879-B14EFE6DAC5C}"/>
    <cellStyle name="SAPBEXtitle 2 3 2 12" xfId="23366" xr:uid="{9B44BCC0-8017-4528-9794-EEE91E17D5EB}"/>
    <cellStyle name="SAPBEXtitle 2 3 2 12 2" xfId="23367" xr:uid="{D981ED1C-5DB9-43B1-8D69-96E16616331A}"/>
    <cellStyle name="SAPBEXtitle 2 3 2 13" xfId="23368" xr:uid="{946C83C1-DC6B-4AE3-9B88-F589935742B5}"/>
    <cellStyle name="SAPBEXtitle 2 3 2 13 2" xfId="23369" xr:uid="{B186D6E6-0285-42B6-BC63-A11508887882}"/>
    <cellStyle name="SAPBEXtitle 2 3 2 14" xfId="23370" xr:uid="{AC923909-FD45-41CC-AA86-A24E5C91AC7A}"/>
    <cellStyle name="SAPBEXtitle 2 3 2 14 2" xfId="23371" xr:uid="{2501312D-477F-40C9-965B-D94CF12F9658}"/>
    <cellStyle name="SAPBEXtitle 2 3 2 15" xfId="23372" xr:uid="{B09086D7-410C-4818-BD2C-A17E4516D6AB}"/>
    <cellStyle name="SAPBEXtitle 2 3 2 15 2" xfId="23373" xr:uid="{68FACAFF-2561-4C70-9E89-1B5B7237A77C}"/>
    <cellStyle name="SAPBEXtitle 2 3 2 16" xfId="23374" xr:uid="{A7CA00C4-F210-4106-8F53-9DACB7E5A47D}"/>
    <cellStyle name="SAPBEXtitle 2 3 2 2" xfId="23375" xr:uid="{023E1C98-4BC4-46BC-8CB6-756FA41FC065}"/>
    <cellStyle name="SAPBEXtitle 2 3 2 2 2" xfId="23376" xr:uid="{CEE606B5-208F-4972-9B1D-580414B07BF8}"/>
    <cellStyle name="SAPBEXtitle 2 3 2 3" xfId="23377" xr:uid="{A5FF4EEC-057A-4683-9C32-9DE2ABA54AAB}"/>
    <cellStyle name="SAPBEXtitle 2 3 2 3 2" xfId="23378" xr:uid="{C81D7535-1D52-4764-AE49-9BE5BB65DD8F}"/>
    <cellStyle name="SAPBEXtitle 2 3 2 4" xfId="23379" xr:uid="{753B4233-1C53-416B-ADAA-E67CF3203E40}"/>
    <cellStyle name="SAPBEXtitle 2 3 2 4 2" xfId="23380" xr:uid="{5E526D94-9456-4933-86CB-4BD4698F4BF5}"/>
    <cellStyle name="SAPBEXtitle 2 3 2 5" xfId="23381" xr:uid="{7F55A8B9-8653-450E-879E-9B87D585E029}"/>
    <cellStyle name="SAPBEXtitle 2 3 2 5 2" xfId="23382" xr:uid="{1F2E8BD8-47FB-484A-9A41-6E19B7D94A54}"/>
    <cellStyle name="SAPBEXtitle 2 3 2 6" xfId="23383" xr:uid="{91F013FF-5456-433A-ADD5-7C24B0562472}"/>
    <cellStyle name="SAPBEXtitle 2 3 2 6 2" xfId="23384" xr:uid="{D5B763EF-17C9-4F91-96CA-8329A9ADF1A4}"/>
    <cellStyle name="SAPBEXtitle 2 3 2 7" xfId="23385" xr:uid="{D91EF8FA-075D-49A1-9243-ED45978254F9}"/>
    <cellStyle name="SAPBEXtitle 2 3 2 7 2" xfId="23386" xr:uid="{8BBC6DCA-4218-4A16-B5D3-81B7E0D24F12}"/>
    <cellStyle name="SAPBEXtitle 2 3 2 8" xfId="23387" xr:uid="{D4EEDF99-DBBF-4514-85C1-577D08E1EBE4}"/>
    <cellStyle name="SAPBEXtitle 2 3 2 8 2" xfId="23388" xr:uid="{7543223B-6A88-491D-B370-42ACE2DA954D}"/>
    <cellStyle name="SAPBEXtitle 2 3 2 9" xfId="23389" xr:uid="{267FA79C-00D3-4CCA-82D9-5E5BDA4825F5}"/>
    <cellStyle name="SAPBEXtitle 2 3 2 9 2" xfId="23390" xr:uid="{ADB7C5E7-7BF0-4E9C-B015-91A007884506}"/>
    <cellStyle name="SAPBEXtitle 2 3 3" xfId="23391" xr:uid="{04FA8128-D289-46E5-A2B2-09EDE3A778BD}"/>
    <cellStyle name="SAPBEXtitle 2 3 3 10" xfId="23392" xr:uid="{39F95CF5-2BFB-4698-89DF-E4DE8918E85E}"/>
    <cellStyle name="SAPBEXtitle 2 3 3 10 2" xfId="23393" xr:uid="{159D1D83-4171-492B-B87C-FB48D5857F9C}"/>
    <cellStyle name="SAPBEXtitle 2 3 3 11" xfId="23394" xr:uid="{ABDBE510-924F-47E3-A655-E075B39164CE}"/>
    <cellStyle name="SAPBEXtitle 2 3 3 11 2" xfId="23395" xr:uid="{13637E23-D1AF-497D-8D01-D194929242C8}"/>
    <cellStyle name="SAPBEXtitle 2 3 3 12" xfId="23396" xr:uid="{5D0355AC-8F61-4FB6-833E-0C28A7404374}"/>
    <cellStyle name="SAPBEXtitle 2 3 3 12 2" xfId="23397" xr:uid="{E41D7EB9-207C-4CE8-A017-70FEB6E69755}"/>
    <cellStyle name="SAPBEXtitle 2 3 3 13" xfId="23398" xr:uid="{4998F6A6-0ABF-4AF0-95DD-AF1941C87837}"/>
    <cellStyle name="SAPBEXtitle 2 3 3 13 2" xfId="23399" xr:uid="{9898E1C5-B6B7-43E4-AC9A-A5B1469E2487}"/>
    <cellStyle name="SAPBEXtitle 2 3 3 14" xfId="23400" xr:uid="{18E25F22-DCC5-4E8F-A090-F827F86DACAF}"/>
    <cellStyle name="SAPBEXtitle 2 3 3 14 2" xfId="23401" xr:uid="{8E6EB754-E930-49FA-9BDC-3C959A778BA0}"/>
    <cellStyle name="SAPBEXtitle 2 3 3 15" xfId="23402" xr:uid="{3E146E11-AAEE-4FEE-8160-033CC62F7B3C}"/>
    <cellStyle name="SAPBEXtitle 2 3 3 15 2" xfId="23403" xr:uid="{B338489D-CD09-464C-8810-AB7D0D91ABAD}"/>
    <cellStyle name="SAPBEXtitle 2 3 3 16" xfId="23404" xr:uid="{F4EF35BE-B558-49AE-A5BD-963ED856E094}"/>
    <cellStyle name="SAPBEXtitle 2 3 3 2" xfId="23405" xr:uid="{F66F90CD-CFB2-4865-B779-9FA00B29F451}"/>
    <cellStyle name="SAPBEXtitle 2 3 3 2 2" xfId="23406" xr:uid="{D9EEDFB9-806F-4D2A-A8D6-CC3C4A7F7A42}"/>
    <cellStyle name="SAPBEXtitle 2 3 3 3" xfId="23407" xr:uid="{402160CD-3719-415D-B67A-C9A58CFBA9E5}"/>
    <cellStyle name="SAPBEXtitle 2 3 3 3 2" xfId="23408" xr:uid="{3B0A0AE5-D9DF-4191-9C21-D600F1FF890D}"/>
    <cellStyle name="SAPBEXtitle 2 3 3 4" xfId="23409" xr:uid="{4CEDF419-5C07-40A4-B4EC-A50859C88EA4}"/>
    <cellStyle name="SAPBEXtitle 2 3 3 4 2" xfId="23410" xr:uid="{C5734160-EE14-480A-B267-3CE62C6A2C86}"/>
    <cellStyle name="SAPBEXtitle 2 3 3 5" xfId="23411" xr:uid="{446BB6FA-3F66-40FF-B9EE-781DD8970CD2}"/>
    <cellStyle name="SAPBEXtitle 2 3 3 5 2" xfId="23412" xr:uid="{2D307A48-8963-4895-BEA8-8F38277DEAAC}"/>
    <cellStyle name="SAPBEXtitle 2 3 3 6" xfId="23413" xr:uid="{E4394F60-967B-4A4E-8F79-E438461B77CB}"/>
    <cellStyle name="SAPBEXtitle 2 3 3 6 2" xfId="23414" xr:uid="{9B7259C4-26C4-4B4B-8996-A4C304C269B0}"/>
    <cellStyle name="SAPBEXtitle 2 3 3 7" xfId="23415" xr:uid="{2CE6263E-2655-4B3C-9A97-1BDB7ED148E8}"/>
    <cellStyle name="SAPBEXtitle 2 3 3 7 2" xfId="23416" xr:uid="{F4C60174-89FB-4783-8066-D6371E5E2F4E}"/>
    <cellStyle name="SAPBEXtitle 2 3 3 8" xfId="23417" xr:uid="{C2C96CEC-4A6B-4303-B9CA-18A55664B901}"/>
    <cellStyle name="SAPBEXtitle 2 3 3 8 2" xfId="23418" xr:uid="{16CFB872-2F27-449B-8F69-040379830C6A}"/>
    <cellStyle name="SAPBEXtitle 2 3 3 9" xfId="23419" xr:uid="{DD5E528E-9ABE-4EDD-96FF-9E60FA9D44F3}"/>
    <cellStyle name="SAPBEXtitle 2 3 3 9 2" xfId="23420" xr:uid="{151EEBAF-74C5-4903-9F03-2E6FB4745330}"/>
    <cellStyle name="SAPBEXtitle 2 3 4" xfId="23421" xr:uid="{4956D8C8-DAB6-495D-A149-20A38812A544}"/>
    <cellStyle name="SAPBEXtitle 2 3 4 2" xfId="23422" xr:uid="{D1C65546-B12B-48D5-BE79-A26A4B2971C9}"/>
    <cellStyle name="SAPBEXtitle 2 3 5" xfId="23423" xr:uid="{07E05F39-3B2B-455E-B940-F16BA075D7D5}"/>
    <cellStyle name="SAPBEXtitle 2 3 5 2" xfId="23424" xr:uid="{8789C1ED-69C5-471D-87F4-B457D7E7641C}"/>
    <cellStyle name="SAPBEXtitle 2 3 6" xfId="23425" xr:uid="{D69582CC-4CB1-4C3B-8449-4994E6BF4248}"/>
    <cellStyle name="SAPBEXtitle 2 3 6 2" xfId="23426" xr:uid="{01E47684-00C8-40B0-A96F-1BE8A21717FC}"/>
    <cellStyle name="SAPBEXtitle 2 3 7" xfId="23427" xr:uid="{EF4144A8-B92A-4CFA-A2BA-24D494993EDB}"/>
    <cellStyle name="SAPBEXtitle 2 3 7 2" xfId="23428" xr:uid="{7E82FEAF-EE40-40A2-945C-C4D13A23826C}"/>
    <cellStyle name="SAPBEXtitle 2 3 8" xfId="23429" xr:uid="{352EE0CC-5D5A-4496-B09E-17EC1364AF9E}"/>
    <cellStyle name="SAPBEXtitle 2 3 8 2" xfId="23430" xr:uid="{A5525630-C798-4DDD-99B1-13AC0017C588}"/>
    <cellStyle name="SAPBEXtitle 2 3 9" xfId="23431" xr:uid="{05421735-E4BD-4C55-B1F7-B51C66B85ECB}"/>
    <cellStyle name="SAPBEXtitle 2 3 9 2" xfId="23432" xr:uid="{8C311252-1A28-407B-9DB2-51098D40B905}"/>
    <cellStyle name="SAPBEXtitle 2 4" xfId="23433" xr:uid="{B00CD52A-143F-4B53-A90F-FF1A0351736D}"/>
    <cellStyle name="SAPBEXtitle 2 4 10" xfId="23434" xr:uid="{068E19F2-5C3A-48A5-B43B-AC064F99198B}"/>
    <cellStyle name="SAPBEXtitle 2 4 10 2" xfId="23435" xr:uid="{AF4CEC46-AE73-40E9-89F3-62579F456164}"/>
    <cellStyle name="SAPBEXtitle 2 4 11" xfId="23436" xr:uid="{1258FBCD-7F3B-446B-BEA1-2AA3BB47AB54}"/>
    <cellStyle name="SAPBEXtitle 2 4 11 2" xfId="23437" xr:uid="{39D9BEE3-8A7A-41A8-8440-602BA07BF408}"/>
    <cellStyle name="SAPBEXtitle 2 4 12" xfId="23438" xr:uid="{EC483F1F-EB38-444D-94FC-2F641B8C7356}"/>
    <cellStyle name="SAPBEXtitle 2 4 12 2" xfId="23439" xr:uid="{BD323C4D-2757-4382-9070-1CB479479871}"/>
    <cellStyle name="SAPBEXtitle 2 4 13" xfId="23440" xr:uid="{FE0E6903-4435-4A14-BD04-185EC9C07DDD}"/>
    <cellStyle name="SAPBEXtitle 2 4 13 2" xfId="23441" xr:uid="{8B3F3EE4-1C44-4470-B880-AAE66B0EA021}"/>
    <cellStyle name="SAPBEXtitle 2 4 14" xfId="23442" xr:uid="{7C61E460-FDAA-468B-B7DF-540FE876449E}"/>
    <cellStyle name="SAPBEXtitle 2 4 14 2" xfId="23443" xr:uid="{D2FC3045-6294-4256-9159-0A1AEAACF93A}"/>
    <cellStyle name="SAPBEXtitle 2 4 15" xfId="23444" xr:uid="{CC77C97A-6763-490A-B656-B7178A172073}"/>
    <cellStyle name="SAPBEXtitle 2 4 15 2" xfId="23445" xr:uid="{176D9BDA-F1D5-4DD6-9E35-9EA54CA8D5D5}"/>
    <cellStyle name="SAPBEXtitle 2 4 16" xfId="23446" xr:uid="{8EC4A83C-E873-422D-A2A0-8A0C3185D655}"/>
    <cellStyle name="SAPBEXtitle 2 4 16 2" xfId="23447" xr:uid="{BE71B052-1AB1-4C2E-9B6E-884432167ABB}"/>
    <cellStyle name="SAPBEXtitle 2 4 17" xfId="23448" xr:uid="{8C6F4101-557B-48FF-A199-53449EE4A85B}"/>
    <cellStyle name="SAPBEXtitle 2 4 17 2" xfId="23449" xr:uid="{E4CC0DE0-8F41-4C4B-9850-3BE405E8AA0F}"/>
    <cellStyle name="SAPBEXtitle 2 4 18" xfId="23450" xr:uid="{E81EEFE6-DB52-49AC-B55F-86532CB3E1FE}"/>
    <cellStyle name="SAPBEXtitle 2 4 2" xfId="23451" xr:uid="{660CFE5B-6CD8-4146-883B-532452D919F6}"/>
    <cellStyle name="SAPBEXtitle 2 4 2 10" xfId="23452" xr:uid="{9CA460AF-C18D-443A-BBFF-E6876EC5A665}"/>
    <cellStyle name="SAPBEXtitle 2 4 2 10 2" xfId="23453" xr:uid="{74A2465B-E732-4508-8E79-54782792EDE5}"/>
    <cellStyle name="SAPBEXtitle 2 4 2 11" xfId="23454" xr:uid="{72D22B4C-90E0-4A14-B5F1-69285AD1A616}"/>
    <cellStyle name="SAPBEXtitle 2 4 2 11 2" xfId="23455" xr:uid="{CBC59720-FC62-4119-8045-4FA189306F14}"/>
    <cellStyle name="SAPBEXtitle 2 4 2 12" xfId="23456" xr:uid="{41EFF89D-7F06-49CD-AA4C-BF69D6162796}"/>
    <cellStyle name="SAPBEXtitle 2 4 2 12 2" xfId="23457" xr:uid="{391B6EFE-9F16-448B-961F-B5388038EF97}"/>
    <cellStyle name="SAPBEXtitle 2 4 2 13" xfId="23458" xr:uid="{94E97E83-2D6E-400E-A6A0-D959F158A9F2}"/>
    <cellStyle name="SAPBEXtitle 2 4 2 13 2" xfId="23459" xr:uid="{52E2902E-568B-492C-A689-ACD1791D2382}"/>
    <cellStyle name="SAPBEXtitle 2 4 2 14" xfId="23460" xr:uid="{92DCF77A-6C75-43DB-B8BD-09FA3170E3CF}"/>
    <cellStyle name="SAPBEXtitle 2 4 2 14 2" xfId="23461" xr:uid="{D404772C-93D6-4642-81D6-819C8243607D}"/>
    <cellStyle name="SAPBEXtitle 2 4 2 15" xfId="23462" xr:uid="{3FABC292-215C-4AC1-9273-E0749A289990}"/>
    <cellStyle name="SAPBEXtitle 2 4 2 15 2" xfId="23463" xr:uid="{E9A5739D-A2FD-4BAC-9066-E991DD42A635}"/>
    <cellStyle name="SAPBEXtitle 2 4 2 16" xfId="23464" xr:uid="{60E70C8B-3366-40CC-A896-C34533B2235F}"/>
    <cellStyle name="SAPBEXtitle 2 4 2 2" xfId="23465" xr:uid="{A269DFCC-40D2-4786-96FA-ED623EC29822}"/>
    <cellStyle name="SAPBEXtitle 2 4 2 2 2" xfId="23466" xr:uid="{012AFBF3-84DC-41DF-A2E2-93CF233EC9E0}"/>
    <cellStyle name="SAPBEXtitle 2 4 2 3" xfId="23467" xr:uid="{E67F6196-C696-4F1B-92C5-8FFA56C182C3}"/>
    <cellStyle name="SAPBEXtitle 2 4 2 3 2" xfId="23468" xr:uid="{75689FBC-F4A0-4820-BE62-257372F2527A}"/>
    <cellStyle name="SAPBEXtitle 2 4 2 4" xfId="23469" xr:uid="{D4418536-B36B-4295-9842-05DE6514FD83}"/>
    <cellStyle name="SAPBEXtitle 2 4 2 4 2" xfId="23470" xr:uid="{8AC8EF40-D901-4EE7-A9EC-1757D21BCF40}"/>
    <cellStyle name="SAPBEXtitle 2 4 2 5" xfId="23471" xr:uid="{7038F557-AEDC-4178-9376-FAFC28FFB56F}"/>
    <cellStyle name="SAPBEXtitle 2 4 2 5 2" xfId="23472" xr:uid="{C3E32B20-1570-4C9C-9A7F-83A79A8BC1ED}"/>
    <cellStyle name="SAPBEXtitle 2 4 2 6" xfId="23473" xr:uid="{508FFEC7-ECF5-4033-9E10-B7BE2E728252}"/>
    <cellStyle name="SAPBEXtitle 2 4 2 6 2" xfId="23474" xr:uid="{3C995323-405F-4257-A685-C27C7D3FAAAE}"/>
    <cellStyle name="SAPBEXtitle 2 4 2 7" xfId="23475" xr:uid="{7EC56B5A-002C-4ABC-9662-B98F09F26600}"/>
    <cellStyle name="SAPBEXtitle 2 4 2 7 2" xfId="23476" xr:uid="{39A881B9-EE3F-4161-8613-229DAC1395AF}"/>
    <cellStyle name="SAPBEXtitle 2 4 2 8" xfId="23477" xr:uid="{20A70DF9-2719-4E3E-9635-B1EEAA114EE6}"/>
    <cellStyle name="SAPBEXtitle 2 4 2 8 2" xfId="23478" xr:uid="{6D5A8D30-3BB7-435F-A242-EBE0C74C37EF}"/>
    <cellStyle name="SAPBEXtitle 2 4 2 9" xfId="23479" xr:uid="{5909C6C5-A8B6-4C74-A37C-C0556FDDD2A8}"/>
    <cellStyle name="SAPBEXtitle 2 4 2 9 2" xfId="23480" xr:uid="{439D28B3-89BE-42E8-ACF5-4C40BC3FD79D}"/>
    <cellStyle name="SAPBEXtitle 2 4 3" xfId="23481" xr:uid="{F5DE68A9-73AA-448F-9267-CF5E541C6C3F}"/>
    <cellStyle name="SAPBEXtitle 2 4 3 10" xfId="23482" xr:uid="{8380E2B0-05AA-4328-8EF7-64883AB4CDEB}"/>
    <cellStyle name="SAPBEXtitle 2 4 3 10 2" xfId="23483" xr:uid="{7036F2E8-DE06-47FE-9444-16EBB5124728}"/>
    <cellStyle name="SAPBEXtitle 2 4 3 11" xfId="23484" xr:uid="{86B65F0F-F20C-4EF5-A6AE-B9475C7A951B}"/>
    <cellStyle name="SAPBEXtitle 2 4 3 11 2" xfId="23485" xr:uid="{5CDC7B52-6470-4169-A801-1C656C88746B}"/>
    <cellStyle name="SAPBEXtitle 2 4 3 12" xfId="23486" xr:uid="{3C83EC99-F612-4C3C-8DAC-24FBF28E1970}"/>
    <cellStyle name="SAPBEXtitle 2 4 3 12 2" xfId="23487" xr:uid="{680E61A0-973B-4D00-A9CA-9E64BAA4B086}"/>
    <cellStyle name="SAPBEXtitle 2 4 3 13" xfId="23488" xr:uid="{AE6E5414-F627-490B-966E-FE02B5E66CFD}"/>
    <cellStyle name="SAPBEXtitle 2 4 3 13 2" xfId="23489" xr:uid="{ADCC1C2F-50BE-4D42-9447-2012BEEE905A}"/>
    <cellStyle name="SAPBEXtitle 2 4 3 14" xfId="23490" xr:uid="{1F5C380F-5465-4427-8FD7-6AE8D9461CB8}"/>
    <cellStyle name="SAPBEXtitle 2 4 3 14 2" xfId="23491" xr:uid="{39064A31-24A9-4EDA-8B03-25411342430F}"/>
    <cellStyle name="SAPBEXtitle 2 4 3 15" xfId="23492" xr:uid="{9B0FBE96-A8D3-4379-85D6-406F3A3CF0A7}"/>
    <cellStyle name="SAPBEXtitle 2 4 3 15 2" xfId="23493" xr:uid="{B5ABB514-C4F9-4042-ADD4-A7B6F2BDCA0C}"/>
    <cellStyle name="SAPBEXtitle 2 4 3 16" xfId="23494" xr:uid="{BD5BA13B-FE2C-4B81-A35F-80236A40B1BB}"/>
    <cellStyle name="SAPBEXtitle 2 4 3 2" xfId="23495" xr:uid="{DEDD9075-7FE7-4A19-A438-59DDFD0727DD}"/>
    <cellStyle name="SAPBEXtitle 2 4 3 2 2" xfId="23496" xr:uid="{5E58ABE2-A68B-4D93-808D-9F06BC90663F}"/>
    <cellStyle name="SAPBEXtitle 2 4 3 3" xfId="23497" xr:uid="{7C804362-55EB-4EA7-A560-FDB52B1382B2}"/>
    <cellStyle name="SAPBEXtitle 2 4 3 3 2" xfId="23498" xr:uid="{4536C95A-F7BF-4397-AF83-BA1C098C0649}"/>
    <cellStyle name="SAPBEXtitle 2 4 3 4" xfId="23499" xr:uid="{40858E8E-D9E6-43A3-974C-DDBC5441B2D8}"/>
    <cellStyle name="SAPBEXtitle 2 4 3 4 2" xfId="23500" xr:uid="{27BCE6AC-3412-4A34-B457-04F3A9E3E12D}"/>
    <cellStyle name="SAPBEXtitle 2 4 3 5" xfId="23501" xr:uid="{84E532BF-1A5F-4433-8BB6-EFA30F0B855A}"/>
    <cellStyle name="SAPBEXtitle 2 4 3 5 2" xfId="23502" xr:uid="{83DC9E9F-E2FE-40F9-A20B-0D54274BBA77}"/>
    <cellStyle name="SAPBEXtitle 2 4 3 6" xfId="23503" xr:uid="{4D4208D2-25DE-4EEC-923B-F5FC253890BC}"/>
    <cellStyle name="SAPBEXtitle 2 4 3 6 2" xfId="23504" xr:uid="{F442ED76-94A8-49B2-A7DC-C20B77E2C40D}"/>
    <cellStyle name="SAPBEXtitle 2 4 3 7" xfId="23505" xr:uid="{5436C390-3022-47CB-B421-69EEE8B2D8AA}"/>
    <cellStyle name="SAPBEXtitle 2 4 3 7 2" xfId="23506" xr:uid="{C3EADB66-A4C3-47D7-98CC-E21DC6776012}"/>
    <cellStyle name="SAPBEXtitle 2 4 3 8" xfId="23507" xr:uid="{9C73A8BF-AEE1-4EBF-B48E-4F69EDB74D8E}"/>
    <cellStyle name="SAPBEXtitle 2 4 3 8 2" xfId="23508" xr:uid="{344A8AFF-A8EB-4430-907D-4DA73239C456}"/>
    <cellStyle name="SAPBEXtitle 2 4 3 9" xfId="23509" xr:uid="{1DF0873A-3CD0-4AD2-900D-770091768ECE}"/>
    <cellStyle name="SAPBEXtitle 2 4 3 9 2" xfId="23510" xr:uid="{EF628EB6-D8D9-4A36-926E-A98DA7959081}"/>
    <cellStyle name="SAPBEXtitle 2 4 4" xfId="23511" xr:uid="{E722050C-FAB2-426C-9524-72BA1BECC011}"/>
    <cellStyle name="SAPBEXtitle 2 4 4 2" xfId="23512" xr:uid="{9F0CC881-EE26-4A74-98E0-0EF6176A90BF}"/>
    <cellStyle name="SAPBEXtitle 2 4 5" xfId="23513" xr:uid="{B1A7F5CF-E90B-4430-8F6F-C8EF2C5CD0F7}"/>
    <cellStyle name="SAPBEXtitle 2 4 5 2" xfId="23514" xr:uid="{A6B34AB0-308D-467C-8490-E31484DF02D3}"/>
    <cellStyle name="SAPBEXtitle 2 4 6" xfId="23515" xr:uid="{5C9D346D-0198-4F5B-87CA-B234B4F0D27D}"/>
    <cellStyle name="SAPBEXtitle 2 4 6 2" xfId="23516" xr:uid="{83728166-8BFA-43A0-8191-F8A73AD6802D}"/>
    <cellStyle name="SAPBEXtitle 2 4 7" xfId="23517" xr:uid="{689F190D-0761-4BC9-B3B9-DF02B7B2BBB2}"/>
    <cellStyle name="SAPBEXtitle 2 4 7 2" xfId="23518" xr:uid="{41F0F06B-D3D6-42EB-8D87-16619AB879BA}"/>
    <cellStyle name="SAPBEXtitle 2 4 8" xfId="23519" xr:uid="{05153966-5760-444E-8C54-ADA972AA08B8}"/>
    <cellStyle name="SAPBEXtitle 2 4 8 2" xfId="23520" xr:uid="{FD8D34A5-D782-4D96-B2E8-3B6A10462A87}"/>
    <cellStyle name="SAPBEXtitle 2 4 9" xfId="23521" xr:uid="{7CF99EEB-0588-4A44-A97B-C9D1DDE3D0B7}"/>
    <cellStyle name="SAPBEXtitle 2 4 9 2" xfId="23522" xr:uid="{FED75021-6A6C-4097-9BB2-27A3E28CE240}"/>
    <cellStyle name="SAPBEXtitle 2 5" xfId="23523" xr:uid="{8F4D0AD2-BDFD-484E-9C39-F19DD5CE1E7F}"/>
    <cellStyle name="SAPBEXtitle 2 5 2" xfId="23524" xr:uid="{8B3EF97B-6ED9-4C73-832E-F48CE99D01EE}"/>
    <cellStyle name="SAPBEXtitle 2 6" xfId="23525" xr:uid="{6E8E2C6C-6BA4-4E92-A5CD-4A7DDE07413E}"/>
    <cellStyle name="SAPBEXtitle 2 6 2" xfId="23526" xr:uid="{1B387CBD-4F19-49DF-AC29-8BAB3F271813}"/>
    <cellStyle name="SAPBEXtitle 2 7" xfId="23527" xr:uid="{E058A7F4-FA8F-4775-A834-E9C297FCFB49}"/>
    <cellStyle name="SAPBEXtitle 2 7 2" xfId="23528" xr:uid="{9CD097F0-6133-4733-9DE7-1879E9D2BF80}"/>
    <cellStyle name="SAPBEXtitle 2 8" xfId="23529" xr:uid="{52F31901-2975-4A95-91FC-4A18FAAF008D}"/>
    <cellStyle name="SAPBEXtitle 2 8 2" xfId="23530" xr:uid="{DDD5D24C-B90E-4BE4-B710-EF2833963ECC}"/>
    <cellStyle name="SAPBEXtitle 2 9" xfId="23531" xr:uid="{30B980D6-9FEE-4270-9372-59F93E8C903E}"/>
    <cellStyle name="SAPBEXtitle 2 9 2" xfId="23532" xr:uid="{48548E1B-A76F-49C4-819F-4BB764D72817}"/>
    <cellStyle name="SAPBEXtitle 3" xfId="23533" xr:uid="{64DB77B1-778F-4354-914B-B60E15E8790E}"/>
    <cellStyle name="SAPBEXtitle 4" xfId="23534" xr:uid="{F61DE945-8141-4216-BE4E-9C54297D6B0C}"/>
    <cellStyle name="SAPBEXtitle_T1 ANSP" xfId="23232" xr:uid="{36627D1B-1707-4E9A-BD0A-A03557B8A31F}"/>
    <cellStyle name="SAPBEXunassignedItem" xfId="23535" xr:uid="{5FE3BB8D-7FAD-4001-AB74-CA6EF4F26308}"/>
    <cellStyle name="SAPBEXunassignedItem 2" xfId="23536" xr:uid="{2521112A-AD4E-47EE-AA24-D2D4C3631151}"/>
    <cellStyle name="SAPBEXunassignedItem 2 2" xfId="23537" xr:uid="{078420AC-6F93-4031-AB9F-D135280012AB}"/>
    <cellStyle name="SAPBEXunassignedItem 2 2 2" xfId="23538" xr:uid="{16406CFB-C506-4947-818C-642640764CF5}"/>
    <cellStyle name="SAPBEXunassignedItem 2 3" xfId="23539" xr:uid="{EADC3647-6B3B-4DA0-BD07-DC2DE1C81A3E}"/>
    <cellStyle name="SAPBEXunassignedItem 2 3 2" xfId="23540" xr:uid="{C2E99B72-93A0-4647-8D9D-737A7C48B834}"/>
    <cellStyle name="SAPBEXunassignedItem 2 4" xfId="23541" xr:uid="{781F5E00-FD10-42F8-BB87-C24FDEC726F4}"/>
    <cellStyle name="SAPBEXunassignedItem 2 4 2" xfId="23542" xr:uid="{7E53F3D2-B6C9-4C95-8D13-1259F22ADF10}"/>
    <cellStyle name="SAPBEXunassignedItem 2 5" xfId="23543" xr:uid="{2BAFA4A9-447C-4D26-BDA7-CE13234879C2}"/>
    <cellStyle name="SAPBEXunassignedItem 2 5 2" xfId="23544" xr:uid="{645EB1AD-1324-4E42-BDD7-BE5094455548}"/>
    <cellStyle name="SAPBEXunassignedItem 2 6" xfId="23545" xr:uid="{CFC903FB-9649-4719-91AD-18881FDBD5CF}"/>
    <cellStyle name="SAPBEXunassignedItem 2 6 2" xfId="23546" xr:uid="{A2B0C5B6-BC84-4817-963F-107CC309A912}"/>
    <cellStyle name="SAPBEXunassignedItem 2 7" xfId="23547" xr:uid="{2CA50B6F-B7CD-4DAB-9A5E-B8D40091CB2D}"/>
    <cellStyle name="SAPBEXunassignedItem 3" xfId="23548" xr:uid="{9F2AF1D1-6EDA-4F3E-9DFC-5FF71A50B843}"/>
    <cellStyle name="SAPBEXunassignedItem 3 2" xfId="23549" xr:uid="{7656D90D-5A1E-45F6-AE2B-158AB4495D9F}"/>
    <cellStyle name="SAPBEXunassignedItem 3 2 2" xfId="23550" xr:uid="{09922EB6-CE3B-46D0-A95D-CA4CAFE3402A}"/>
    <cellStyle name="SAPBEXunassignedItem 3 3" xfId="23551" xr:uid="{850B7873-2121-4EB2-A80F-8DB0E05B4E4D}"/>
    <cellStyle name="SAPBEXunassignedItem 3 3 2" xfId="23552" xr:uid="{ABCA3F29-BAC0-4C3D-BE9C-F5D6A3668397}"/>
    <cellStyle name="SAPBEXunassignedItem 3 4" xfId="23553" xr:uid="{7AA1FE86-4708-41F7-AD20-F00E14B4648A}"/>
    <cellStyle name="SAPBEXunassignedItem 3 4 2" xfId="23554" xr:uid="{5CE74D8D-F974-44D0-911D-BD567344D31F}"/>
    <cellStyle name="SAPBEXunassignedItem 3 5" xfId="23555" xr:uid="{700E290B-0073-47D0-A5F3-B13C1567231D}"/>
    <cellStyle name="SAPBEXunassignedItem 3 5 2" xfId="23556" xr:uid="{A9757EB4-4276-4140-914A-951CB3D79919}"/>
    <cellStyle name="SAPBEXunassignedItem 3 6" xfId="23557" xr:uid="{715BDBD1-2E3C-4A8C-B439-320EFB4323B1}"/>
    <cellStyle name="SAPBEXunassignedItem 3 6 2" xfId="23558" xr:uid="{443C1195-5823-4F67-AD79-184AA62A2CAD}"/>
    <cellStyle name="SAPBEXunassignedItem 3 7" xfId="23559" xr:uid="{C5369673-1662-4C95-AEA7-F6ED894009D8}"/>
    <cellStyle name="SAPBEXunassignedItem 4" xfId="23560" xr:uid="{D5F88316-9602-451C-8782-FCB874C621C9}"/>
    <cellStyle name="SAPBEXunassignedItem 4 2" xfId="23561" xr:uid="{B42DF842-1127-4CBE-9C16-68D5E18DE30A}"/>
    <cellStyle name="SAPBEXunassignedItem 5" xfId="23562" xr:uid="{5EBD9520-39D2-43E9-8A76-3B601BB0DE50}"/>
    <cellStyle name="SAPBEXunassignedItem 5 2" xfId="23563" xr:uid="{91819F72-AE15-4B0A-8C11-92E372A00B94}"/>
    <cellStyle name="SAPBEXunassignedItem 6" xfId="23564" xr:uid="{30863E8D-4939-4953-82CF-42A2CAE4DAE7}"/>
    <cellStyle name="SAPBEXunassignedItem 6 2" xfId="23565" xr:uid="{E54E664A-4F0A-408C-9432-6F0DA60097A0}"/>
    <cellStyle name="SAPBEXunassignedItem 7" xfId="23566" xr:uid="{96A44DBA-681C-4BE6-8B44-747F5F56698A}"/>
    <cellStyle name="SAPBEXunassignedItem 7 2" xfId="23567" xr:uid="{D8632FD4-F363-4E25-8813-49AEF979CC1B}"/>
    <cellStyle name="SAPBEXunassignedItem 8" xfId="23568" xr:uid="{5C794EF9-AF86-49BC-A656-E8BFA8A34504}"/>
    <cellStyle name="SAPBEXunassignedItem 8 2" xfId="23569" xr:uid="{8B6EBCFB-B123-4DA5-BC9E-FC6E1E9801FB}"/>
    <cellStyle name="SAPBEXunassignedItem 9" xfId="23570" xr:uid="{254AF43A-5927-4145-8232-4BF54491C70F}"/>
    <cellStyle name="SAPBEXundefined" xfId="763" xr:uid="{00000000-0005-0000-0000-0000BC050000}"/>
    <cellStyle name="SAPBEXundefined 10" xfId="23572" xr:uid="{379E55E8-572E-4720-BEF7-2D2D1205FEB5}"/>
    <cellStyle name="SAPBEXundefined 10 2" xfId="23573" xr:uid="{FBF5DDEA-9903-4A16-A8CD-30CF33FE0F3C}"/>
    <cellStyle name="SAPBEXundefined 11" xfId="23574" xr:uid="{4A9E754C-E8B8-4B5F-8C7A-DD8D4E856EC7}"/>
    <cellStyle name="SAPBEXundefined 11 2" xfId="23575" xr:uid="{8C0CC8D9-648D-4E49-AF44-817EE4AE5125}"/>
    <cellStyle name="SAPBEXundefined 12" xfId="23576" xr:uid="{E806C690-BA95-430D-8665-47FE3245EE58}"/>
    <cellStyle name="SAPBEXundefined 12 2" xfId="23577" xr:uid="{F7913FE9-1904-4599-BA18-45D85BDA666E}"/>
    <cellStyle name="SAPBEXundefined 13" xfId="23578" xr:uid="{3ED75F1C-1B82-46EF-A510-3ECF6C44E31A}"/>
    <cellStyle name="SAPBEXundefined 13 2" xfId="23579" xr:uid="{816828D6-0AC0-400A-A665-F4ED79535D58}"/>
    <cellStyle name="SAPBEXundefined 14" xfId="23580" xr:uid="{22367572-3488-4668-85E8-64E148DC4A72}"/>
    <cellStyle name="SAPBEXundefined 14 2" xfId="23581" xr:uid="{52A3EC3B-7F0F-4D5D-A811-1B942AC359B1}"/>
    <cellStyle name="SAPBEXundefined 15" xfId="23582" xr:uid="{2719DF14-3DCC-4E8A-8BF6-2E0FB0DBCEF7}"/>
    <cellStyle name="SAPBEXundefined 15 2" xfId="23583" xr:uid="{15B9F30E-8BC8-4695-B8FE-B60383416315}"/>
    <cellStyle name="SAPBEXundefined 16" xfId="23584" xr:uid="{FFEFE0EC-1997-4C32-98E0-B513A93CDED4}"/>
    <cellStyle name="SAPBEXundefined 16 2" xfId="23585" xr:uid="{578BF297-9760-4FFC-A871-17B0F21CF531}"/>
    <cellStyle name="SAPBEXundefined 17" xfId="23586" xr:uid="{D4B8B852-5AA4-41E9-9BCC-9C5CFDCE183A}"/>
    <cellStyle name="SAPBEXundefined 17 2" xfId="23587" xr:uid="{AF0FDA24-B58D-4CE6-94DA-2894F4A4A2C8}"/>
    <cellStyle name="SAPBEXundefined 18" xfId="23588" xr:uid="{43BC3422-8A5D-4868-AD47-6377799796FD}"/>
    <cellStyle name="SAPBEXundefined 18 2" xfId="23589" xr:uid="{75A5343F-437F-4F39-B668-5B141FCD2AEA}"/>
    <cellStyle name="SAPBEXundefined 19" xfId="23590" xr:uid="{F7075989-95A6-4BD5-832C-E5F5CA3BCA4F}"/>
    <cellStyle name="SAPBEXundefined 19 2" xfId="23591" xr:uid="{7A977A2E-1767-4174-8833-44CA96611424}"/>
    <cellStyle name="SAPBEXundefined 2" xfId="1576" xr:uid="{00000000-0005-0000-0000-0000BD050000}"/>
    <cellStyle name="SAPBEXundefined 2 10" xfId="23593" xr:uid="{067F9046-662D-45F0-8652-2CCD2FAB4A1B}"/>
    <cellStyle name="SAPBEXundefined 2 10 2" xfId="23594" xr:uid="{DBBAB34F-C0F2-41F8-807C-B33121AF6796}"/>
    <cellStyle name="SAPBEXundefined 2 11" xfId="23595" xr:uid="{D4B27551-83F7-47EF-B417-07C80EDEA6B6}"/>
    <cellStyle name="SAPBEXundefined 2 11 2" xfId="23596" xr:uid="{EB3D5000-2F39-47D5-A224-18229905D194}"/>
    <cellStyle name="SAPBEXundefined 2 12" xfId="23597" xr:uid="{787D3412-BFAB-429E-B81B-C59AAB787E7B}"/>
    <cellStyle name="SAPBEXundefined 2 12 2" xfId="23598" xr:uid="{7957C390-0D5C-41FC-9E06-BBCFF6526B6A}"/>
    <cellStyle name="SAPBEXundefined 2 13" xfId="23599" xr:uid="{18137337-A25F-4E05-8B13-3D8747D59509}"/>
    <cellStyle name="SAPBEXundefined 2 13 2" xfId="23600" xr:uid="{BD43F854-131A-4A3F-B878-9A154686D444}"/>
    <cellStyle name="SAPBEXundefined 2 14" xfId="23601" xr:uid="{C8433FC4-5F48-4972-A5E1-E60A30981337}"/>
    <cellStyle name="SAPBEXundefined 2 14 2" xfId="23602" xr:uid="{F8FB2F82-CBEA-4DF4-ACEC-2A96EAE128A2}"/>
    <cellStyle name="SAPBEXundefined 2 15" xfId="23603" xr:uid="{D706B95D-4C62-4796-93D8-9A9F8778CDEC}"/>
    <cellStyle name="SAPBEXundefined 2 15 2" xfId="23604" xr:uid="{6960E1BA-282D-4A5F-BFCE-E3E465429A32}"/>
    <cellStyle name="SAPBEXundefined 2 16" xfId="23605" xr:uid="{1546B3CE-BB88-45B5-9DAC-1704CEB3BA17}"/>
    <cellStyle name="SAPBEXundefined 2 16 2" xfId="23606" xr:uid="{CCF1211A-F455-423D-814C-27567DBEB2BB}"/>
    <cellStyle name="SAPBEXundefined 2 17" xfId="23607" xr:uid="{0851EFA0-2765-4F90-9F75-9C9C0FC30188}"/>
    <cellStyle name="SAPBEXundefined 2 17 2" xfId="23608" xr:uid="{DA718B48-169A-4F55-92DD-F7034D9CB2F5}"/>
    <cellStyle name="SAPBEXundefined 2 18" xfId="23609" xr:uid="{CFE82793-3EC7-4F7F-AF1F-89E289F882D7}"/>
    <cellStyle name="SAPBEXundefined 2 18 2" xfId="23610" xr:uid="{0C99A24A-7A30-418C-A56E-26C8DA196B9A}"/>
    <cellStyle name="SAPBEXundefined 2 2" xfId="23611" xr:uid="{9ABEB0B2-6F0C-43DE-9E7F-2735F76BCD1E}"/>
    <cellStyle name="SAPBEXundefined 2 2 10" xfId="23612" xr:uid="{BDA45C89-4032-4856-9647-F6F0FA378382}"/>
    <cellStyle name="SAPBEXundefined 2 2 10 2" xfId="23613" xr:uid="{17E5629B-8DCB-47D1-A526-3720FA91703E}"/>
    <cellStyle name="SAPBEXundefined 2 2 11" xfId="23614" xr:uid="{7102ECA8-C907-4A52-BB4C-12EBC8689E5A}"/>
    <cellStyle name="SAPBEXundefined 2 2 11 2" xfId="23615" xr:uid="{669DBBA8-1B83-48D5-B440-35250F0097DF}"/>
    <cellStyle name="SAPBEXundefined 2 2 12" xfId="23616" xr:uid="{253E3659-A1EB-41CA-88D4-08857D32B80A}"/>
    <cellStyle name="SAPBEXundefined 2 2 12 2" xfId="23617" xr:uid="{D93B7534-0EF2-4EF3-8A93-412E4E363DFA}"/>
    <cellStyle name="SAPBEXundefined 2 2 13" xfId="23618" xr:uid="{947B603A-25ED-49DD-A380-093564FFC2E8}"/>
    <cellStyle name="SAPBEXundefined 2 2 13 2" xfId="23619" xr:uid="{848DAE23-ADDB-4DD8-A997-137F574174D7}"/>
    <cellStyle name="SAPBEXundefined 2 2 14" xfId="23620" xr:uid="{6BA21DED-DD75-4317-9386-204F1646E543}"/>
    <cellStyle name="SAPBEXundefined 2 2 14 2" xfId="23621" xr:uid="{0FB5FBEA-158F-4B01-B710-A96F3C415375}"/>
    <cellStyle name="SAPBEXundefined 2 2 15" xfId="23622" xr:uid="{86FB0523-8032-4461-B22C-17AE940E0F0E}"/>
    <cellStyle name="SAPBEXundefined 2 2 15 2" xfId="23623" xr:uid="{8F49052D-DD71-474C-8ADA-B9D9FE360774}"/>
    <cellStyle name="SAPBEXundefined 2 2 16" xfId="23624" xr:uid="{033DC376-F7B9-4528-A0D6-338844DB0B70}"/>
    <cellStyle name="SAPBEXundefined 2 2 16 2" xfId="23625" xr:uid="{18F8749B-C19A-4C43-9F1B-3A88D5141088}"/>
    <cellStyle name="SAPBEXundefined 2 2 17" xfId="23626" xr:uid="{0C98DE7E-9F8B-4F60-BC2B-4DF8F6FAC0BA}"/>
    <cellStyle name="SAPBEXundefined 2 2 17 2" xfId="23627" xr:uid="{9C30CE2F-D7F8-4061-B40F-A7388DEEA6A9}"/>
    <cellStyle name="SAPBEXundefined 2 2 2" xfId="23628" xr:uid="{00AC4BF1-9E0F-4C81-A189-34F21129FB8A}"/>
    <cellStyle name="SAPBEXundefined 2 2 2 10" xfId="23629" xr:uid="{B159B2DF-FCF5-4D68-B1EF-9AC7D9541A80}"/>
    <cellStyle name="SAPBEXundefined 2 2 2 10 2" xfId="23630" xr:uid="{D5E997AC-E31E-4F31-97D9-F60202949390}"/>
    <cellStyle name="SAPBEXundefined 2 2 2 11" xfId="23631" xr:uid="{E13C4325-6BFC-43A4-BED1-84B895B0BF8E}"/>
    <cellStyle name="SAPBEXundefined 2 2 2 11 2" xfId="23632" xr:uid="{CB83C2CC-4FEF-488F-9170-D99054C98877}"/>
    <cellStyle name="SAPBEXundefined 2 2 2 12" xfId="23633" xr:uid="{EEFB64B2-BB73-4E46-8F5B-E73B026EFFD9}"/>
    <cellStyle name="SAPBEXundefined 2 2 2 12 2" xfId="23634" xr:uid="{48A1B296-9179-4D7B-AEA7-B2B2C0A499F2}"/>
    <cellStyle name="SAPBEXundefined 2 2 2 13" xfId="23635" xr:uid="{CDB8E0D1-CDD6-4AE3-A189-A5723B27680B}"/>
    <cellStyle name="SAPBEXundefined 2 2 2 13 2" xfId="23636" xr:uid="{C5087F6D-6276-4956-B8F6-3331FF783A62}"/>
    <cellStyle name="SAPBEXundefined 2 2 2 14" xfId="23637" xr:uid="{D9254148-A28D-4016-9989-B15E817545CE}"/>
    <cellStyle name="SAPBEXundefined 2 2 2 14 2" xfId="23638" xr:uid="{A58D2F04-872C-49AD-BE98-F08393EF6008}"/>
    <cellStyle name="SAPBEXundefined 2 2 2 15" xfId="23639" xr:uid="{74233A9E-5305-45E9-BB40-A5591FA1CEDC}"/>
    <cellStyle name="SAPBEXundefined 2 2 2 15 2" xfId="23640" xr:uid="{F456B451-3C6E-40AB-8C86-24D377647812}"/>
    <cellStyle name="SAPBEXundefined 2 2 2 2" xfId="23641" xr:uid="{6DDB6E3E-807C-481B-AFD4-819B70AD482B}"/>
    <cellStyle name="SAPBEXundefined 2 2 2 2 2" xfId="23642" xr:uid="{8A3D7D08-33EB-4F75-A572-347DAC8C809B}"/>
    <cellStyle name="SAPBEXundefined 2 2 2 3" xfId="23643" xr:uid="{ED8F7423-2E8A-4D0A-9126-39987B984418}"/>
    <cellStyle name="SAPBEXundefined 2 2 2 3 2" xfId="23644" xr:uid="{B20D27E6-8DB2-42D8-8D36-DF6C0F490E43}"/>
    <cellStyle name="SAPBEXundefined 2 2 2 4" xfId="23645" xr:uid="{213D01E8-5E4C-44D1-860A-F0B2B336BD45}"/>
    <cellStyle name="SAPBEXundefined 2 2 2 4 2" xfId="23646" xr:uid="{642E14DC-F291-4FB9-A594-4812D41D568E}"/>
    <cellStyle name="SAPBEXundefined 2 2 2 5" xfId="23647" xr:uid="{669E34D3-A2A2-489B-BE4D-6784819A9839}"/>
    <cellStyle name="SAPBEXundefined 2 2 2 5 2" xfId="23648" xr:uid="{D7417D87-F844-44A0-9187-AC67A337D09E}"/>
    <cellStyle name="SAPBEXundefined 2 2 2 6" xfId="23649" xr:uid="{31EA5128-D095-4392-B6EC-DDBCA82B6C38}"/>
    <cellStyle name="SAPBEXundefined 2 2 2 6 2" xfId="23650" xr:uid="{8D98DECF-A4E3-494A-886F-33C9DD93885B}"/>
    <cellStyle name="SAPBEXundefined 2 2 2 7" xfId="23651" xr:uid="{C654B429-E3CD-4EC9-8AA9-8A050F0697BE}"/>
    <cellStyle name="SAPBEXundefined 2 2 2 7 2" xfId="23652" xr:uid="{6C3A6959-E771-436A-BD81-E490C8D3CA66}"/>
    <cellStyle name="SAPBEXundefined 2 2 2 8" xfId="23653" xr:uid="{F38B5D49-4C1C-41E5-A0F7-15FFFBE7D89F}"/>
    <cellStyle name="SAPBEXundefined 2 2 2 8 2" xfId="23654" xr:uid="{AD88A34E-C5E2-455C-B29B-381FCF8F0A9C}"/>
    <cellStyle name="SAPBEXundefined 2 2 2 9" xfId="23655" xr:uid="{CCEAB47C-7AB4-49A9-9091-550133B43390}"/>
    <cellStyle name="SAPBEXundefined 2 2 2 9 2" xfId="23656" xr:uid="{2E1C87E0-86D4-43C0-8318-CD69352E2E77}"/>
    <cellStyle name="SAPBEXundefined 2 2 3" xfId="23657" xr:uid="{9DC1018F-8081-468D-87E6-59BDD1D59F2E}"/>
    <cellStyle name="SAPBEXundefined 2 2 3 10" xfId="23658" xr:uid="{317C70D9-FB6C-4700-A76B-538F8260FFB0}"/>
    <cellStyle name="SAPBEXundefined 2 2 3 10 2" xfId="23659" xr:uid="{055BD216-2B8D-4DD9-8946-CBDFD3FECD0C}"/>
    <cellStyle name="SAPBEXundefined 2 2 3 11" xfId="23660" xr:uid="{40CA47E3-C940-4399-96D9-C38B13E31F65}"/>
    <cellStyle name="SAPBEXundefined 2 2 3 11 2" xfId="23661" xr:uid="{19C8E208-C02B-4C0C-ACCA-A993D3A1468D}"/>
    <cellStyle name="SAPBEXundefined 2 2 3 12" xfId="23662" xr:uid="{A63E57B7-C586-4997-AC6C-D988355087CC}"/>
    <cellStyle name="SAPBEXundefined 2 2 3 12 2" xfId="23663" xr:uid="{11E45391-8C6B-4EDF-BB04-C1ED8CB525E9}"/>
    <cellStyle name="SAPBEXundefined 2 2 3 13" xfId="23664" xr:uid="{9699E75E-9AC8-451A-B900-BE10634F997B}"/>
    <cellStyle name="SAPBEXundefined 2 2 3 13 2" xfId="23665" xr:uid="{5DC06387-03DA-4D68-BA27-9EBA23C1DA0C}"/>
    <cellStyle name="SAPBEXundefined 2 2 3 14" xfId="23666" xr:uid="{ECFBE429-10A4-441D-BDF4-95239CCFCF03}"/>
    <cellStyle name="SAPBEXundefined 2 2 3 14 2" xfId="23667" xr:uid="{68BFD323-F4AB-4479-8148-D992F3B983CF}"/>
    <cellStyle name="SAPBEXundefined 2 2 3 15" xfId="23668" xr:uid="{BC8D040F-E1CC-46C5-AC6A-4AD7A47A4E1A}"/>
    <cellStyle name="SAPBEXundefined 2 2 3 15 2" xfId="23669" xr:uid="{E4281F80-1FB3-41B3-B73E-D3AF65BDD715}"/>
    <cellStyle name="SAPBEXundefined 2 2 3 2" xfId="23670" xr:uid="{37EDB427-7158-4913-8BC9-44EA85CD2DEB}"/>
    <cellStyle name="SAPBEXundefined 2 2 3 2 2" xfId="23671" xr:uid="{18069FFB-2163-4C57-A444-DE52A6BF3507}"/>
    <cellStyle name="SAPBEXundefined 2 2 3 3" xfId="23672" xr:uid="{486CF2A1-A6B9-4F51-BE0B-BBC5367E6AB5}"/>
    <cellStyle name="SAPBEXundefined 2 2 3 3 2" xfId="23673" xr:uid="{412375CE-8F02-4798-84DE-692EDE49C84D}"/>
    <cellStyle name="SAPBEXundefined 2 2 3 4" xfId="23674" xr:uid="{7972B5AC-E878-49A8-AB6A-AF2992D96ACF}"/>
    <cellStyle name="SAPBEXundefined 2 2 3 4 2" xfId="23675" xr:uid="{43A1F225-B8B7-4070-9EE6-E1D7D2B35F13}"/>
    <cellStyle name="SAPBEXundefined 2 2 3 5" xfId="23676" xr:uid="{94995D1B-0E96-47CB-9B4D-C6F7FA09A7C6}"/>
    <cellStyle name="SAPBEXundefined 2 2 3 5 2" xfId="23677" xr:uid="{82775CD8-D405-4D16-A538-3467D78EA972}"/>
    <cellStyle name="SAPBEXundefined 2 2 3 6" xfId="23678" xr:uid="{44FF06E8-BF32-47C4-A3F8-135F00537D60}"/>
    <cellStyle name="SAPBEXundefined 2 2 3 6 2" xfId="23679" xr:uid="{1E04BD19-7AA6-4AFB-B28B-BEBE16F04BCF}"/>
    <cellStyle name="SAPBEXundefined 2 2 3 7" xfId="23680" xr:uid="{5DED482B-A98E-4FAC-AE57-C230FEB173C2}"/>
    <cellStyle name="SAPBEXundefined 2 2 3 7 2" xfId="23681" xr:uid="{046A17A8-C26C-443D-B989-6DAD65E3D478}"/>
    <cellStyle name="SAPBEXundefined 2 2 3 8" xfId="23682" xr:uid="{AB2BB11A-32D9-4BA7-83DB-C68165B8BDF4}"/>
    <cellStyle name="SAPBEXundefined 2 2 3 8 2" xfId="23683" xr:uid="{3D049819-8C5A-4091-B90E-36EE7B2ED68F}"/>
    <cellStyle name="SAPBEXundefined 2 2 3 9" xfId="23684" xr:uid="{D7CB6717-0A70-4132-8066-774D954F0D92}"/>
    <cellStyle name="SAPBEXundefined 2 2 3 9 2" xfId="23685" xr:uid="{F205BCDC-4546-453A-8D29-C4B55ABA121E}"/>
    <cellStyle name="SAPBEXundefined 2 2 4" xfId="23686" xr:uid="{AD52DBFA-67EA-4AC1-A652-EF4F16F75C4E}"/>
    <cellStyle name="SAPBEXundefined 2 2 4 2" xfId="23687" xr:uid="{429C9760-BF61-4895-9EEB-B99EFB5A8A27}"/>
    <cellStyle name="SAPBEXundefined 2 2 5" xfId="23688" xr:uid="{800285B3-D668-4860-9A4F-4A77DFDC58F4}"/>
    <cellStyle name="SAPBEXundefined 2 2 5 2" xfId="23689" xr:uid="{B255A88E-EEDE-4F1B-88FE-9E3512E58C43}"/>
    <cellStyle name="SAPBEXundefined 2 2 6" xfId="23690" xr:uid="{D059B2B6-0F2C-4ED9-B8D8-A739C63898DC}"/>
    <cellStyle name="SAPBEXundefined 2 2 6 2" xfId="23691" xr:uid="{F9BBCAC0-2EDF-425D-8B58-45CB58FDD133}"/>
    <cellStyle name="SAPBEXundefined 2 2 7" xfId="23692" xr:uid="{75BFFF98-BFA6-4710-B292-9E2DC98E4CE4}"/>
    <cellStyle name="SAPBEXundefined 2 2 7 2" xfId="23693" xr:uid="{4B57FB34-6550-4162-9832-8C4DAF828A2C}"/>
    <cellStyle name="SAPBEXundefined 2 2 8" xfId="23694" xr:uid="{DD49B041-6559-4DB9-8F32-25E802E0057D}"/>
    <cellStyle name="SAPBEXundefined 2 2 8 2" xfId="23695" xr:uid="{0036ACB9-C321-4C37-AD44-2CBFAF74B94E}"/>
    <cellStyle name="SAPBEXundefined 2 2 9" xfId="23696" xr:uid="{142AD680-EC57-44BF-BCC6-A0740B634782}"/>
    <cellStyle name="SAPBEXundefined 2 2 9 2" xfId="23697" xr:uid="{035D10C5-2AE5-4650-9FE5-2DE714242F2F}"/>
    <cellStyle name="SAPBEXundefined 2 3" xfId="23698" xr:uid="{607AEA55-6322-4328-8518-3D3F7CCE43BC}"/>
    <cellStyle name="SAPBEXundefined 2 3 10" xfId="23699" xr:uid="{E9AD167E-ED61-402C-BB65-8CE79E7D06EE}"/>
    <cellStyle name="SAPBEXundefined 2 3 10 2" xfId="23700" xr:uid="{0550A6BB-E8A5-43DA-BA21-7A08D0A2817C}"/>
    <cellStyle name="SAPBEXundefined 2 3 11" xfId="23701" xr:uid="{20BD6AFA-E25F-43A9-AEB0-C71914213E1A}"/>
    <cellStyle name="SAPBEXundefined 2 3 11 2" xfId="23702" xr:uid="{F8BB6C9E-0F80-4262-82AC-BD4026FCE74C}"/>
    <cellStyle name="SAPBEXundefined 2 3 12" xfId="23703" xr:uid="{6391E001-9679-48AD-B14D-44C3F748E4F1}"/>
    <cellStyle name="SAPBEXundefined 2 3 12 2" xfId="23704" xr:uid="{DDBCAEC4-0C4E-4ADC-A6EB-9BD7ACB1B440}"/>
    <cellStyle name="SAPBEXundefined 2 3 13" xfId="23705" xr:uid="{5BA12B15-D872-48C5-A025-73DA2227571D}"/>
    <cellStyle name="SAPBEXundefined 2 3 13 2" xfId="23706" xr:uid="{4EA0D0B4-E478-46DB-B934-C20FD8152B18}"/>
    <cellStyle name="SAPBEXundefined 2 3 14" xfId="23707" xr:uid="{2399994C-857E-4946-B227-C10FDC9AD091}"/>
    <cellStyle name="SAPBEXundefined 2 3 14 2" xfId="23708" xr:uid="{F15790A6-1089-4FCB-83AE-A16D0DBF8C71}"/>
    <cellStyle name="SAPBEXundefined 2 3 15" xfId="23709" xr:uid="{C60B49FF-976F-45EE-876B-FD0325B93826}"/>
    <cellStyle name="SAPBEXundefined 2 3 15 2" xfId="23710" xr:uid="{D48A2C8D-7992-46C5-8CBC-339024D36894}"/>
    <cellStyle name="SAPBEXundefined 2 3 16" xfId="23711" xr:uid="{5CCF8835-148C-46ED-9F3C-A105B5ADB57F}"/>
    <cellStyle name="SAPBEXundefined 2 3 16 2" xfId="23712" xr:uid="{4CDB2212-5DEC-4997-8D40-2DB4FAB1B8F2}"/>
    <cellStyle name="SAPBEXundefined 2 3 17" xfId="23713" xr:uid="{768B4575-6C67-4F59-AA86-0D4E8BE80EC6}"/>
    <cellStyle name="SAPBEXundefined 2 3 17 2" xfId="23714" xr:uid="{7732CC9E-9BF4-4117-8E9A-6A64E515BD75}"/>
    <cellStyle name="SAPBEXundefined 2 3 2" xfId="23715" xr:uid="{47E7BEFB-6BC4-4B27-9E13-47D414245A7A}"/>
    <cellStyle name="SAPBEXundefined 2 3 2 10" xfId="23716" xr:uid="{863097EC-848D-4845-909E-A27D297612B0}"/>
    <cellStyle name="SAPBEXundefined 2 3 2 10 2" xfId="23717" xr:uid="{8C6602F8-D5FC-48F3-9475-C4A641794B72}"/>
    <cellStyle name="SAPBEXundefined 2 3 2 11" xfId="23718" xr:uid="{C25F9FFE-D8E3-4BA4-A21A-F40D67AA901F}"/>
    <cellStyle name="SAPBEXundefined 2 3 2 11 2" xfId="23719" xr:uid="{4C5F3B7F-59B3-4300-8043-4908494D3394}"/>
    <cellStyle name="SAPBEXundefined 2 3 2 12" xfId="23720" xr:uid="{8BC8F71E-FEBB-46AA-9200-5A270602C5B0}"/>
    <cellStyle name="SAPBEXundefined 2 3 2 12 2" xfId="23721" xr:uid="{A2086204-DF94-4609-9A4C-0242F3C0FA6F}"/>
    <cellStyle name="SAPBEXundefined 2 3 2 13" xfId="23722" xr:uid="{5862345B-3297-4446-8FCD-BC382F1D49C0}"/>
    <cellStyle name="SAPBEXundefined 2 3 2 13 2" xfId="23723" xr:uid="{8381AD7A-515D-4259-A529-26CE4DD8B220}"/>
    <cellStyle name="SAPBEXundefined 2 3 2 14" xfId="23724" xr:uid="{B3C90449-C3F1-47E7-ACC0-17BC7F3A960A}"/>
    <cellStyle name="SAPBEXundefined 2 3 2 14 2" xfId="23725" xr:uid="{0EBA8E41-AD01-4396-97FC-AC6AEE6A626A}"/>
    <cellStyle name="SAPBEXundefined 2 3 2 15" xfId="23726" xr:uid="{CF370DAD-59C3-4578-8A52-89E2B411164D}"/>
    <cellStyle name="SAPBEXundefined 2 3 2 15 2" xfId="23727" xr:uid="{97CBA7AB-F71F-4A0A-9186-331BE11F849B}"/>
    <cellStyle name="SAPBEXundefined 2 3 2 2" xfId="23728" xr:uid="{BF1FC771-C855-40E3-AB54-4E8D93D91CDE}"/>
    <cellStyle name="SAPBEXundefined 2 3 2 2 2" xfId="23729" xr:uid="{DCA1E99F-2D69-41C4-B745-4BFC7BE443B9}"/>
    <cellStyle name="SAPBEXundefined 2 3 2 3" xfId="23730" xr:uid="{01BEAD0A-F6E7-4382-9A1F-53C84E837DC3}"/>
    <cellStyle name="SAPBEXundefined 2 3 2 3 2" xfId="23731" xr:uid="{B7F99BD0-5F37-461B-ACEF-EB0696383B97}"/>
    <cellStyle name="SAPBEXundefined 2 3 2 4" xfId="23732" xr:uid="{74136990-1798-425D-9941-EA7A8E4674B6}"/>
    <cellStyle name="SAPBEXundefined 2 3 2 4 2" xfId="23733" xr:uid="{C10D5EBE-5FAA-415A-81BA-69B7CE7DBB75}"/>
    <cellStyle name="SAPBEXundefined 2 3 2 5" xfId="23734" xr:uid="{B8059B42-B220-449F-AB96-E9D7241C94D4}"/>
    <cellStyle name="SAPBEXundefined 2 3 2 5 2" xfId="23735" xr:uid="{85FA0D3C-1830-4FC0-A42D-561A296E523B}"/>
    <cellStyle name="SAPBEXundefined 2 3 2 6" xfId="23736" xr:uid="{7A884DEF-F18B-4179-B499-B05B76CFEF02}"/>
    <cellStyle name="SAPBEXundefined 2 3 2 6 2" xfId="23737" xr:uid="{89DA4587-2BA4-498C-8AFF-1B3ED72936BA}"/>
    <cellStyle name="SAPBEXundefined 2 3 2 7" xfId="23738" xr:uid="{21CFD841-7C23-4D85-B36A-A6C5B1278601}"/>
    <cellStyle name="SAPBEXundefined 2 3 2 7 2" xfId="23739" xr:uid="{587A910F-3A5A-4A7E-8CF1-E28D4E5D59BD}"/>
    <cellStyle name="SAPBEXundefined 2 3 2 8" xfId="23740" xr:uid="{A277DC5F-79F5-4D92-830E-B09470A0DC0C}"/>
    <cellStyle name="SAPBEXundefined 2 3 2 8 2" xfId="23741" xr:uid="{B842EC97-4C14-4155-97B6-41C8B140D313}"/>
    <cellStyle name="SAPBEXundefined 2 3 2 9" xfId="23742" xr:uid="{3A8F7627-228C-48E9-8179-370BFC89C528}"/>
    <cellStyle name="SAPBEXundefined 2 3 2 9 2" xfId="23743" xr:uid="{0CDE5467-A594-415F-81C8-6A6BA959E9B4}"/>
    <cellStyle name="SAPBEXundefined 2 3 3" xfId="23744" xr:uid="{6B8CF9AF-4247-4131-BCFC-0A0997E4A3C0}"/>
    <cellStyle name="SAPBEXundefined 2 3 3 10" xfId="23745" xr:uid="{BEADE585-FBE3-42DA-8AE4-F356714606F0}"/>
    <cellStyle name="SAPBEXundefined 2 3 3 10 2" xfId="23746" xr:uid="{EA7AF9E4-4757-40DD-B7E3-5A8F46230177}"/>
    <cellStyle name="SAPBEXundefined 2 3 3 11" xfId="23747" xr:uid="{87AA53D1-FDCC-4D4F-8598-0C8D4F7A6D2A}"/>
    <cellStyle name="SAPBEXundefined 2 3 3 11 2" xfId="23748" xr:uid="{9CDA449D-757F-421D-90AD-564D59C981B5}"/>
    <cellStyle name="SAPBEXundefined 2 3 3 12" xfId="23749" xr:uid="{ED2123CD-A389-4D4A-BB48-AD758005CA6B}"/>
    <cellStyle name="SAPBEXundefined 2 3 3 12 2" xfId="23750" xr:uid="{440EAD15-1EB4-45C1-B76F-83DEF3B11B5C}"/>
    <cellStyle name="SAPBEXundefined 2 3 3 13" xfId="23751" xr:uid="{00DC0B15-33E4-4FFE-9CF3-4F1869D12D9F}"/>
    <cellStyle name="SAPBEXundefined 2 3 3 13 2" xfId="23752" xr:uid="{86352D8A-CAE6-46FE-9008-3BF9581F0198}"/>
    <cellStyle name="SAPBEXundefined 2 3 3 14" xfId="23753" xr:uid="{DB39014B-7905-4CCB-9B89-6F7454FEFBE5}"/>
    <cellStyle name="SAPBEXundefined 2 3 3 14 2" xfId="23754" xr:uid="{0168D4C3-488C-49BF-9CCD-D01D9798D3C6}"/>
    <cellStyle name="SAPBEXundefined 2 3 3 15" xfId="23755" xr:uid="{D9034FB4-2222-443C-A80C-17BA262A5241}"/>
    <cellStyle name="SAPBEXundefined 2 3 3 15 2" xfId="23756" xr:uid="{E3B72969-3A6C-4716-849C-5A6E67643926}"/>
    <cellStyle name="SAPBEXundefined 2 3 3 2" xfId="23757" xr:uid="{CE126875-6F87-4A07-A612-284C33646157}"/>
    <cellStyle name="SAPBEXundefined 2 3 3 2 2" xfId="23758" xr:uid="{CF39C1C3-5147-4CE8-89C0-806CAD0D8710}"/>
    <cellStyle name="SAPBEXundefined 2 3 3 3" xfId="23759" xr:uid="{5CC0CA18-9059-44FC-BD8B-E1F575DDB3EB}"/>
    <cellStyle name="SAPBEXundefined 2 3 3 3 2" xfId="23760" xr:uid="{28C81F88-F9CB-47BA-9466-18ECC39FB388}"/>
    <cellStyle name="SAPBEXundefined 2 3 3 4" xfId="23761" xr:uid="{467F6708-CCA5-4FF1-AB59-7AA684AD3A8A}"/>
    <cellStyle name="SAPBEXundefined 2 3 3 4 2" xfId="23762" xr:uid="{9EA8D291-063E-4321-B1FB-151FB0F94D8A}"/>
    <cellStyle name="SAPBEXundefined 2 3 3 5" xfId="23763" xr:uid="{F488B348-AEAC-4806-935A-6F3531ED302C}"/>
    <cellStyle name="SAPBEXundefined 2 3 3 5 2" xfId="23764" xr:uid="{DD0F221D-4741-465E-9117-BC595B21316C}"/>
    <cellStyle name="SAPBEXundefined 2 3 3 6" xfId="23765" xr:uid="{6E87D11A-C374-4C63-8C31-C6CBA2B2882C}"/>
    <cellStyle name="SAPBEXundefined 2 3 3 6 2" xfId="23766" xr:uid="{B4234E81-FE30-43CF-A807-E5EC4850F7BA}"/>
    <cellStyle name="SAPBEXundefined 2 3 3 7" xfId="23767" xr:uid="{E93C8EA2-36E7-4DC0-8FFC-51D6D43D7775}"/>
    <cellStyle name="SAPBEXundefined 2 3 3 7 2" xfId="23768" xr:uid="{D6A558A0-677E-4798-BF91-0C7202F0ED17}"/>
    <cellStyle name="SAPBEXundefined 2 3 3 8" xfId="23769" xr:uid="{7D4D79A9-90AC-4E38-9470-F4AFA798E2EE}"/>
    <cellStyle name="SAPBEXundefined 2 3 3 8 2" xfId="23770" xr:uid="{27611C9E-7CEB-45BD-A02C-2715AA146D2B}"/>
    <cellStyle name="SAPBEXundefined 2 3 3 9" xfId="23771" xr:uid="{0E2FA284-0FFD-425F-A487-189086C412CE}"/>
    <cellStyle name="SAPBEXundefined 2 3 3 9 2" xfId="23772" xr:uid="{3535DE73-F0DC-4645-8A78-D40DEE5D31C6}"/>
    <cellStyle name="SAPBEXundefined 2 3 4" xfId="23773" xr:uid="{84B3FC1D-0A0B-45B0-B7D8-B2A123FA6E0D}"/>
    <cellStyle name="SAPBEXundefined 2 3 4 2" xfId="23774" xr:uid="{47F1BB3B-66AE-46A7-8495-76B829DEC41A}"/>
    <cellStyle name="SAPBEXundefined 2 3 5" xfId="23775" xr:uid="{50F47B70-3CB5-4FD5-97FD-5D7A26836858}"/>
    <cellStyle name="SAPBEXundefined 2 3 5 2" xfId="23776" xr:uid="{A6A1170A-9887-4B43-BEAF-6E2FEC73D784}"/>
    <cellStyle name="SAPBEXundefined 2 3 6" xfId="23777" xr:uid="{99E2036F-79C7-4F77-BF73-E699DB00CCE9}"/>
    <cellStyle name="SAPBEXundefined 2 3 6 2" xfId="23778" xr:uid="{EFD99A89-ACCA-4834-A7D8-1CF8EDEC1CCC}"/>
    <cellStyle name="SAPBEXundefined 2 3 7" xfId="23779" xr:uid="{06190991-4880-4D10-80CA-36800D89EA3F}"/>
    <cellStyle name="SAPBEXundefined 2 3 7 2" xfId="23780" xr:uid="{1734888B-44A6-4FE4-9A8E-EC783111F852}"/>
    <cellStyle name="SAPBEXundefined 2 3 8" xfId="23781" xr:uid="{3C930438-0B6A-46D9-8F80-D7D276E90E0A}"/>
    <cellStyle name="SAPBEXundefined 2 3 8 2" xfId="23782" xr:uid="{33F2432E-FB96-4145-BDCD-AECA7E4C0D03}"/>
    <cellStyle name="SAPBEXundefined 2 3 9" xfId="23783" xr:uid="{0D1E3751-D0D3-4C03-BC81-02C316B75377}"/>
    <cellStyle name="SAPBEXundefined 2 3 9 2" xfId="23784" xr:uid="{43574695-AB76-4F9E-94D3-D80D2DC36881}"/>
    <cellStyle name="SAPBEXundefined 2 4" xfId="23785" xr:uid="{B6E42C6C-4328-4FD2-90DA-8ACB64563414}"/>
    <cellStyle name="SAPBEXundefined 2 4 10" xfId="23786" xr:uid="{98D0CCB8-FFD1-451B-A077-ADB522D83B22}"/>
    <cellStyle name="SAPBEXundefined 2 4 10 2" xfId="23787" xr:uid="{D6B57EF6-DAFF-47D8-96D6-6FE3EE87EC12}"/>
    <cellStyle name="SAPBEXundefined 2 4 11" xfId="23788" xr:uid="{47F8AC1D-E8C2-4E41-A857-5187B679B90C}"/>
    <cellStyle name="SAPBEXundefined 2 4 11 2" xfId="23789" xr:uid="{5D87B7CF-172C-4AE7-86F8-5CCAE55B2063}"/>
    <cellStyle name="SAPBEXundefined 2 4 12" xfId="23790" xr:uid="{9A9D3901-6ACA-4A6E-9E8D-FCBEE77406DF}"/>
    <cellStyle name="SAPBEXundefined 2 4 12 2" xfId="23791" xr:uid="{603A643E-17E1-40A1-9BEB-0E19267394F2}"/>
    <cellStyle name="SAPBEXundefined 2 4 13" xfId="23792" xr:uid="{BABCC3BD-C237-47B6-8BDD-355FC98388A2}"/>
    <cellStyle name="SAPBEXundefined 2 4 13 2" xfId="23793" xr:uid="{00602204-91EF-4C2F-8F4B-D98F64FBF12F}"/>
    <cellStyle name="SAPBEXundefined 2 4 14" xfId="23794" xr:uid="{8D6030F8-CE85-47B5-A43A-ACD5C385901F}"/>
    <cellStyle name="SAPBEXundefined 2 4 14 2" xfId="23795" xr:uid="{6612A6B1-DBE6-4FF2-96F5-71D7D2E1752D}"/>
    <cellStyle name="SAPBEXundefined 2 4 15" xfId="23796" xr:uid="{C153CAED-8D76-471C-91EE-10B98567CBE7}"/>
    <cellStyle name="SAPBEXundefined 2 4 15 2" xfId="23797" xr:uid="{67BF69A9-A0F8-43D9-B461-42484D13A4C5}"/>
    <cellStyle name="SAPBEXundefined 2 4 16" xfId="23798" xr:uid="{B012FC77-F729-4328-968F-6C51D085191B}"/>
    <cellStyle name="SAPBEXundefined 2 4 16 2" xfId="23799" xr:uid="{7854F5B7-4BEE-4534-8D1B-984FC2794CAA}"/>
    <cellStyle name="SAPBEXundefined 2 4 17" xfId="23800" xr:uid="{940B1182-A7D1-472B-8DEC-5304B3DFA8CB}"/>
    <cellStyle name="SAPBEXundefined 2 4 17 2" xfId="23801" xr:uid="{7C5D5630-84EA-4EDB-A34E-A691008DAA33}"/>
    <cellStyle name="SAPBEXundefined 2 4 2" xfId="23802" xr:uid="{FA0E38BF-4ACD-4987-B921-B29D4E18A8E3}"/>
    <cellStyle name="SAPBEXundefined 2 4 2 10" xfId="23803" xr:uid="{FB380F05-ED9F-4D87-935C-C43ED15EC51D}"/>
    <cellStyle name="SAPBEXundefined 2 4 2 10 2" xfId="23804" xr:uid="{B471540A-744D-4E8A-8DE2-F3C8A7409E10}"/>
    <cellStyle name="SAPBEXundefined 2 4 2 11" xfId="23805" xr:uid="{80D51A8B-354A-4431-9867-D86C26A62F95}"/>
    <cellStyle name="SAPBEXundefined 2 4 2 11 2" xfId="23806" xr:uid="{43C6F763-092E-4769-BF5E-ACFCECC76427}"/>
    <cellStyle name="SAPBEXundefined 2 4 2 12" xfId="23807" xr:uid="{1A4E43B5-F565-4E48-AE1F-F42C6A7C00B1}"/>
    <cellStyle name="SAPBEXundefined 2 4 2 12 2" xfId="23808" xr:uid="{0DBE8B34-D9FD-4B7E-B7F9-967815F58CF8}"/>
    <cellStyle name="SAPBEXundefined 2 4 2 13" xfId="23809" xr:uid="{6203881E-C0C6-4AE9-BBF8-905B79703F8D}"/>
    <cellStyle name="SAPBEXundefined 2 4 2 13 2" xfId="23810" xr:uid="{256983E4-D1F6-47A4-A052-769E0DAD3B52}"/>
    <cellStyle name="SAPBEXundefined 2 4 2 14" xfId="23811" xr:uid="{7D2ADC2F-A4BE-42E1-BDCD-3FF650DE4585}"/>
    <cellStyle name="SAPBEXundefined 2 4 2 14 2" xfId="23812" xr:uid="{F3425E7B-48D0-46A9-897C-E6DB06E856C3}"/>
    <cellStyle name="SAPBEXundefined 2 4 2 15" xfId="23813" xr:uid="{A301A0E4-5538-476E-A8D1-9F9263C275A4}"/>
    <cellStyle name="SAPBEXundefined 2 4 2 15 2" xfId="23814" xr:uid="{3AEA5868-1250-48EC-B2AD-CEDA43F139AB}"/>
    <cellStyle name="SAPBEXundefined 2 4 2 2" xfId="23815" xr:uid="{FE67CCFB-D7F4-4116-953E-27E7E29E0A80}"/>
    <cellStyle name="SAPBEXundefined 2 4 2 2 2" xfId="23816" xr:uid="{DAD69D6A-FA70-4D36-98E1-D4C8BF0EE810}"/>
    <cellStyle name="SAPBEXundefined 2 4 2 3" xfId="23817" xr:uid="{FAD2E3F2-25C4-41DC-B179-30E6944E25AE}"/>
    <cellStyle name="SAPBEXundefined 2 4 2 3 2" xfId="23818" xr:uid="{4C44C2DA-BD9F-417B-BF26-2BEDC84C8A99}"/>
    <cellStyle name="SAPBEXundefined 2 4 2 4" xfId="23819" xr:uid="{8AEA0162-30F2-4102-830A-966A816C540D}"/>
    <cellStyle name="SAPBEXundefined 2 4 2 4 2" xfId="23820" xr:uid="{18F334DD-9F6F-4350-B3FF-3FA5548A09A9}"/>
    <cellStyle name="SAPBEXundefined 2 4 2 5" xfId="23821" xr:uid="{4504DD6B-696D-4EDD-8AA5-360ED6A3E647}"/>
    <cellStyle name="SAPBEXundefined 2 4 2 5 2" xfId="23822" xr:uid="{7D9A0A1C-A76E-4340-A423-373B17F612E9}"/>
    <cellStyle name="SAPBEXundefined 2 4 2 6" xfId="23823" xr:uid="{87FD252A-D77C-4716-8A58-FA1BDECA4DF5}"/>
    <cellStyle name="SAPBEXundefined 2 4 2 6 2" xfId="23824" xr:uid="{D9754F5D-B82E-4EFA-B248-D5111DF74DD9}"/>
    <cellStyle name="SAPBEXundefined 2 4 2 7" xfId="23825" xr:uid="{B922A7E6-BC6C-45E9-9E4F-523788750777}"/>
    <cellStyle name="SAPBEXundefined 2 4 2 7 2" xfId="23826" xr:uid="{60FAC68D-785D-420B-9280-8D7132E8420A}"/>
    <cellStyle name="SAPBEXundefined 2 4 2 8" xfId="23827" xr:uid="{AF47EEB0-3DBC-46DE-A367-D538D265F8EB}"/>
    <cellStyle name="SAPBEXundefined 2 4 2 8 2" xfId="23828" xr:uid="{6626FC64-9C27-4659-85D4-E67F58388E91}"/>
    <cellStyle name="SAPBEXundefined 2 4 2 9" xfId="23829" xr:uid="{4EE03195-4DCC-48FF-B628-EBFFEA8513E6}"/>
    <cellStyle name="SAPBEXundefined 2 4 2 9 2" xfId="23830" xr:uid="{CAE7404C-DDB7-4CB7-A305-72AB312F2AC4}"/>
    <cellStyle name="SAPBEXundefined 2 4 3" xfId="23831" xr:uid="{68867CD7-A92B-4895-8CC0-129EC7D4A6CB}"/>
    <cellStyle name="SAPBEXundefined 2 4 3 10" xfId="23832" xr:uid="{1CB628B9-2FA6-4FF2-A73C-BCF3207C2AA5}"/>
    <cellStyle name="SAPBEXundefined 2 4 3 10 2" xfId="23833" xr:uid="{112F8B6A-A3D9-49DF-A623-EF821F383301}"/>
    <cellStyle name="SAPBEXundefined 2 4 3 11" xfId="23834" xr:uid="{4BCCEE57-94F0-4447-AE86-72AF8034F323}"/>
    <cellStyle name="SAPBEXundefined 2 4 3 11 2" xfId="23835" xr:uid="{D6CB6106-B51A-4E17-9BA3-1AD54D88C2F1}"/>
    <cellStyle name="SAPBEXundefined 2 4 3 12" xfId="23836" xr:uid="{18329F67-C88E-43F3-946D-4001F89647F0}"/>
    <cellStyle name="SAPBEXundefined 2 4 3 12 2" xfId="23837" xr:uid="{E60BA782-B33B-4742-8CC8-8E3BE7471DBB}"/>
    <cellStyle name="SAPBEXundefined 2 4 3 13" xfId="23838" xr:uid="{BA945DDD-14E8-4821-B8CF-BE0360FA5190}"/>
    <cellStyle name="SAPBEXundefined 2 4 3 13 2" xfId="23839" xr:uid="{291CEC32-D09B-410F-A553-49E48741876C}"/>
    <cellStyle name="SAPBEXundefined 2 4 3 14" xfId="23840" xr:uid="{4788BAF7-AEB6-4AA0-9323-0B6EA320885C}"/>
    <cellStyle name="SAPBEXundefined 2 4 3 14 2" xfId="23841" xr:uid="{544983E5-0E15-4EC9-8247-5784CCDE1BA5}"/>
    <cellStyle name="SAPBEXundefined 2 4 3 15" xfId="23842" xr:uid="{62454009-5BA4-4BF9-8E70-5E7FE9D1F5BD}"/>
    <cellStyle name="SAPBEXundefined 2 4 3 15 2" xfId="23843" xr:uid="{35E35415-AB6A-4DD4-BEDE-0A955560DA00}"/>
    <cellStyle name="SAPBEXundefined 2 4 3 2" xfId="23844" xr:uid="{78C05B9E-AAC9-42E6-ABA7-6F478471461C}"/>
    <cellStyle name="SAPBEXundefined 2 4 3 2 2" xfId="23845" xr:uid="{69D58495-C84F-4CBA-9196-1466799B23D6}"/>
    <cellStyle name="SAPBEXundefined 2 4 3 3" xfId="23846" xr:uid="{DFA084FF-7D27-415A-81D4-4F6AADAB3846}"/>
    <cellStyle name="SAPBEXundefined 2 4 3 3 2" xfId="23847" xr:uid="{31C9F966-F667-4605-B624-A0E3A5DE9EB4}"/>
    <cellStyle name="SAPBEXundefined 2 4 3 4" xfId="23848" xr:uid="{43094E10-7C8A-4285-A01B-EBBFB5362898}"/>
    <cellStyle name="SAPBEXundefined 2 4 3 4 2" xfId="23849" xr:uid="{98A0D5B0-D657-4E0B-BD93-558005F433F0}"/>
    <cellStyle name="SAPBEXundefined 2 4 3 5" xfId="23850" xr:uid="{4BBC9D64-3439-4E96-9D2D-B9D9E4570720}"/>
    <cellStyle name="SAPBEXundefined 2 4 3 5 2" xfId="23851" xr:uid="{F4F4DA5C-656E-4DBD-B152-561590B87DC0}"/>
    <cellStyle name="SAPBEXundefined 2 4 3 6" xfId="23852" xr:uid="{CC1F676A-CD1C-487C-94F0-68AF2C379E90}"/>
    <cellStyle name="SAPBEXundefined 2 4 3 6 2" xfId="23853" xr:uid="{50068E21-C1EB-4D59-AB45-987262B054E9}"/>
    <cellStyle name="SAPBEXundefined 2 4 3 7" xfId="23854" xr:uid="{EE46C037-3CFC-4211-AF26-2DE3C334B683}"/>
    <cellStyle name="SAPBEXundefined 2 4 3 7 2" xfId="23855" xr:uid="{62FA882A-1840-4BAF-BFE0-33456B10DB6C}"/>
    <cellStyle name="SAPBEXundefined 2 4 3 8" xfId="23856" xr:uid="{A89D8D2E-0DC0-42B5-BF10-3874E44178D7}"/>
    <cellStyle name="SAPBEXundefined 2 4 3 8 2" xfId="23857" xr:uid="{6C46F52D-2466-415D-A277-838A22E75DF8}"/>
    <cellStyle name="SAPBEXundefined 2 4 3 9" xfId="23858" xr:uid="{6F0CDEF0-35FD-4CD5-8F7E-8F567E6F1E7A}"/>
    <cellStyle name="SAPBEXundefined 2 4 3 9 2" xfId="23859" xr:uid="{73F8D841-758E-4912-A970-7CD3F0234394}"/>
    <cellStyle name="SAPBEXundefined 2 4 4" xfId="23860" xr:uid="{6B3E8661-8163-4D65-B589-290230E9CC09}"/>
    <cellStyle name="SAPBEXundefined 2 4 4 2" xfId="23861" xr:uid="{A2342791-7FE9-4B98-B3F8-C43C1CA1D579}"/>
    <cellStyle name="SAPBEXundefined 2 4 5" xfId="23862" xr:uid="{885996FA-4447-48DE-99B2-435BCE1C10E1}"/>
    <cellStyle name="SAPBEXundefined 2 4 5 2" xfId="23863" xr:uid="{2A217C8C-9FE8-458B-AECA-FF3DAB58441A}"/>
    <cellStyle name="SAPBEXundefined 2 4 6" xfId="23864" xr:uid="{06D2E109-BF16-4B98-ACD9-5F94521CBF6D}"/>
    <cellStyle name="SAPBEXundefined 2 4 6 2" xfId="23865" xr:uid="{A74ED085-FB4C-4C59-9E7F-458578FCD632}"/>
    <cellStyle name="SAPBEXundefined 2 4 7" xfId="23866" xr:uid="{1939CE5A-3EA5-4C9A-A0F3-D987380385F0}"/>
    <cellStyle name="SAPBEXundefined 2 4 7 2" xfId="23867" xr:uid="{0D144B49-5B5B-4BC7-9A3E-4AAE79E58C53}"/>
    <cellStyle name="SAPBEXundefined 2 4 8" xfId="23868" xr:uid="{F6DC72B6-3067-4E60-8157-401CD1A328DA}"/>
    <cellStyle name="SAPBEXundefined 2 4 8 2" xfId="23869" xr:uid="{693B95B5-76AF-44EF-B5E0-D8E024DAA520}"/>
    <cellStyle name="SAPBEXundefined 2 4 9" xfId="23870" xr:uid="{282B53D4-EEF0-438B-B446-E195157AC49B}"/>
    <cellStyle name="SAPBEXundefined 2 4 9 2" xfId="23871" xr:uid="{85B309EC-8861-4752-8214-2525300CF3E2}"/>
    <cellStyle name="SAPBEXundefined 2 5" xfId="23872" xr:uid="{2D8CC935-8120-42A7-BE3C-0DF934C9FF79}"/>
    <cellStyle name="SAPBEXundefined 2 5 2" xfId="23873" xr:uid="{1CD61BCA-1373-43A2-B5A1-18A4141111AA}"/>
    <cellStyle name="SAPBEXundefined 2 6" xfId="23874" xr:uid="{5F648D05-B0C4-4668-8DE2-6364E267EACA}"/>
    <cellStyle name="SAPBEXundefined 2 6 2" xfId="23875" xr:uid="{9BA260C5-F011-41A7-B6D0-5984C3B07A0D}"/>
    <cellStyle name="SAPBEXundefined 2 7" xfId="23876" xr:uid="{3056C3ED-528B-4B14-BF39-6BB6EB0AC659}"/>
    <cellStyle name="SAPBEXundefined 2 7 2" xfId="23877" xr:uid="{036E91ED-A2E7-4722-AB3F-7F2078A8330F}"/>
    <cellStyle name="SAPBEXundefined 2 8" xfId="23878" xr:uid="{6805AC78-EE67-4E16-B2D8-AEDDDB11EEB5}"/>
    <cellStyle name="SAPBEXundefined 2 8 2" xfId="23879" xr:uid="{EF410679-FDC8-485F-8E5F-61BEF0777500}"/>
    <cellStyle name="SAPBEXundefined 2 9" xfId="23880" xr:uid="{6886306C-9B58-4E6C-9210-171D34934C55}"/>
    <cellStyle name="SAPBEXundefined 2 9 2" xfId="23881" xr:uid="{DFF21344-2F0B-4DD9-BDE9-CD15609DB056}"/>
    <cellStyle name="SAPBEXundefined 2_T1 ANSP" xfId="23592" xr:uid="{96DFE36D-AEC4-42AA-A928-160B72F7C5AD}"/>
    <cellStyle name="SAPBEXundefined 20" xfId="23882" xr:uid="{D70A20D1-E9E4-4CEE-A847-74DACB04B32F}"/>
    <cellStyle name="SAPBEXundefined 3" xfId="1534" xr:uid="{00000000-0005-0000-0000-0000BE050000}"/>
    <cellStyle name="SAPBEXundefined 3 10" xfId="23884" xr:uid="{B4C95CDF-83BC-4E42-9DE9-EE5761921417}"/>
    <cellStyle name="SAPBEXundefined 3 10 2" xfId="23885" xr:uid="{9CE928DA-5BCE-4DCE-A109-04C5449C8B18}"/>
    <cellStyle name="SAPBEXundefined 3 11" xfId="23886" xr:uid="{B93959ED-2E8F-4EE1-B997-57C3BFC69A82}"/>
    <cellStyle name="SAPBEXundefined 3 11 2" xfId="23887" xr:uid="{4497605D-2F16-4E75-80A7-DDA0B8C57518}"/>
    <cellStyle name="SAPBEXundefined 3 12" xfId="23888" xr:uid="{C0C0EBB5-A68C-494D-A294-59AF6BEA35FA}"/>
    <cellStyle name="SAPBEXundefined 3 12 2" xfId="23889" xr:uid="{34E16CF1-0E97-4DBF-BA93-6DF9011997FA}"/>
    <cellStyle name="SAPBEXundefined 3 13" xfId="23890" xr:uid="{18796253-8D40-487D-876F-3F275CA9BE06}"/>
    <cellStyle name="SAPBEXundefined 3 13 2" xfId="23891" xr:uid="{C670233A-1514-45C4-9B4D-686765E52CB3}"/>
    <cellStyle name="SAPBEXundefined 3 14" xfId="23892" xr:uid="{63BE668E-15D7-45D5-89E1-EFD72D184ED3}"/>
    <cellStyle name="SAPBEXundefined 3 14 2" xfId="23893" xr:uid="{92B55B7D-BFA1-4E04-A830-3B61981F1814}"/>
    <cellStyle name="SAPBEXundefined 3 15" xfId="23894" xr:uid="{81CED9A3-6341-4195-80F6-C4AFB40F6023}"/>
    <cellStyle name="SAPBEXundefined 3 15 2" xfId="23895" xr:uid="{4AD5A734-3B61-455B-8404-6E8D30F05AB1}"/>
    <cellStyle name="SAPBEXundefined 3 16" xfId="23896" xr:uid="{231435C5-DC8C-43EB-BA82-267CB7736F70}"/>
    <cellStyle name="SAPBEXundefined 3 16 2" xfId="23897" xr:uid="{9752FCC0-B52A-4AC3-802B-E342813C31F7}"/>
    <cellStyle name="SAPBEXundefined 3 17" xfId="23898" xr:uid="{3023C5C4-E5F4-49E6-A65B-CF8458CC1B00}"/>
    <cellStyle name="SAPBEXundefined 3 17 2" xfId="23899" xr:uid="{E3D0052A-4905-4C2F-8B56-347205A324BE}"/>
    <cellStyle name="SAPBEXundefined 3 18" xfId="23900" xr:uid="{F14CA559-A22C-417B-B5A9-D62A58E45455}"/>
    <cellStyle name="SAPBEXundefined 3 2" xfId="23901" xr:uid="{902E58C4-7D1E-4CC3-91B7-E9694F5B88D9}"/>
    <cellStyle name="SAPBEXundefined 3 2 10" xfId="23902" xr:uid="{7C367030-295A-4D87-AE3A-CDAD4F982656}"/>
    <cellStyle name="SAPBEXundefined 3 2 10 2" xfId="23903" xr:uid="{1DFF7CBA-E6D0-4701-AEFE-F47E57DB5739}"/>
    <cellStyle name="SAPBEXundefined 3 2 11" xfId="23904" xr:uid="{C0D4ADDC-3CD3-46CF-87B0-B78C2DB8A199}"/>
    <cellStyle name="SAPBEXundefined 3 2 11 2" xfId="23905" xr:uid="{7634C97C-1055-4435-B511-6BD964E813B5}"/>
    <cellStyle name="SAPBEXundefined 3 2 12" xfId="23906" xr:uid="{6E4FB0D6-9673-4FB1-8D9D-BD6E286A199F}"/>
    <cellStyle name="SAPBEXundefined 3 2 12 2" xfId="23907" xr:uid="{06626A85-05AC-4729-A9ED-CC8B96FC3B23}"/>
    <cellStyle name="SAPBEXundefined 3 2 13" xfId="23908" xr:uid="{AC256513-EE91-47A8-AD15-4AF1FCD192F1}"/>
    <cellStyle name="SAPBEXundefined 3 2 13 2" xfId="23909" xr:uid="{FC43B023-54D8-4C79-9EE5-F9091A97E5F8}"/>
    <cellStyle name="SAPBEXundefined 3 2 14" xfId="23910" xr:uid="{5EECDF9B-D616-401F-9087-A6F1B221195D}"/>
    <cellStyle name="SAPBEXundefined 3 2 14 2" xfId="23911" xr:uid="{F4A82A55-5D7F-4403-9DAB-839A4CC38457}"/>
    <cellStyle name="SAPBEXundefined 3 2 15" xfId="23912" xr:uid="{018AB8BA-716D-4C87-A120-7396A27D5AE6}"/>
    <cellStyle name="SAPBEXundefined 3 2 15 2" xfId="23913" xr:uid="{8445662B-A4AF-4437-A794-C47C66A5232A}"/>
    <cellStyle name="SAPBEXundefined 3 2 16" xfId="23914" xr:uid="{31450172-728B-4F4D-A47A-9D66D04F0F36}"/>
    <cellStyle name="SAPBEXundefined 3 2 2" xfId="23915" xr:uid="{73A3EE5F-403F-4EEB-9BBB-BECC4F33AFB1}"/>
    <cellStyle name="SAPBEXundefined 3 2 2 2" xfId="23916" xr:uid="{E1C7D881-3040-4E1D-AF34-36DFC1BCAED6}"/>
    <cellStyle name="SAPBEXundefined 3 2 3" xfId="23917" xr:uid="{BCC2E354-FCFE-470C-961C-A14873208E93}"/>
    <cellStyle name="SAPBEXundefined 3 2 3 2" xfId="23918" xr:uid="{B8FA0F3C-ADB6-4522-B355-40156C92AEDC}"/>
    <cellStyle name="SAPBEXundefined 3 2 4" xfId="23919" xr:uid="{29388E6A-17DC-4ED9-B9CC-65E6840B808F}"/>
    <cellStyle name="SAPBEXundefined 3 2 4 2" xfId="23920" xr:uid="{8655596E-6B7F-4B8F-AAB9-84301584C09F}"/>
    <cellStyle name="SAPBEXundefined 3 2 5" xfId="23921" xr:uid="{9BD739DC-DE0A-4339-913E-9C21714E138F}"/>
    <cellStyle name="SAPBEXundefined 3 2 5 2" xfId="23922" xr:uid="{D991CADF-A88D-4234-8767-AA7BCC9F8FA0}"/>
    <cellStyle name="SAPBEXundefined 3 2 6" xfId="23923" xr:uid="{1022190F-2CB9-4909-9D34-13E1177CD624}"/>
    <cellStyle name="SAPBEXundefined 3 2 6 2" xfId="23924" xr:uid="{71391155-A41D-4EE1-9EC3-D4079AAFC76D}"/>
    <cellStyle name="SAPBEXundefined 3 2 7" xfId="23925" xr:uid="{AA08F7A1-C334-4191-99E5-15D8673BFC17}"/>
    <cellStyle name="SAPBEXundefined 3 2 7 2" xfId="23926" xr:uid="{4EF893B0-94B4-4305-A9F0-D44FF7348A2F}"/>
    <cellStyle name="SAPBEXundefined 3 2 8" xfId="23927" xr:uid="{BE753584-45A8-4D64-9B6B-7FF570E5D88D}"/>
    <cellStyle name="SAPBEXundefined 3 2 8 2" xfId="23928" xr:uid="{3F13CB3B-BF63-4541-8958-BD7896924444}"/>
    <cellStyle name="SAPBEXundefined 3 2 9" xfId="23929" xr:uid="{EA5DF2E4-8EA3-469A-836B-B059973178AB}"/>
    <cellStyle name="SAPBEXundefined 3 2 9 2" xfId="23930" xr:uid="{37DF83CA-E32C-4547-84DD-DA4E9EDEDD09}"/>
    <cellStyle name="SAPBEXundefined 3 3" xfId="23931" xr:uid="{6081609D-CFA8-4FDE-93B6-DEC3AE6904DA}"/>
    <cellStyle name="SAPBEXundefined 3 3 10" xfId="23932" xr:uid="{5EB877A0-9D94-4561-8FD9-D55877917838}"/>
    <cellStyle name="SAPBEXundefined 3 3 10 2" xfId="23933" xr:uid="{A5AF75C4-0EB7-4B51-B76A-4EC056BD762F}"/>
    <cellStyle name="SAPBEXundefined 3 3 11" xfId="23934" xr:uid="{07214EA5-FA8F-4ABD-A603-3BF6399A38BF}"/>
    <cellStyle name="SAPBEXundefined 3 3 11 2" xfId="23935" xr:uid="{E0D4C31E-0AF5-40BC-A773-653760373DBD}"/>
    <cellStyle name="SAPBEXundefined 3 3 12" xfId="23936" xr:uid="{CA45E6D1-8EE9-4E41-A103-DA9280952DE0}"/>
    <cellStyle name="SAPBEXundefined 3 3 12 2" xfId="23937" xr:uid="{E4804AA2-6C17-44F7-BF29-D485A1AF613A}"/>
    <cellStyle name="SAPBEXundefined 3 3 13" xfId="23938" xr:uid="{BC5C5C81-5210-4A65-AAD5-8F11C20305AF}"/>
    <cellStyle name="SAPBEXundefined 3 3 13 2" xfId="23939" xr:uid="{071F24F5-45C3-477D-ADEF-3469255ACAE7}"/>
    <cellStyle name="SAPBEXundefined 3 3 14" xfId="23940" xr:uid="{835A43B3-8702-478D-AB71-90D8AD3A3ED8}"/>
    <cellStyle name="SAPBEXundefined 3 3 14 2" xfId="23941" xr:uid="{131B4CC7-AD2B-4B20-864D-467BF484C7F0}"/>
    <cellStyle name="SAPBEXundefined 3 3 15" xfId="23942" xr:uid="{136ED908-F0F6-4B5D-982D-329202583E27}"/>
    <cellStyle name="SAPBEXundefined 3 3 15 2" xfId="23943" xr:uid="{7C47C8EF-39CA-4EFE-9517-1ACB72819622}"/>
    <cellStyle name="SAPBEXundefined 3 3 16" xfId="23944" xr:uid="{85580BF6-53F7-486C-9EFD-BCDF0AA5DCF0}"/>
    <cellStyle name="SAPBEXundefined 3 3 2" xfId="23945" xr:uid="{75DBAB58-7DEE-4120-B2B9-A66C3A83770F}"/>
    <cellStyle name="SAPBEXundefined 3 3 2 2" xfId="23946" xr:uid="{07AD5480-86FB-433E-9A72-2D69BA709BC1}"/>
    <cellStyle name="SAPBEXundefined 3 3 3" xfId="23947" xr:uid="{4F275891-1E3F-4C88-A037-46BE76B6C7E0}"/>
    <cellStyle name="SAPBEXundefined 3 3 3 2" xfId="23948" xr:uid="{01EB9B19-012F-4B86-81DC-94E8E5BBCE2C}"/>
    <cellStyle name="SAPBEXundefined 3 3 4" xfId="23949" xr:uid="{E48C93A5-B2C2-4BD0-A5D1-EE258D7D87F6}"/>
    <cellStyle name="SAPBEXundefined 3 3 4 2" xfId="23950" xr:uid="{84D1D725-B6DA-43D8-A1A5-3F3544327526}"/>
    <cellStyle name="SAPBEXundefined 3 3 5" xfId="23951" xr:uid="{7B203BB1-F090-4856-BAA1-5C07856882B5}"/>
    <cellStyle name="SAPBEXundefined 3 3 5 2" xfId="23952" xr:uid="{0113B91C-9127-4084-AC14-8B96136817A4}"/>
    <cellStyle name="SAPBEXundefined 3 3 6" xfId="23953" xr:uid="{613100DB-BD6C-43D9-BB3F-2FEDA00EDF0F}"/>
    <cellStyle name="SAPBEXundefined 3 3 6 2" xfId="23954" xr:uid="{5E1E050A-9633-4AEA-9E84-6477034E54E7}"/>
    <cellStyle name="SAPBEXundefined 3 3 7" xfId="23955" xr:uid="{D2D98B4F-2CA7-4AF1-8546-D71E8EA66066}"/>
    <cellStyle name="SAPBEXundefined 3 3 7 2" xfId="23956" xr:uid="{EDB02A1A-F8CF-4E16-8D84-C8C7D454D077}"/>
    <cellStyle name="SAPBEXundefined 3 3 8" xfId="23957" xr:uid="{3FAF5F2E-E888-4CCD-8490-29CEA26ED15B}"/>
    <cellStyle name="SAPBEXundefined 3 3 8 2" xfId="23958" xr:uid="{48D38578-4B47-44E4-870B-8C9EEF3069CF}"/>
    <cellStyle name="SAPBEXundefined 3 3 9" xfId="23959" xr:uid="{D2504B69-6DA5-408E-911A-07C4D68A5D1A}"/>
    <cellStyle name="SAPBEXundefined 3 3 9 2" xfId="23960" xr:uid="{BCBA4B2C-35CB-4CC7-B1B6-200EB9ABE886}"/>
    <cellStyle name="SAPBEXundefined 3 4" xfId="23961" xr:uid="{538885DE-C923-456F-A91D-FA8E2B4BD9AF}"/>
    <cellStyle name="SAPBEXundefined 3 4 2" xfId="23962" xr:uid="{1943C4C8-D53F-4D1E-B590-AB3A1C4AC3BA}"/>
    <cellStyle name="SAPBEXundefined 3 5" xfId="23963" xr:uid="{B97DE8CE-729C-4EDC-BCC0-07D8C8E6EB80}"/>
    <cellStyle name="SAPBEXundefined 3 5 2" xfId="23964" xr:uid="{12C78AC7-F494-4178-90B3-49CE656BE6C4}"/>
    <cellStyle name="SAPBEXundefined 3 6" xfId="23965" xr:uid="{E33FBCF3-CECC-41EF-BC7E-FC0FB258DEC8}"/>
    <cellStyle name="SAPBEXundefined 3 6 2" xfId="23966" xr:uid="{A48D2F20-3C19-4866-9EED-817485AD5EB3}"/>
    <cellStyle name="SAPBEXundefined 3 7" xfId="23967" xr:uid="{086261DE-47D2-42C4-884F-EBCDB8199B2F}"/>
    <cellStyle name="SAPBEXundefined 3 7 2" xfId="23968" xr:uid="{87439831-34EC-4DD5-938A-F95B3DBDE9A9}"/>
    <cellStyle name="SAPBEXundefined 3 8" xfId="23969" xr:uid="{AD02B1D5-6896-484B-BE12-CAEBD0B35D7B}"/>
    <cellStyle name="SAPBEXundefined 3 8 2" xfId="23970" xr:uid="{4A1A120C-3180-455E-9ADF-5E445380AE5B}"/>
    <cellStyle name="SAPBEXundefined 3 9" xfId="23971" xr:uid="{EA052337-16E5-468A-9A46-84536993D3AE}"/>
    <cellStyle name="SAPBEXundefined 3 9 2" xfId="23972" xr:uid="{7C91185A-20C3-48B7-8720-61A93F84D60F}"/>
    <cellStyle name="SAPBEXundefined 3_T1 ANSP" xfId="23883" xr:uid="{4642A48A-37DC-47AA-9946-A061804AAFB5}"/>
    <cellStyle name="SAPBEXundefined 4" xfId="23973" xr:uid="{FE977DB5-9F03-4E17-99D3-0445C7854382}"/>
    <cellStyle name="SAPBEXundefined 4 10" xfId="23974" xr:uid="{2BD550E7-5125-46AD-B679-0F5852E8D2EC}"/>
    <cellStyle name="SAPBEXundefined 4 10 2" xfId="23975" xr:uid="{51DD05B8-73F7-4B8E-AFC1-629DC12FE5E6}"/>
    <cellStyle name="SAPBEXundefined 4 11" xfId="23976" xr:uid="{B3733CFF-FF78-45FC-9061-149E63E49271}"/>
    <cellStyle name="SAPBEXundefined 4 11 2" xfId="23977" xr:uid="{7EAF308F-6B78-46DE-AA99-869FB4C99235}"/>
    <cellStyle name="SAPBEXundefined 4 12" xfId="23978" xr:uid="{8889B5C7-A3B7-4335-A7EF-764EB0B7823B}"/>
    <cellStyle name="SAPBEXundefined 4 12 2" xfId="23979" xr:uid="{529D9768-D487-4BCE-AAC8-40B97434827D}"/>
    <cellStyle name="SAPBEXundefined 4 13" xfId="23980" xr:uid="{8C879B4F-7B4E-40DB-99A9-C87C8DC00E08}"/>
    <cellStyle name="SAPBEXundefined 4 13 2" xfId="23981" xr:uid="{5FF55E17-D3CD-4B32-98D0-4F32A4C3C2D4}"/>
    <cellStyle name="SAPBEXundefined 4 14" xfId="23982" xr:uid="{B9921AD5-D9D2-41EF-AD13-A436E19C0793}"/>
    <cellStyle name="SAPBEXundefined 4 14 2" xfId="23983" xr:uid="{BECD821D-0EDB-45B7-AF86-996FF12B81FC}"/>
    <cellStyle name="SAPBEXundefined 4 15" xfId="23984" xr:uid="{E12AE64B-3177-4C45-B1C0-258B14914D70}"/>
    <cellStyle name="SAPBEXundefined 4 15 2" xfId="23985" xr:uid="{6CB9405B-C8E6-46E1-839F-2FAA4E533E4E}"/>
    <cellStyle name="SAPBEXundefined 4 16" xfId="23986" xr:uid="{2DDE6B69-D57F-4143-9AD4-064767EB8D8B}"/>
    <cellStyle name="SAPBEXundefined 4 16 2" xfId="23987" xr:uid="{8578B773-B73A-40C8-9B46-6320FC49A595}"/>
    <cellStyle name="SAPBEXundefined 4 17" xfId="23988" xr:uid="{D20526CF-C619-4F5B-B13A-5BA96E21AA88}"/>
    <cellStyle name="SAPBEXundefined 4 17 2" xfId="23989" xr:uid="{8E42E54C-9871-427F-BBDB-275ADD8B1229}"/>
    <cellStyle name="SAPBEXundefined 4 18" xfId="23990" xr:uid="{5DA9CD17-77CE-4035-B086-DBD5F2EE1153}"/>
    <cellStyle name="SAPBEXundefined 4 2" xfId="23991" xr:uid="{2EFC563C-EDF3-4D85-A8EC-EBBFFFFABF47}"/>
    <cellStyle name="SAPBEXundefined 4 2 10" xfId="23992" xr:uid="{9531B2F2-A80E-4110-BB03-BAC2D6A6EAF3}"/>
    <cellStyle name="SAPBEXundefined 4 2 10 2" xfId="23993" xr:uid="{55A9A3F5-FFE8-4510-BAD1-3A8799BED8F9}"/>
    <cellStyle name="SAPBEXundefined 4 2 11" xfId="23994" xr:uid="{6C4E4E72-948D-4697-BB6E-0F4CF7E4C536}"/>
    <cellStyle name="SAPBEXundefined 4 2 11 2" xfId="23995" xr:uid="{550C7147-F3C6-4A86-B89B-3F9CAB884680}"/>
    <cellStyle name="SAPBEXundefined 4 2 12" xfId="23996" xr:uid="{9268BB88-3244-4883-939E-4F13A8FB96C6}"/>
    <cellStyle name="SAPBEXundefined 4 2 12 2" xfId="23997" xr:uid="{CA7D8568-9C90-459F-BAA6-DBC9E3CC9D18}"/>
    <cellStyle name="SAPBEXundefined 4 2 13" xfId="23998" xr:uid="{E44AF1B9-21DD-4121-8D4B-4B0E29DBB971}"/>
    <cellStyle name="SAPBEXundefined 4 2 13 2" xfId="23999" xr:uid="{341CC477-D5C9-4320-9D30-CF8EDAECA16E}"/>
    <cellStyle name="SAPBEXundefined 4 2 14" xfId="24000" xr:uid="{0A34CBA3-7F91-425D-8776-85364A279984}"/>
    <cellStyle name="SAPBEXundefined 4 2 14 2" xfId="24001" xr:uid="{9236C917-A22E-497F-AD9D-38720ABEC839}"/>
    <cellStyle name="SAPBEXundefined 4 2 15" xfId="24002" xr:uid="{DD0B31C4-DF91-4209-8358-A1AE73F9EDA1}"/>
    <cellStyle name="SAPBEXundefined 4 2 15 2" xfId="24003" xr:uid="{CA400CC8-5B2D-4F0E-9587-1BE717B668D4}"/>
    <cellStyle name="SAPBEXundefined 4 2 16" xfId="24004" xr:uid="{7209DFE8-C4F2-41BB-8776-9D4ED3159D0E}"/>
    <cellStyle name="SAPBEXundefined 4 2 2" xfId="24005" xr:uid="{2AF38758-4149-43EC-B942-95C11C58D88A}"/>
    <cellStyle name="SAPBEXundefined 4 2 2 2" xfId="24006" xr:uid="{BD2A6F68-5EAA-4227-8215-2CB2297B8769}"/>
    <cellStyle name="SAPBEXundefined 4 2 3" xfId="24007" xr:uid="{F0599D45-F0DB-41BF-AC19-F4252CEEDB48}"/>
    <cellStyle name="SAPBEXundefined 4 2 3 2" xfId="24008" xr:uid="{71AA69BD-51C9-4A5D-9F9B-A69D019CCC6E}"/>
    <cellStyle name="SAPBEXundefined 4 2 4" xfId="24009" xr:uid="{99882043-655B-4333-91A1-C9E4AA1AE6D7}"/>
    <cellStyle name="SAPBEXundefined 4 2 4 2" xfId="24010" xr:uid="{54A24F41-D8A4-42F1-B7CA-E766807C1665}"/>
    <cellStyle name="SAPBEXundefined 4 2 5" xfId="24011" xr:uid="{E0FFB978-25E3-4467-AF58-223AADC93ECE}"/>
    <cellStyle name="SAPBEXundefined 4 2 5 2" xfId="24012" xr:uid="{3548BF37-710E-4B58-878C-7F342C42CAD3}"/>
    <cellStyle name="SAPBEXundefined 4 2 6" xfId="24013" xr:uid="{B34D6091-AA6E-4263-96C1-B345C92166E4}"/>
    <cellStyle name="SAPBEXundefined 4 2 6 2" xfId="24014" xr:uid="{E2C74905-4AD2-4DD6-8E97-CBC7BE197DF3}"/>
    <cellStyle name="SAPBEXundefined 4 2 7" xfId="24015" xr:uid="{0AA2F590-5F11-46ED-B422-49EAC7E7E3BB}"/>
    <cellStyle name="SAPBEXundefined 4 2 7 2" xfId="24016" xr:uid="{A07D60BD-7088-4B89-8340-4987311C3C8F}"/>
    <cellStyle name="SAPBEXundefined 4 2 8" xfId="24017" xr:uid="{15E3D46E-0F4D-4C03-89FA-806FCC89344D}"/>
    <cellStyle name="SAPBEXundefined 4 2 8 2" xfId="24018" xr:uid="{1ADE12EE-8377-45B2-BAA5-B45722118341}"/>
    <cellStyle name="SAPBEXundefined 4 2 9" xfId="24019" xr:uid="{E4E3EDE7-D671-47DF-9406-433B4CC4E063}"/>
    <cellStyle name="SAPBEXundefined 4 2 9 2" xfId="24020" xr:uid="{9A743BAD-E1C5-4D63-8389-6D596A583748}"/>
    <cellStyle name="SAPBEXundefined 4 3" xfId="24021" xr:uid="{AA4DABBD-A3DE-45F5-9EFA-E8CB54DE9BFD}"/>
    <cellStyle name="SAPBEXundefined 4 3 10" xfId="24022" xr:uid="{826F662F-96B1-4568-B7A6-DF3A71E00BBB}"/>
    <cellStyle name="SAPBEXundefined 4 3 10 2" xfId="24023" xr:uid="{858D2811-F1D0-435E-8C7A-53619E333AC4}"/>
    <cellStyle name="SAPBEXundefined 4 3 11" xfId="24024" xr:uid="{FDE018C4-586D-4AF3-A582-F6C7163941EA}"/>
    <cellStyle name="SAPBEXundefined 4 3 11 2" xfId="24025" xr:uid="{6E68029B-DCDD-4C21-A975-6948AE4BA03A}"/>
    <cellStyle name="SAPBEXundefined 4 3 12" xfId="24026" xr:uid="{BA6293B3-BE12-4F1A-859F-AD82DAE99A80}"/>
    <cellStyle name="SAPBEXundefined 4 3 12 2" xfId="24027" xr:uid="{2819E216-32E5-45A3-B25F-157B321F737E}"/>
    <cellStyle name="SAPBEXundefined 4 3 13" xfId="24028" xr:uid="{E66A15F7-DD7D-424C-A391-F56E1D3A2C1A}"/>
    <cellStyle name="SAPBEXundefined 4 3 13 2" xfId="24029" xr:uid="{8B083475-191D-4581-AC3C-E9DC605D6B37}"/>
    <cellStyle name="SAPBEXundefined 4 3 14" xfId="24030" xr:uid="{EBAF55EF-E0E7-4F67-9C28-E17B55E406CD}"/>
    <cellStyle name="SAPBEXundefined 4 3 14 2" xfId="24031" xr:uid="{FDAFF79E-E97C-4980-8210-DE362FB09633}"/>
    <cellStyle name="SAPBEXundefined 4 3 15" xfId="24032" xr:uid="{5249CFE1-E37F-456D-A9FA-A21795B616D6}"/>
    <cellStyle name="SAPBEXundefined 4 3 15 2" xfId="24033" xr:uid="{8E1B68D4-6056-41B1-ADC4-455FE352657E}"/>
    <cellStyle name="SAPBEXundefined 4 3 16" xfId="24034" xr:uid="{189366B4-4E11-45A3-B7E7-6FBA85DB30A0}"/>
    <cellStyle name="SAPBEXundefined 4 3 2" xfId="24035" xr:uid="{F9779C43-5307-4FEA-8B4D-D4B63B14C34B}"/>
    <cellStyle name="SAPBEXundefined 4 3 2 2" xfId="24036" xr:uid="{559D3F7C-661F-44E2-8EA8-F5A64B27ED56}"/>
    <cellStyle name="SAPBEXundefined 4 3 3" xfId="24037" xr:uid="{6C403669-2BCF-4238-BE06-D2967F2546CC}"/>
    <cellStyle name="SAPBEXundefined 4 3 3 2" xfId="24038" xr:uid="{C00728B6-3B7D-439A-9A37-A7D286602C7D}"/>
    <cellStyle name="SAPBEXundefined 4 3 4" xfId="24039" xr:uid="{1D42F500-1DB1-46D6-8C1D-71AA259D9396}"/>
    <cellStyle name="SAPBEXundefined 4 3 4 2" xfId="24040" xr:uid="{10612A36-FF4F-4AFF-8233-6F4EE2149530}"/>
    <cellStyle name="SAPBEXundefined 4 3 5" xfId="24041" xr:uid="{46B7A452-D98F-4B39-990F-61E8B0D50211}"/>
    <cellStyle name="SAPBEXundefined 4 3 5 2" xfId="24042" xr:uid="{5EE18BBF-1565-4ECB-A2DF-B7CBC91CED78}"/>
    <cellStyle name="SAPBEXundefined 4 3 6" xfId="24043" xr:uid="{86D22B9B-7853-4983-847D-61767F7A8413}"/>
    <cellStyle name="SAPBEXundefined 4 3 6 2" xfId="24044" xr:uid="{93DFBFC6-8EA7-44BC-A3E0-16EFCA69271F}"/>
    <cellStyle name="SAPBEXundefined 4 3 7" xfId="24045" xr:uid="{F3AEA268-D8DB-4F05-BC7E-55CEBD0937C4}"/>
    <cellStyle name="SAPBEXundefined 4 3 7 2" xfId="24046" xr:uid="{60358760-65B1-4670-BA4A-2E20ACDE29CE}"/>
    <cellStyle name="SAPBEXundefined 4 3 8" xfId="24047" xr:uid="{0B581E1A-41CC-4B20-96C6-1FC560E40C5A}"/>
    <cellStyle name="SAPBEXundefined 4 3 8 2" xfId="24048" xr:uid="{2A04D4C2-A99C-4968-A723-A7532366DC5C}"/>
    <cellStyle name="SAPBEXundefined 4 3 9" xfId="24049" xr:uid="{16CDF639-8B6B-4495-AC01-AFAA7D6BC350}"/>
    <cellStyle name="SAPBEXundefined 4 3 9 2" xfId="24050" xr:uid="{E81A5E39-2DF1-418B-BF25-2EA22309923F}"/>
    <cellStyle name="SAPBEXundefined 4 4" xfId="24051" xr:uid="{8137EB05-F799-4D97-BDD6-D35DB65F68F8}"/>
    <cellStyle name="SAPBEXundefined 4 4 2" xfId="24052" xr:uid="{4D61ABF5-42CA-42FC-914A-36B21D4825D8}"/>
    <cellStyle name="SAPBEXundefined 4 5" xfId="24053" xr:uid="{8684F711-569B-44A3-ACF3-A5F8F2E2F176}"/>
    <cellStyle name="SAPBEXundefined 4 5 2" xfId="24054" xr:uid="{ABD7F5A1-DE95-4FAC-B555-2AFAD15A0096}"/>
    <cellStyle name="SAPBEXundefined 4 6" xfId="24055" xr:uid="{F5B74F95-DD77-4404-94AD-AA186BEEADF8}"/>
    <cellStyle name="SAPBEXundefined 4 6 2" xfId="24056" xr:uid="{C6987A0F-E02D-42B2-BC6F-1EF3DFD61EA1}"/>
    <cellStyle name="SAPBEXundefined 4 7" xfId="24057" xr:uid="{11DBC329-FF19-4E49-8485-CC4F7A40AC87}"/>
    <cellStyle name="SAPBEXundefined 4 7 2" xfId="24058" xr:uid="{E9E1A211-429F-44A6-9E59-0913D88C3228}"/>
    <cellStyle name="SAPBEXundefined 4 8" xfId="24059" xr:uid="{D7CEF4CE-85E0-4094-8530-9ABB540AD641}"/>
    <cellStyle name="SAPBEXundefined 4 8 2" xfId="24060" xr:uid="{C9F36540-C69E-4479-86BA-08FF6AAB50C3}"/>
    <cellStyle name="SAPBEXundefined 4 9" xfId="24061" xr:uid="{17F93C30-8DDF-4A57-A95B-27F9D12E73CD}"/>
    <cellStyle name="SAPBEXundefined 4 9 2" xfId="24062" xr:uid="{EFE23C81-DE9C-4CC9-87E1-4D3E09108407}"/>
    <cellStyle name="SAPBEXundefined 5" xfId="24063" xr:uid="{3A291DAE-DF1F-4233-BF56-D1112760B124}"/>
    <cellStyle name="SAPBEXundefined 5 10" xfId="24064" xr:uid="{B32B538F-CF18-4FA8-8BC4-11385BE1669C}"/>
    <cellStyle name="SAPBEXundefined 5 10 2" xfId="24065" xr:uid="{82E48ACE-3C30-472E-9E2C-5C7AEA9B93B7}"/>
    <cellStyle name="SAPBEXundefined 5 11" xfId="24066" xr:uid="{C5A0A084-0528-40EF-A636-EF61C14888CB}"/>
    <cellStyle name="SAPBEXundefined 5 11 2" xfId="24067" xr:uid="{B7589B3A-75D9-47E3-B582-797116936EDF}"/>
    <cellStyle name="SAPBEXundefined 5 12" xfId="24068" xr:uid="{1AF73413-5CAF-402B-ADB3-09F4E05DA468}"/>
    <cellStyle name="SAPBEXundefined 5 12 2" xfId="24069" xr:uid="{7ACF0E2B-8C61-4FD5-9F54-01BF6F3B858E}"/>
    <cellStyle name="SAPBEXundefined 5 13" xfId="24070" xr:uid="{807F6AF6-D51C-4F57-8D61-C3886AD650DF}"/>
    <cellStyle name="SAPBEXundefined 5 13 2" xfId="24071" xr:uid="{0EA72E43-2C94-4A96-A9CB-27AD4FA27426}"/>
    <cellStyle name="SAPBEXundefined 5 14" xfId="24072" xr:uid="{32291670-AC5E-4C07-B21C-74FB4E6D3534}"/>
    <cellStyle name="SAPBEXundefined 5 14 2" xfId="24073" xr:uid="{A0626D17-F4A3-42E3-BC1A-AEB14D15D441}"/>
    <cellStyle name="SAPBEXundefined 5 15" xfId="24074" xr:uid="{F5FA10D4-3FDE-4EBC-9878-6BA15A94C232}"/>
    <cellStyle name="SAPBEXundefined 5 15 2" xfId="24075" xr:uid="{D1D3736F-ADCA-4AAF-8980-394E28FDF35E}"/>
    <cellStyle name="SAPBEXundefined 5 16" xfId="24076" xr:uid="{6E501FBF-8042-49F7-AAD1-6B3AAEBA90EC}"/>
    <cellStyle name="SAPBEXundefined 5 2" xfId="24077" xr:uid="{71063066-9008-4E55-8130-074BD1322FAD}"/>
    <cellStyle name="SAPBEXundefined 5 2 2" xfId="24078" xr:uid="{9778D0E9-93A9-475A-9930-6CE92ADA2A69}"/>
    <cellStyle name="SAPBEXundefined 5 3" xfId="24079" xr:uid="{709CC63A-0791-45CB-8A04-3C0E63336D9D}"/>
    <cellStyle name="SAPBEXundefined 5 3 2" xfId="24080" xr:uid="{2A82047F-E090-4A69-97B5-2B9F13307736}"/>
    <cellStyle name="SAPBEXundefined 5 4" xfId="24081" xr:uid="{AE1C87B7-9289-4D32-9EF0-CABE74470820}"/>
    <cellStyle name="SAPBEXundefined 5 4 2" xfId="24082" xr:uid="{7D000500-F723-4354-B09C-27FACC97ACF8}"/>
    <cellStyle name="SAPBEXundefined 5 5" xfId="24083" xr:uid="{BAFB1EAE-4593-4828-B0CC-97D40EE3677A}"/>
    <cellStyle name="SAPBEXundefined 5 5 2" xfId="24084" xr:uid="{1BF1D20B-B166-4915-9618-32E02EC52D96}"/>
    <cellStyle name="SAPBEXundefined 5 6" xfId="24085" xr:uid="{C7FD37FA-852B-425C-BD9F-D49DE33A483F}"/>
    <cellStyle name="SAPBEXundefined 5 6 2" xfId="24086" xr:uid="{71E4341C-D8F0-48FF-94AF-E2B5EDCAE20F}"/>
    <cellStyle name="SAPBEXundefined 5 7" xfId="24087" xr:uid="{B6941D6C-A42A-485C-A94C-8279B3E8AA81}"/>
    <cellStyle name="SAPBEXundefined 5 7 2" xfId="24088" xr:uid="{BE27ECB8-3128-4D70-9A1F-540EF0FE9CD0}"/>
    <cellStyle name="SAPBEXundefined 5 8" xfId="24089" xr:uid="{946AF320-38FC-43A5-82B8-9CB8DA6A8ACF}"/>
    <cellStyle name="SAPBEXundefined 5 8 2" xfId="24090" xr:uid="{9A343805-0B29-41D1-A671-52D5434D10D2}"/>
    <cellStyle name="SAPBEXundefined 5 9" xfId="24091" xr:uid="{F2EDF897-099C-4A67-8AAB-9F23671BACED}"/>
    <cellStyle name="SAPBEXundefined 5 9 2" xfId="24092" xr:uid="{F98769C7-5EB6-4284-B97B-54EDA1514B06}"/>
    <cellStyle name="SAPBEXundefined 6" xfId="24093" xr:uid="{83DD88E7-BA74-4085-9BDB-E43A34332E83}"/>
    <cellStyle name="SAPBEXundefined 6 2" xfId="24094" xr:uid="{F2A7C704-28AA-47E3-8550-06AF75F3C75D}"/>
    <cellStyle name="SAPBEXundefined 7" xfId="24095" xr:uid="{78789C30-A286-421E-8400-48F426E12AF0}"/>
    <cellStyle name="SAPBEXundefined 7 2" xfId="24096" xr:uid="{29EDDEDF-320C-4155-9502-B419A6868421}"/>
    <cellStyle name="SAPBEXundefined 8" xfId="24097" xr:uid="{984B4520-CE07-412D-BA50-473C3D0A22F4}"/>
    <cellStyle name="SAPBEXundefined 8 2" xfId="24098" xr:uid="{26C5666B-326A-40C0-96D4-0D64EABC2D95}"/>
    <cellStyle name="SAPBEXundefined 9" xfId="24099" xr:uid="{45993825-3362-45FE-92CF-2BEABE63F23B}"/>
    <cellStyle name="SAPBEXundefined 9 2" xfId="24100" xr:uid="{3AB4F2B0-2246-43D9-85C0-17706EFFF65F}"/>
    <cellStyle name="SAPBEXundefined_T1 ANSP" xfId="23571" xr:uid="{D04CCFAB-E44D-4C60-B87A-8EC73D27293C}"/>
    <cellStyle name="SAPBorder" xfId="24101" xr:uid="{34649428-03AB-4514-A41B-2C0EBBD1054C}"/>
    <cellStyle name="SAPDataCell" xfId="24102" xr:uid="{B460D098-ECFE-4F5B-BCCE-7005DB29B0BA}"/>
    <cellStyle name="SAPDataTotalCell" xfId="24103" xr:uid="{ECE3583F-D39B-401B-91B9-242BBE0B7DDE}"/>
    <cellStyle name="SAPDimensionCell" xfId="24104" xr:uid="{65D023BA-534F-45D5-8CA1-EA8675CFF08F}"/>
    <cellStyle name="SAPEditableDataCell" xfId="24105" xr:uid="{9B07463F-5D91-42E3-A90E-211BF27AA4F1}"/>
    <cellStyle name="SAPEditableDataTotalCell" xfId="24106" xr:uid="{4BF64680-6188-446D-B397-6449E2911B2A}"/>
    <cellStyle name="SAPEmphasized" xfId="24107" xr:uid="{4EE2EE1F-C957-46F1-967C-22B4F1461EBE}"/>
    <cellStyle name="SAPEmphasizedEditableDataCell" xfId="24108" xr:uid="{31655CAF-45B8-4B55-B068-567AB9E929C6}"/>
    <cellStyle name="SAPEmphasizedEditableDataTotalCell" xfId="24109" xr:uid="{1597575B-4AA2-477A-AD63-D24A6E472B85}"/>
    <cellStyle name="SAPEmphasizedLockedDataCell" xfId="24110" xr:uid="{7F4F79AD-6ECA-457A-A609-3A5C5CC6B9BC}"/>
    <cellStyle name="SAPEmphasizedLockedDataTotalCell" xfId="24111" xr:uid="{70947332-84D9-4E25-B238-629CB3ABA85A}"/>
    <cellStyle name="SAPEmphasizedReadonlyDataCell" xfId="24112" xr:uid="{0CDC5D3F-EEA9-4E0F-9454-6F141C5BFF5C}"/>
    <cellStyle name="SAPEmphasizedReadonlyDataTotalCell" xfId="24113" xr:uid="{F58F58AB-FE7D-4486-A4AA-8F59A856BC28}"/>
    <cellStyle name="SAPEmphasizedTotal" xfId="24114" xr:uid="{1D0F8C7F-1269-42AD-B268-3B7BD993BA0E}"/>
    <cellStyle name="SAPError" xfId="24115" xr:uid="{CD09B35C-226B-4AF4-84E8-DE7CC8C5D1EA}"/>
    <cellStyle name="SAPExceptionLevel1" xfId="24116" xr:uid="{77B42CE2-926B-4C25-B3FC-27857F4ADD56}"/>
    <cellStyle name="SAPExceptionLevel2" xfId="24117" xr:uid="{3649760C-5719-4129-A2E7-EBE4DD95FCEF}"/>
    <cellStyle name="SAPExceptionLevel3" xfId="24118" xr:uid="{CF865145-9A28-4D38-A304-CA5ACAAB38D6}"/>
    <cellStyle name="SAPExceptionLevel4" xfId="24119" xr:uid="{D61D2DE7-9733-47A0-BEEE-5BCA3F5E58B9}"/>
    <cellStyle name="SAPExceptionLevel5" xfId="24120" xr:uid="{78B9A347-3956-4498-8305-87363AC7F6CA}"/>
    <cellStyle name="SAPExceptionLevel6" xfId="24121" xr:uid="{FF55C57D-9594-4CEB-A61F-6DF12D4E7233}"/>
    <cellStyle name="SAPExceptionLevel7" xfId="24122" xr:uid="{3DC5E3A5-4A17-4465-9B16-E4D9DCA6B047}"/>
    <cellStyle name="SAPExceptionLevel8" xfId="24123" xr:uid="{F136A8D5-CABA-4441-87C3-8C4ED0D1B1DF}"/>
    <cellStyle name="SAPExceptionLevel9" xfId="24124" xr:uid="{D815643C-E151-492A-870F-A846107193B7}"/>
    <cellStyle name="SAPHierarchyCell0" xfId="24125" xr:uid="{761ED15A-469F-4803-BF3A-13C57B131C1F}"/>
    <cellStyle name="SAPHierarchyCell1" xfId="24126" xr:uid="{7C088917-E1C3-4361-9233-0CBBAE94A3DC}"/>
    <cellStyle name="SAPHierarchyCell2" xfId="24127" xr:uid="{9D0CE8F9-C700-4510-AB4A-3C980F6E5E2E}"/>
    <cellStyle name="SAPHierarchyCell3" xfId="24128" xr:uid="{D40F9F4A-4E9D-40E8-A5DF-323E662AF046}"/>
    <cellStyle name="SAPHierarchyCell4" xfId="24129" xr:uid="{05C1BAC0-542A-452D-9991-506450C1469F}"/>
    <cellStyle name="SAPKey" xfId="24130" xr:uid="{86EF4937-DAAE-43CE-92E3-F0685D8BF24C}"/>
    <cellStyle name="SAPLocked" xfId="24131" xr:uid="{55695001-6C69-47DD-A732-56C50A06B06F}"/>
    <cellStyle name="SAPLocked 10" xfId="24132" xr:uid="{5406011C-7A0E-46FD-8E84-C0ED2261F4AD}"/>
    <cellStyle name="SAPLocked 10 2" xfId="24133" xr:uid="{4AA75092-85D6-48C5-868C-223D45D30201}"/>
    <cellStyle name="SAPLocked 11" xfId="24134" xr:uid="{E04D5F09-9F34-4EAC-A455-7E58A3256E44}"/>
    <cellStyle name="SAPLocked 11 2" xfId="24135" xr:uid="{6165464B-A60F-4784-B664-DFEC9C7854C0}"/>
    <cellStyle name="SAPLocked 12" xfId="24136" xr:uid="{BD9CB7A4-6EC2-4E56-838F-E651B1EE9D1B}"/>
    <cellStyle name="SAPLocked 12 2" xfId="24137" xr:uid="{1A13D0CA-1772-4758-B304-22423BAFC49A}"/>
    <cellStyle name="SAPLocked 13" xfId="24138" xr:uid="{2D070F23-B59D-4482-98A2-BCB57778EB59}"/>
    <cellStyle name="SAPLocked 13 2" xfId="24139" xr:uid="{AE00E98D-0350-412B-B199-301D959E2F98}"/>
    <cellStyle name="SAPLocked 14" xfId="24140" xr:uid="{F1C6CA6B-EA87-45C5-AD3B-B64160CCEAFD}"/>
    <cellStyle name="SAPLocked 14 2" xfId="24141" xr:uid="{B55CDED4-7A9B-4F33-AC77-1CF66A3A9008}"/>
    <cellStyle name="SAPLocked 15" xfId="24142" xr:uid="{EC5ABD5F-52B7-45CF-A795-A3D9E05EC4CB}"/>
    <cellStyle name="SAPLocked 15 2" xfId="24143" xr:uid="{ADA409E5-9816-4384-A08C-3676750CC1F1}"/>
    <cellStyle name="SAPLocked 16" xfId="24144" xr:uid="{40383723-6B53-4594-AA0F-F3D25DF07A36}"/>
    <cellStyle name="SAPLocked 2" xfId="24145" xr:uid="{023B43BC-75B4-4A89-B387-E8F8B9289610}"/>
    <cellStyle name="SAPLocked 2 2" xfId="24146" xr:uid="{57D649D9-23BB-4A7A-8639-800E384C4549}"/>
    <cellStyle name="SAPLocked 3" xfId="24147" xr:uid="{DDD5B965-8B83-4F1F-B8FC-163AD7114763}"/>
    <cellStyle name="SAPLocked 3 2" xfId="24148" xr:uid="{C7C0FBF5-159F-4765-8C28-5D2292A69E11}"/>
    <cellStyle name="SAPLocked 4" xfId="24149" xr:uid="{21569853-D336-47CD-B64A-28D5E1DC19FF}"/>
    <cellStyle name="SAPLocked 4 2" xfId="24150" xr:uid="{4115B066-26DC-4C35-92E8-667CDA5E257A}"/>
    <cellStyle name="SAPLocked 5" xfId="24151" xr:uid="{62465436-3DA8-48CB-AE1A-97CFAFF13266}"/>
    <cellStyle name="SAPLocked 5 2" xfId="24152" xr:uid="{B80B89E8-9E85-45AE-8846-C6093B90C3A1}"/>
    <cellStyle name="SAPLocked 6" xfId="24153" xr:uid="{31FE320F-7B9F-4701-960D-4CC47F817C09}"/>
    <cellStyle name="SAPLocked 6 2" xfId="24154" xr:uid="{EB4B2CA8-9912-48C0-9516-D586860B8254}"/>
    <cellStyle name="SAPLocked 7" xfId="24155" xr:uid="{47664DC7-0444-459D-8D1E-59FD7F5E12F2}"/>
    <cellStyle name="SAPLocked 7 2" xfId="24156" xr:uid="{C6504B55-D850-487B-8F8C-E6F000549317}"/>
    <cellStyle name="SAPLocked 8" xfId="24157" xr:uid="{10A1080B-E2E6-4B7B-8A33-B96E3DBFE78D}"/>
    <cellStyle name="SAPLocked 8 2" xfId="24158" xr:uid="{E94A7BEA-6B76-45A3-A0F6-26C0D88CC465}"/>
    <cellStyle name="SAPLocked 9" xfId="24159" xr:uid="{672C7ECE-0013-41C4-A412-2FA016F52E76}"/>
    <cellStyle name="SAPLocked 9 2" xfId="24160" xr:uid="{BF237C8B-BBA4-4328-990F-13EF6201C90E}"/>
    <cellStyle name="SAPLockedDataCell" xfId="24161" xr:uid="{42C46B89-CD56-4653-8A41-C6BD3E36E9A2}"/>
    <cellStyle name="SAPLockedDataTotalCell" xfId="24162" xr:uid="{AA138497-5E57-442C-B0D3-69B12C5090DD}"/>
    <cellStyle name="SAPMemberCell" xfId="24163" xr:uid="{864ACA34-B904-452A-AA28-DDE2BC2D24F2}"/>
    <cellStyle name="SAPMemberTotalCell" xfId="24164" xr:uid="{C8CDB329-E8C4-4209-80F9-4D68B7DD46A7}"/>
    <cellStyle name="SAPOutput" xfId="24165" xr:uid="{2D4E8943-2245-4217-A675-A4E094EE8929}"/>
    <cellStyle name="SAPReadonlyDataCell" xfId="24166" xr:uid="{11082186-21EF-49D4-BA09-49925B3344E3}"/>
    <cellStyle name="SAPReadonlyDataTotalCell" xfId="24167" xr:uid="{D1DF2C07-19BE-45BF-8D55-E4F614DAC7E4}"/>
    <cellStyle name="SAPSpace" xfId="24168" xr:uid="{030C476D-041F-47DF-9546-6CE7B4C49D3F}"/>
    <cellStyle name="SAPText" xfId="24169" xr:uid="{44BF9F35-78E6-4949-95CA-CA9F3609749B}"/>
    <cellStyle name="SAPUnLocked" xfId="24170" xr:uid="{FD76291A-4161-4BA7-A6EC-96E415E37303}"/>
    <cellStyle name="SAPUnLocked 10" xfId="24171" xr:uid="{0098EFEC-78C2-407B-9195-F309D986EC22}"/>
    <cellStyle name="SAPUnLocked 10 2" xfId="24172" xr:uid="{104AB6B6-8DC6-4C1F-8E07-90286E36D9A3}"/>
    <cellStyle name="SAPUnLocked 11" xfId="24173" xr:uid="{13F5C105-7175-4D91-9FC1-144857D2D9A4}"/>
    <cellStyle name="SAPUnLocked 11 2" xfId="24174" xr:uid="{C8195434-341C-4218-9EE0-876C11C49A4E}"/>
    <cellStyle name="SAPUnLocked 12" xfId="24175" xr:uid="{433564EA-7F12-43B7-AA30-D27BF1521FEB}"/>
    <cellStyle name="SAPUnLocked 12 2" xfId="24176" xr:uid="{26E20635-D3F7-4949-9A1A-87C865AEC28C}"/>
    <cellStyle name="SAPUnLocked 13" xfId="24177" xr:uid="{AFC014EE-2D63-4CC7-941E-4E735D76F6FF}"/>
    <cellStyle name="SAPUnLocked 13 2" xfId="24178" xr:uid="{2694B883-276D-4D67-BD6F-E3D870CAB626}"/>
    <cellStyle name="SAPUnLocked 14" xfId="24179" xr:uid="{1F1945D7-D7FD-4227-A525-B60B31B90B27}"/>
    <cellStyle name="SAPUnLocked 14 2" xfId="24180" xr:uid="{8E057FEF-7B5A-4614-9379-C215BD233F7F}"/>
    <cellStyle name="SAPUnLocked 15" xfId="24181" xr:uid="{2B42E401-995D-4BA9-9853-731B3F52EA48}"/>
    <cellStyle name="SAPUnLocked 15 2" xfId="24182" xr:uid="{F726EB47-9B4B-4691-8C53-11E7E2440942}"/>
    <cellStyle name="SAPUnLocked 2" xfId="24183" xr:uid="{35B67422-1CD2-48C9-A91B-BE7DF9DFA808}"/>
    <cellStyle name="SAPUnLocked 2 2" xfId="24184" xr:uid="{8ADEF53E-79A4-4F48-B45F-3E5078B12A58}"/>
    <cellStyle name="SAPUnLocked 3" xfId="24185" xr:uid="{7E0BA733-7DDD-4948-B5E9-09044EAAE163}"/>
    <cellStyle name="SAPUnLocked 3 2" xfId="24186" xr:uid="{74038BDF-DB92-4362-88E4-73E22FC1571D}"/>
    <cellStyle name="SAPUnLocked 4" xfId="24187" xr:uid="{A5532E81-6B66-44EB-A740-A51406DD5CA3}"/>
    <cellStyle name="SAPUnLocked 4 2" xfId="24188" xr:uid="{7F500756-3A6D-4F64-AE20-A249E9E8207D}"/>
    <cellStyle name="SAPUnLocked 5" xfId="24189" xr:uid="{45E248E0-A5D4-44DB-B970-5BCB758767DA}"/>
    <cellStyle name="SAPUnLocked 5 2" xfId="24190" xr:uid="{E2899076-98BA-488F-AD82-E0019C364F23}"/>
    <cellStyle name="SAPUnLocked 6" xfId="24191" xr:uid="{74D99D18-9C6B-4B4E-B3E2-8787B27D1F02}"/>
    <cellStyle name="SAPUnLocked 6 2" xfId="24192" xr:uid="{EDB3E6E2-FFB8-4013-A584-A1562E2F946C}"/>
    <cellStyle name="SAPUnLocked 7" xfId="24193" xr:uid="{751D9FFB-E856-410E-B795-88558FD96B7C}"/>
    <cellStyle name="SAPUnLocked 7 2" xfId="24194" xr:uid="{88030352-90BC-4ABB-BA98-0CBACC417AF8}"/>
    <cellStyle name="SAPUnLocked 8" xfId="24195" xr:uid="{46D20C18-1C99-4279-A834-1164318B3FAE}"/>
    <cellStyle name="SAPUnLocked 8 2" xfId="24196" xr:uid="{A8652816-3768-4225-8E56-99F246EC5191}"/>
    <cellStyle name="SAPUnLocked 9" xfId="24197" xr:uid="{5241711E-8990-4EAD-BB7C-D324120012B6}"/>
    <cellStyle name="SAPUnLocked 9 2" xfId="24198" xr:uid="{07E5ECBE-485C-42DA-B9B3-80DA0D96EB5D}"/>
    <cellStyle name="Satisfaisant" xfId="764" xr:uid="{00000000-0005-0000-0000-0000BF050000}"/>
    <cellStyle name="Satisfaisant 2" xfId="1255" xr:uid="{00000000-0005-0000-0000-0000C0050000}"/>
    <cellStyle name="Satisfaisant_T1 ANSP" xfId="24199" xr:uid="{70367A6C-E883-41C0-9BDC-60DEB9F4038B}"/>
    <cellStyle name="Schlecht" xfId="765" xr:uid="{00000000-0005-0000-0000-0000C1050000}"/>
    <cellStyle name="Section" xfId="24200" xr:uid="{7CBC03B3-816E-42E0-8B80-B2CEBAD1B4C5}"/>
    <cellStyle name="Section Split" xfId="24201" xr:uid="{0457BFBF-41CE-4C59-BCF7-62E5BBD688A9}"/>
    <cellStyle name="Section_End" xfId="766" xr:uid="{00000000-0005-0000-0000-0000C2050000}"/>
    <cellStyle name="Selgitav tekst" xfId="767" xr:uid="{00000000-0005-0000-0000-0000C3050000}"/>
    <cellStyle name="Selgitav tekst 2" xfId="1256" xr:uid="{00000000-0005-0000-0000-0000C4050000}"/>
    <cellStyle name="Selgitav tekst 3" xfId="1257" xr:uid="{00000000-0005-0000-0000-0000C5050000}"/>
    <cellStyle name="Selgitav tekst_T1 ANSP" xfId="24202" xr:uid="{7E8C41CB-9CBF-449B-8C88-052408D75B73}"/>
    <cellStyle name="Selittävä teksti" xfId="768" xr:uid="{00000000-0005-0000-0000-0000C6050000}"/>
    <cellStyle name="semiformat" xfId="24203" xr:uid="{2915BF12-4817-4FEB-A870-1D6A2EEA35C2}"/>
    <cellStyle name="Semleges 2" xfId="1258" xr:uid="{00000000-0005-0000-0000-0000C7050000}"/>
    <cellStyle name="Shaded" xfId="24204" xr:uid="{12EA5488-A961-4104-86C5-730F468BF709}"/>
    <cellStyle name="Shaded 2" xfId="24205" xr:uid="{48A72661-8919-4893-BB7A-994F3C0F48FB}"/>
    <cellStyle name="Sheet Done" xfId="769" xr:uid="{00000000-0005-0000-0000-0000C8050000}"/>
    <cellStyle name="Sheet Header" xfId="24206" xr:uid="{970C5F5B-DB76-4D12-B60E-6FE80E0CD410}"/>
    <cellStyle name="Sheet Heading" xfId="24207" xr:uid="{24409363-0716-48BF-AE04-F074CE582A33}"/>
    <cellStyle name="Sheet Sub Heading" xfId="24208" xr:uid="{A037C9BD-E73D-48D5-B161-BC1149E4F923}"/>
    <cellStyle name="Sheet Title" xfId="24209" xr:uid="{0EF2DF79-814E-4A3D-A41C-BC60776B00F4}"/>
    <cellStyle name="Sisestus" xfId="770" xr:uid="{00000000-0005-0000-0000-0000C9050000}"/>
    <cellStyle name="Sisestus 2" xfId="1259" xr:uid="{00000000-0005-0000-0000-0000CA050000}"/>
    <cellStyle name="Sisestus 2 2" xfId="1577" xr:uid="{00000000-0005-0000-0000-0000CB050000}"/>
    <cellStyle name="Sisestus 2_T1 ANSP" xfId="24211" xr:uid="{72CF9F38-AA54-4163-93E6-4861A60FED97}"/>
    <cellStyle name="Sisestus 3" xfId="1260" xr:uid="{00000000-0005-0000-0000-0000CC050000}"/>
    <cellStyle name="Sisestus_T1 ANSP" xfId="24210" xr:uid="{03BD373F-4738-4FC3-A8BB-684B9870A3D8}"/>
    <cellStyle name="Skaičiavimas" xfId="771" xr:uid="{00000000-0005-0000-0000-0000CD050000}"/>
    <cellStyle name="Skaičiavimas 2" xfId="1578" xr:uid="{00000000-0005-0000-0000-0000CE050000}"/>
    <cellStyle name="Skaičiavimas 3" xfId="1535" xr:uid="{00000000-0005-0000-0000-0000CF050000}"/>
    <cellStyle name="Skaičiavimas_T1 ANSP" xfId="24212" xr:uid="{D847B6AD-0B78-4BB4-A7A1-CAE3C9144B71}"/>
    <cellStyle name="Small" xfId="772" xr:uid="{00000000-0005-0000-0000-0000D0050000}"/>
    <cellStyle name="Sortie" xfId="773" xr:uid="{00000000-0005-0000-0000-0000D1050000}"/>
    <cellStyle name="Sortie 10" xfId="24214" xr:uid="{D81E420B-AAED-4815-AC01-22E8BE11CFF5}"/>
    <cellStyle name="Sortie 10 2" xfId="24215" xr:uid="{3AC15758-2419-4A0E-8116-A6F654FA5506}"/>
    <cellStyle name="Sortie 11" xfId="24216" xr:uid="{804F517A-6128-4D29-AFE5-604035216A70}"/>
    <cellStyle name="Sortie 11 2" xfId="24217" xr:uid="{DC5A5BA1-019D-4B58-9764-559A4941EE54}"/>
    <cellStyle name="Sortie 12" xfId="24218" xr:uid="{A1E03E73-F114-41F9-9522-64FD6BF031A8}"/>
    <cellStyle name="Sortie 12 2" xfId="24219" xr:uid="{275471CF-68D4-47AB-AA6F-CD91C8AACE25}"/>
    <cellStyle name="Sortie 13" xfId="24220" xr:uid="{D1EEAB81-BAB9-435B-9D86-DBEF68992D5C}"/>
    <cellStyle name="Sortie 13 2" xfId="24221" xr:uid="{710EB786-9AB3-492B-9962-60AF3CF787A3}"/>
    <cellStyle name="Sortie 14" xfId="24222" xr:uid="{F543D4CF-5A67-4912-9216-7E7C76885D9E}"/>
    <cellStyle name="Sortie 14 2" xfId="24223" xr:uid="{6694C550-0FF9-47A7-B5DC-A2F972BC2EEA}"/>
    <cellStyle name="Sortie 15" xfId="24224" xr:uid="{76644B63-8FE2-4A68-B0BD-26CA0F177282}"/>
    <cellStyle name="Sortie 15 2" xfId="24225" xr:uid="{D0EAA1F8-2007-43FE-8D48-179453985C5B}"/>
    <cellStyle name="Sortie 16" xfId="24226" xr:uid="{517047CE-AA19-44AA-947E-CF171445A85D}"/>
    <cellStyle name="Sortie 2" xfId="1261" xr:uid="{00000000-0005-0000-0000-0000D2050000}"/>
    <cellStyle name="Sortie 2 2" xfId="24228" xr:uid="{8261A30F-7455-40E9-8D38-C9E361A84977}"/>
    <cellStyle name="Sortie 2 3" xfId="24229" xr:uid="{B19EA968-F73B-4D5A-A795-AE2F45EC9B94}"/>
    <cellStyle name="Sortie 2_T1 ANSP" xfId="24227" xr:uid="{D773B742-A53D-4617-9D38-45114248ACD6}"/>
    <cellStyle name="Sortie 3" xfId="1536" xr:uid="{00000000-0005-0000-0000-0000D3050000}"/>
    <cellStyle name="Sortie 3 2" xfId="24231" xr:uid="{826F0FF2-1EED-469E-80EF-DBB4B757A10D}"/>
    <cellStyle name="Sortie 3_T1 ANSP" xfId="24230" xr:uid="{98A52987-F51A-4D95-BC24-D081D1EAF272}"/>
    <cellStyle name="Sortie 4" xfId="24232" xr:uid="{4EEDF7E5-C776-4261-BF39-EC2ECBA6D2F8}"/>
    <cellStyle name="Sortie 4 2" xfId="24233" xr:uid="{2EE2FB04-EFFC-4EB0-B32D-E016812A8FF5}"/>
    <cellStyle name="Sortie 5" xfId="24234" xr:uid="{E8858E20-6538-4424-B811-13020147B36F}"/>
    <cellStyle name="Sortie 5 2" xfId="24235" xr:uid="{3D26ADB4-4337-4C11-BBF4-1845F44C3A21}"/>
    <cellStyle name="Sortie 6" xfId="24236" xr:uid="{CFB12799-D3A7-4D90-BC9E-E51241490547}"/>
    <cellStyle name="Sortie 6 2" xfId="24237" xr:uid="{C6BA7006-0359-4E30-921F-1BE34F6F7904}"/>
    <cellStyle name="Sortie 7" xfId="24238" xr:uid="{FC6A03F5-E154-4731-AF77-03A13C7DE65D}"/>
    <cellStyle name="Sortie 7 2" xfId="24239" xr:uid="{89BF4CB6-6905-40D9-9F79-D263BCCD6D12}"/>
    <cellStyle name="Sortie 8" xfId="24240" xr:uid="{499AD0B7-09CF-441B-9A79-C39D2E49E3ED}"/>
    <cellStyle name="Sortie 8 2" xfId="24241" xr:uid="{D9D50653-8B11-4A8C-88B2-1104A028B32D}"/>
    <cellStyle name="Sortie 9" xfId="24242" xr:uid="{F4A6EF0F-7AC4-4A4D-BEA4-6D28B911ABF0}"/>
    <cellStyle name="Sortie 9 2" xfId="24243" xr:uid="{2426B2A0-1B06-4708-896D-B2F276380344}"/>
    <cellStyle name="Sortie_T1 ANSP" xfId="24213" xr:uid="{90F86E20-7D05-4EF5-88ED-FA2C3965BF84}"/>
    <cellStyle name="Source Field - Green" xfId="774" xr:uid="{00000000-0005-0000-0000-0000D4050000}"/>
    <cellStyle name="Source Field - Green 2" xfId="1086" xr:uid="{00000000-0005-0000-0000-0000D5050000}"/>
    <cellStyle name="Source Field - Green_T1 ANSP" xfId="24244" xr:uid="{215F6867-E265-4EA4-84AC-7620B5EF7EFC}"/>
    <cellStyle name="Standaard_BoQ Lot B2 Airfield Lighting" xfId="1262" xr:uid="{00000000-0005-0000-0000-0000D6050000}"/>
    <cellStyle name="Standard 2" xfId="775" xr:uid="{00000000-0005-0000-0000-0000D7050000}"/>
    <cellStyle name="Standard 3" xfId="776" xr:uid="{00000000-0005-0000-0000-0000D8050000}"/>
    <cellStyle name="Standard 4" xfId="777" xr:uid="{00000000-0005-0000-0000-0000D9050000}"/>
    <cellStyle name="Standard 4 2" xfId="1087" xr:uid="{00000000-0005-0000-0000-0000DA050000}"/>
    <cellStyle name="Standard 4_T1 ANSP" xfId="24245" xr:uid="{B1995018-1772-40F8-BDC1-4D8DCEC0DFA6}"/>
    <cellStyle name="Standard,f,u" xfId="778" xr:uid="{00000000-0005-0000-0000-0000DB050000}"/>
    <cellStyle name="Standard,Helv 8" xfId="779" xr:uid="{00000000-0005-0000-0000-0000DC050000}"/>
    <cellStyle name="Standard_Agip_Zusammenfassung" xfId="780" xr:uid="{00000000-0005-0000-0000-0000DD050000}"/>
    <cellStyle name="Stile 1" xfId="781" xr:uid="{00000000-0005-0000-0000-0000DE050000}"/>
    <cellStyle name="Style 1" xfId="782" xr:uid="{00000000-0005-0000-0000-0000DF050000}"/>
    <cellStyle name="Sub Total" xfId="24246" xr:uid="{1F3FEC35-2AD4-4426-AF15-CE5872073540}"/>
    <cellStyle name="Sub Total 2" xfId="24247" xr:uid="{B1E751BF-4028-48E8-8FEB-A0D1F98F8F7B}"/>
    <cellStyle name="Sub Total 2 2" xfId="24248" xr:uid="{1B11392D-76EF-41D2-B561-7C4A884D9764}"/>
    <cellStyle name="Sub Total 3" xfId="24249" xr:uid="{3F8710BE-1596-4E45-80BE-16CA39A937B2}"/>
    <cellStyle name="Sub totals" xfId="783" xr:uid="{00000000-0005-0000-0000-0000E0050000}"/>
    <cellStyle name="Sub totals 2" xfId="1603" xr:uid="{00000000-0005-0000-0000-0000E1050000}"/>
    <cellStyle name="Sub totals_T1 ANSP" xfId="24250" xr:uid="{EC2A27E4-DCF0-4F5D-85CC-60E3CA1F37A5}"/>
    <cellStyle name="SubTotal" xfId="24251" xr:uid="{4497D39D-7984-42EA-B993-EEF925818425}"/>
    <cellStyle name="Subtotal (line)" xfId="784" xr:uid="{00000000-0005-0000-0000-0000E2050000}"/>
    <cellStyle name="Suma" xfId="785" xr:uid="{00000000-0005-0000-0000-0000E3050000}"/>
    <cellStyle name="Suma 2" xfId="1579" xr:uid="{00000000-0005-0000-0000-0000E4050000}"/>
    <cellStyle name="Suma 3" xfId="1537" xr:uid="{00000000-0005-0000-0000-0000E5050000}"/>
    <cellStyle name="Suma_T1 ANSP" xfId="24252" xr:uid="{A23CE35F-4F58-4D73-9753-FCDD7FD43C57}"/>
    <cellStyle name="Summa" xfId="786" xr:uid="{00000000-0005-0000-0000-0000E6050000}"/>
    <cellStyle name="Summa 10" xfId="24254" xr:uid="{171C764F-D71E-40F3-A9E2-2C98C20F9CA9}"/>
    <cellStyle name="Summa 10 2" xfId="24255" xr:uid="{7C64261A-D276-44CB-A381-9F0A769B93C1}"/>
    <cellStyle name="Summa 11" xfId="24256" xr:uid="{ADB0D089-82F5-4A1E-B2D3-2B785A02097F}"/>
    <cellStyle name="Summa 11 2" xfId="24257" xr:uid="{8A0BCDCF-507B-456A-8003-773E6C1D608D}"/>
    <cellStyle name="Summa 12" xfId="24258" xr:uid="{B5AF9186-0116-46E3-B3E4-582C1BC23E0E}"/>
    <cellStyle name="Summa 12 2" xfId="24259" xr:uid="{F80A17D0-2A35-41E6-A99C-43EB7B79BC38}"/>
    <cellStyle name="Summa 13" xfId="24260" xr:uid="{AE9A4EDB-7B4F-4AD6-90D5-C4FAAAD1EFB7}"/>
    <cellStyle name="Summa 13 2" xfId="24261" xr:uid="{F6400A2B-A775-4696-868D-70C05984E531}"/>
    <cellStyle name="Summa 14" xfId="24262" xr:uid="{CAF886A3-8179-4B2C-80F6-94A4514AD341}"/>
    <cellStyle name="Summa 14 2" xfId="24263" xr:uid="{8C5EF6C7-1867-40FB-B1DB-40B553C50C73}"/>
    <cellStyle name="Summa 15" xfId="24264" xr:uid="{BA2AA1C5-D54E-4C61-956C-66110F49F90A}"/>
    <cellStyle name="Summa 15 2" xfId="24265" xr:uid="{43A55F5C-F89D-4423-8A56-60D95B661E3D}"/>
    <cellStyle name="Summa 16" xfId="24266" xr:uid="{D47545CB-8097-404C-85F8-953C4B14DDAD}"/>
    <cellStyle name="Summa 17" xfId="24267" xr:uid="{FE9D0DE5-A128-4BDC-A62E-2956E5B9F741}"/>
    <cellStyle name="Summa 2" xfId="1580" xr:uid="{00000000-0005-0000-0000-0000E7050000}"/>
    <cellStyle name="Summa 2 2" xfId="24269" xr:uid="{01552F79-8A36-45FB-861E-E8D620ECE381}"/>
    <cellStyle name="Summa 2_T1 ANSP" xfId="24268" xr:uid="{16E07703-53C4-477C-B0F7-01E17127A92D}"/>
    <cellStyle name="Summa 3" xfId="1538" xr:uid="{00000000-0005-0000-0000-0000E8050000}"/>
    <cellStyle name="Summa 3 2" xfId="24271" xr:uid="{5FAEF0A2-E597-4023-AE11-78FB1E3DF5EE}"/>
    <cellStyle name="Summa 3_T1 ANSP" xfId="24270" xr:uid="{886BA16B-26B8-4609-A75F-18EEBF4A6B05}"/>
    <cellStyle name="Summa 4" xfId="24272" xr:uid="{9613AA80-372B-4061-850E-3CD950B1BEB1}"/>
    <cellStyle name="Summa 4 2" xfId="24273" xr:uid="{29D67C40-4618-4213-B88B-0FB6A73F2F7C}"/>
    <cellStyle name="Summa 5" xfId="24274" xr:uid="{8894E7CF-067D-4C2D-9043-BE6EB95E0A46}"/>
    <cellStyle name="Summa 5 2" xfId="24275" xr:uid="{8D786C2F-C40C-4833-BF43-4C6FBF0F4E6A}"/>
    <cellStyle name="Summa 6" xfId="24276" xr:uid="{6A92A307-F1F9-4C0D-BB82-BFD8B28F659F}"/>
    <cellStyle name="Summa 6 2" xfId="24277" xr:uid="{AED2EF43-CFF8-4BA1-8115-C9C71BF8D474}"/>
    <cellStyle name="Summa 7" xfId="24278" xr:uid="{F57894F7-5160-43F8-9447-5DB1AD8F28E4}"/>
    <cellStyle name="Summa 7 2" xfId="24279" xr:uid="{F80E9AA0-C3D2-4559-A27C-283B8CB1A864}"/>
    <cellStyle name="Summa 8" xfId="24280" xr:uid="{D2527160-9BBC-4DB0-BF8D-FB72B204DBBB}"/>
    <cellStyle name="Summa 8 2" xfId="24281" xr:uid="{169E4DF5-F4F6-40BD-8C83-5D426EBD5B93}"/>
    <cellStyle name="Summa 9" xfId="24282" xr:uid="{18881E6A-0073-46CE-BB72-9B0903213440}"/>
    <cellStyle name="Summa 9 2" xfId="24283" xr:uid="{EEA76D53-FD44-4675-A63C-C6F20AF6A0D2}"/>
    <cellStyle name="Summa_T1 ANSP" xfId="24253" xr:uid="{C2B147E5-0C52-43F5-BD62-DE090388ADF2}"/>
    <cellStyle name="Susietas langelis" xfId="787" xr:uid="{00000000-0005-0000-0000-0000E9050000}"/>
    <cellStyle name="Switch" xfId="24284" xr:uid="{4D29D039-F9A6-4AB4-958B-2232AA07A135}"/>
    <cellStyle name="Switch 2" xfId="24285" xr:uid="{617151B1-E556-4D54-A97F-76BECCCA5069}"/>
    <cellStyle name="Switch 2 2" xfId="24286" xr:uid="{C7232AD5-7148-4177-9A9A-8D3727A7A856}"/>
    <cellStyle name="Switch 2 2 2" xfId="24287" xr:uid="{AD8BF1B7-BFEA-432C-A8A8-983EDBDC596E}"/>
    <cellStyle name="Switch 2 3" xfId="24288" xr:uid="{593CE0E4-DCF6-4C5A-8F4A-E2D635A0897E}"/>
    <cellStyle name="Switch 2 3 2" xfId="24289" xr:uid="{773AF991-CCB5-4EB6-8F1B-71ADB11B7202}"/>
    <cellStyle name="Switch 2 4" xfId="24290" xr:uid="{652B5A2B-4706-4704-87FB-91B7D67ACC30}"/>
    <cellStyle name="Switch 2 4 2" xfId="24291" xr:uid="{C0F88D87-89EF-4DB3-B2B0-958DFB5E2A36}"/>
    <cellStyle name="Switch 2 5" xfId="24292" xr:uid="{04A2049B-0ED5-412B-ACE3-9E1223436568}"/>
    <cellStyle name="Switch 2 5 2" xfId="24293" xr:uid="{DEB43713-9F47-47F9-9120-421587548DA4}"/>
    <cellStyle name="Switch 2 6" xfId="24294" xr:uid="{7B243A07-F817-43D4-908C-512AE8A88747}"/>
    <cellStyle name="Switch 2 6 2" xfId="24295" xr:uid="{19BC449B-6B21-4BF9-93BF-AD2E059204B1}"/>
    <cellStyle name="Switch 2 7" xfId="24296" xr:uid="{574BF53F-744A-4551-B3B2-3E36D64B393B}"/>
    <cellStyle name="Switch 3" xfId="24297" xr:uid="{35856360-375C-469F-9F69-6433DF5CD0F5}"/>
    <cellStyle name="Switch 3 2" xfId="24298" xr:uid="{56735560-71A1-4CD9-89B8-18593B853905}"/>
    <cellStyle name="Switch 4" xfId="24299" xr:uid="{5DF64BE2-DA8B-4EEE-A386-6FD9BBA60F81}"/>
    <cellStyle name="Switch 4 2" xfId="24300" xr:uid="{723230A5-DD9E-442B-B4C9-0BAF009ECD02}"/>
    <cellStyle name="Switch 5" xfId="24301" xr:uid="{B1C7E071-3F7E-491C-9666-18A14ABDE15F}"/>
    <cellStyle name="Switch 5 2" xfId="24302" xr:uid="{E3FD5FE8-C485-44B4-912D-4A8F3B5A1674}"/>
    <cellStyle name="Switch 6" xfId="24303" xr:uid="{63A7DA5B-9622-47A0-9E03-5B28D4D643E8}"/>
    <cellStyle name="Switch 6 2" xfId="24304" xr:uid="{2F27A5D6-AED5-4B15-B2A9-3D89F500CD1F}"/>
    <cellStyle name="Switch 7" xfId="24305" xr:uid="{F8859501-F094-418B-B3C1-5B65A4DFD0F7}"/>
    <cellStyle name="Switch 7 2" xfId="24306" xr:uid="{E12873C6-82DD-4D6D-B699-A088DE4B4640}"/>
    <cellStyle name="Switch 8" xfId="24307" xr:uid="{F33D4EEB-55DD-4D2F-A3F5-DEF1F8559EAC}"/>
    <cellStyle name="Syöttö" xfId="788" xr:uid="{00000000-0005-0000-0000-0000EA050000}"/>
    <cellStyle name="Syöttö 10" xfId="24309" xr:uid="{A0EAC834-EE0D-441C-8B23-BDD788B9A7A4}"/>
    <cellStyle name="Syöttö 10 2" xfId="24310" xr:uid="{6739447B-D47C-43A4-9CA6-C82D8C2EDAB4}"/>
    <cellStyle name="Syöttö 11" xfId="24311" xr:uid="{E28E790F-3015-4038-B798-DF735B9343DB}"/>
    <cellStyle name="Syöttö 11 2" xfId="24312" xr:uid="{4574347A-44BE-4FAF-AD8A-D83D4775C6B0}"/>
    <cellStyle name="Syöttö 12" xfId="24313" xr:uid="{07B67F3E-9702-4EDC-9BF2-63AD36A8A29F}"/>
    <cellStyle name="Syöttö 12 2" xfId="24314" xr:uid="{167D7C34-6047-4880-8D55-1BC1A7E3BCB3}"/>
    <cellStyle name="Syöttö 13" xfId="24315" xr:uid="{8C3C4A9A-E8B2-4381-9856-C3E2DFDA1809}"/>
    <cellStyle name="Syöttö 13 2" xfId="24316" xr:uid="{03FB0702-0305-46FD-A01A-2CE7E0F2F6AC}"/>
    <cellStyle name="Syöttö 14" xfId="24317" xr:uid="{F03C74CA-D3EC-4E03-B46C-4AB460EB259A}"/>
    <cellStyle name="Syöttö 14 2" xfId="24318" xr:uid="{54782A4A-870A-4DC1-99A1-61178DAED523}"/>
    <cellStyle name="Syöttö 15" xfId="24319" xr:uid="{BB048AD0-0D1A-4C2C-968B-A0180AA91691}"/>
    <cellStyle name="Syöttö 15 2" xfId="24320" xr:uid="{42BA12A1-9318-4056-B361-A418F1A80A4B}"/>
    <cellStyle name="Syöttö 16" xfId="24321" xr:uid="{F4F3B8D5-3C6D-462C-9FE1-ADB0C8F308DD}"/>
    <cellStyle name="Syöttö 2" xfId="1581" xr:uid="{00000000-0005-0000-0000-0000EB050000}"/>
    <cellStyle name="Syöttö 2 2" xfId="24323" xr:uid="{CF48E9C6-1AB8-4D6C-A0AA-81798A300BA1}"/>
    <cellStyle name="Syöttö 2_T1 ANSP" xfId="24322" xr:uid="{73732D18-A97B-4C4F-A1BC-38C58D65DF37}"/>
    <cellStyle name="Syöttö 3" xfId="1539" xr:uid="{00000000-0005-0000-0000-0000EC050000}"/>
    <cellStyle name="Syöttö 3 2" xfId="24325" xr:uid="{22B9C008-60D0-41C0-AF92-0C358089C0D0}"/>
    <cellStyle name="Syöttö 3_T1 ANSP" xfId="24324" xr:uid="{0F430D56-4D43-43A9-98A0-9BFC6BD5CECD}"/>
    <cellStyle name="Syöttö 4" xfId="24326" xr:uid="{D754997A-6E6B-497C-9FDB-F708D6CBD0C5}"/>
    <cellStyle name="Syöttö 4 2" xfId="24327" xr:uid="{B39C0EE7-5C2C-463F-8161-4E8D2968F431}"/>
    <cellStyle name="Syöttö 5" xfId="24328" xr:uid="{4246AD9C-E362-4567-BB0C-D37FA7624F8A}"/>
    <cellStyle name="Syöttö 5 2" xfId="24329" xr:uid="{F54F87D8-D24B-445D-919E-3F89F412D693}"/>
    <cellStyle name="Syöttö 6" xfId="24330" xr:uid="{2C79B8F0-AADE-4A64-B0A7-642124BC9344}"/>
    <cellStyle name="Syöttö 6 2" xfId="24331" xr:uid="{42DFE8BA-8A8C-4BE5-8502-282F84747F3F}"/>
    <cellStyle name="Syöttö 7" xfId="24332" xr:uid="{F233AD75-9E16-4C3D-AF2C-78E5F8A4A410}"/>
    <cellStyle name="Syöttö 7 2" xfId="24333" xr:uid="{0E3767A4-4CC6-422F-BFEE-49DBFAC9312D}"/>
    <cellStyle name="Syöttö 8" xfId="24334" xr:uid="{235D0779-8C79-4C5A-A4DA-E29DBA0FF536}"/>
    <cellStyle name="Syöttö 8 2" xfId="24335" xr:uid="{C0E54E18-9ED2-4BFC-BB6E-FAA66CD51723}"/>
    <cellStyle name="Syöttö 9" xfId="24336" xr:uid="{D0A179E4-3223-4525-99B9-304A0BE047D7}"/>
    <cellStyle name="Syöttö 9 2" xfId="24337" xr:uid="{E86F94F2-4F6A-4654-AFC1-56D7B547379E}"/>
    <cellStyle name="Syöttö_T1 ANSP" xfId="24308" xr:uid="{63DF7697-0D7B-4809-96FE-3101BA8774BD}"/>
    <cellStyle name="Számítás 2" xfId="1263" xr:uid="{00000000-0005-0000-0000-0000ED050000}"/>
    <cellStyle name="Százalék 2" xfId="1264" xr:uid="{00000000-0005-0000-0000-0000EE050000}"/>
    <cellStyle name="Százalék 3" xfId="1265" xr:uid="{00000000-0005-0000-0000-0000EF050000}"/>
    <cellStyle name="Table Add Row" xfId="24338" xr:uid="{8AA40546-ABEF-4D37-BCFD-4D0F007D11C2}"/>
    <cellStyle name="Table Calc Rows" xfId="24339" xr:uid="{29C0315D-6DCE-40F9-BB8E-79F8CE9FB5EA}"/>
    <cellStyle name="Table Col Head" xfId="24340" xr:uid="{186676D9-AE75-40AD-9CF5-9A217C4B7F26}"/>
    <cellStyle name="Table Delete Row" xfId="24341" xr:uid="{7946F9DD-F5EA-4E35-8CC5-25E9395611EE}"/>
    <cellStyle name="Table END" xfId="24342" xr:uid="{BBD2AF47-D525-4E7F-9C5F-FEF496AABFA9}"/>
    <cellStyle name="Table Head" xfId="24343" xr:uid="{12E5A0DD-C891-4BDE-956F-A82E5E168BB0}"/>
    <cellStyle name="Table Head Aligned" xfId="24344" xr:uid="{5D1037EF-CBEF-41F5-BF0A-D202BFAB8513}"/>
    <cellStyle name="Table Head Aligned 2" xfId="24345" xr:uid="{72A68074-F14E-4E69-9049-7EE6ADCAFF58}"/>
    <cellStyle name="Table Head Aligned 2 2" xfId="24346" xr:uid="{FDEDFA12-EC2C-40C8-8925-886602FB1EAF}"/>
    <cellStyle name="Table Head Aligned 3" xfId="24347" xr:uid="{AF8CD90F-2F6E-45A3-A9F9-BBF7063969CD}"/>
    <cellStyle name="Table Head Aligned 3 2" xfId="24348" xr:uid="{8151D47D-15F3-4ABF-854E-4B8F8B1156BC}"/>
    <cellStyle name="Table Head Aligned 4" xfId="24349" xr:uid="{B48FF32B-DD1D-4BB8-AAA1-9B32DE7FD2A4}"/>
    <cellStyle name="Table Head Aligned 4 2" xfId="24350" xr:uid="{E1825BF3-522C-467E-9246-BCF1F2010CA2}"/>
    <cellStyle name="Table Head Aligned 5" xfId="24351" xr:uid="{F7EE1167-162B-4046-830F-BC87E12CBA37}"/>
    <cellStyle name="Table Head Aligned 5 2" xfId="24352" xr:uid="{E3E4C71D-312E-4B42-B92B-1EFAF762E4E5}"/>
    <cellStyle name="Table Head Aligned 6" xfId="24353" xr:uid="{531C4462-403F-472E-9A29-91F983736ADE}"/>
    <cellStyle name="Table Head Aligned 6 2" xfId="24354" xr:uid="{57ACC5A1-CAD5-4750-8D30-9764E6581B2E}"/>
    <cellStyle name="Table Head Aligned 7" xfId="24355" xr:uid="{E8145B0F-7F9B-4C27-8D53-06A11671C6EB}"/>
    <cellStyle name="Table Head Blue" xfId="24356" xr:uid="{5A8C178D-F8CD-4632-8BA7-667400AB4753}"/>
    <cellStyle name="Table Head Green" xfId="24357" xr:uid="{0BD83590-94C0-48B7-AFC8-2B6B7225EA6D}"/>
    <cellStyle name="Table Head Green 2" xfId="24358" xr:uid="{6B6123E5-D71E-4E64-AB69-9FEFF73DDCF6}"/>
    <cellStyle name="Table Head Green 2 2" xfId="24359" xr:uid="{9FC8E2EC-37A7-4DA8-A818-513B0C56DB7B}"/>
    <cellStyle name="Table Head Green 3" xfId="24360" xr:uid="{0F4FFD06-2947-47FA-BED2-FCC52C55DFED}"/>
    <cellStyle name="Table Head Green 3 2" xfId="24361" xr:uid="{2AB6D58B-8F2A-4F00-BB55-CF74B8FC0E1E}"/>
    <cellStyle name="Table Head Green 4" xfId="24362" xr:uid="{D4917E02-19E9-4E24-A61C-11D810912488}"/>
    <cellStyle name="Table Head Green 4 2" xfId="24363" xr:uid="{2A19303F-F8B8-405E-9ACE-436AB2E4E806}"/>
    <cellStyle name="Table Head Green 5" xfId="24364" xr:uid="{2167E371-F097-44FE-8012-F69EC5D79983}"/>
    <cellStyle name="Table Head Green 5 2" xfId="24365" xr:uid="{B6E646DA-ABE5-4AB6-89B1-816086320E78}"/>
    <cellStyle name="Table Head Green 6" xfId="24366" xr:uid="{C29C6244-D197-47AC-ABD1-F6AFF34C6668}"/>
    <cellStyle name="Table Head Green 6 2" xfId="24367" xr:uid="{C04E4955-0E0D-4BB1-90C2-715354A68459}"/>
    <cellStyle name="Table Head Green 7" xfId="24368" xr:uid="{FF1A885C-9D59-4D6F-B78A-9868276ECA41}"/>
    <cellStyle name="Table Header" xfId="24369" xr:uid="{1AD75BC4-E000-4422-9C85-ECA47259AFDB}"/>
    <cellStyle name="Table Sub Head" xfId="24370" xr:uid="{238443B9-D421-48DC-BB2F-0BF72CB1F735}"/>
    <cellStyle name="Table Title" xfId="24371" xr:uid="{4E9FBBAE-B8A2-4C2E-983C-E4064CD09CAA}"/>
    <cellStyle name="Table Units" xfId="24372" xr:uid="{CE9293DC-3700-437C-B766-124ADC7AF337}"/>
    <cellStyle name="TableBorder" xfId="789" xr:uid="{00000000-0005-0000-0000-0000F0050000}"/>
    <cellStyle name="Tarkistussolu" xfId="790" xr:uid="{00000000-0005-0000-0000-0000F1050000}"/>
    <cellStyle name="Texte explicatif" xfId="791" xr:uid="{00000000-0005-0000-0000-0000F2050000}"/>
    <cellStyle name="Texte explicatif 2" xfId="1266" xr:uid="{00000000-0005-0000-0000-0000F3050000}"/>
    <cellStyle name="Texte explicatif_T1 ANSP" xfId="24373" xr:uid="{041B432C-5EF0-4F9A-80F4-A8A1155FF0BB}"/>
    <cellStyle name="Texto de advertencia" xfId="792" xr:uid="{00000000-0005-0000-0000-0000F4050000}"/>
    <cellStyle name="Texto explicativo" xfId="793" xr:uid="{00000000-0005-0000-0000-0000F5050000}"/>
    <cellStyle name="Thousands" xfId="794" xr:uid="{00000000-0005-0000-0000-0000F6050000}"/>
    <cellStyle name="Tikrinimo langelis" xfId="795" xr:uid="{00000000-0005-0000-0000-0000F7050000}"/>
    <cellStyle name="Time Line" xfId="24374" xr:uid="{9BF8E46A-7126-498A-9214-50E235C7D63B}"/>
    <cellStyle name="Timeline" xfId="24375" xr:uid="{D10166D5-1CE3-40BD-AEFE-3DF35F63F3D7}"/>
    <cellStyle name="Timeline CY" xfId="24376" xr:uid="{BFF85862-634B-47F1-AE82-0840B2C8AA90}"/>
    <cellStyle name="Timeline Qtr" xfId="1290" xr:uid="{00000000-0005-0000-0000-0000F8050000}"/>
    <cellStyle name="TimeReport" xfId="796" xr:uid="{00000000-0005-0000-0000-0000F9050000}"/>
    <cellStyle name="Titel" xfId="797" xr:uid="{00000000-0005-0000-0000-0000FA050000}"/>
    <cellStyle name="Title 1" xfId="798" xr:uid="{00000000-0005-0000-0000-0000FB050000}"/>
    <cellStyle name="Title 1 2" xfId="24378" xr:uid="{EA5CDA4B-7B28-4176-9088-ACF17DCC0181}"/>
    <cellStyle name="Title 1_T1 ANSP" xfId="24377" xr:uid="{09533D33-7738-42B8-817E-506EBFAB451D}"/>
    <cellStyle name="Title 2" xfId="799" xr:uid="{00000000-0005-0000-0000-0000FC050000}"/>
    <cellStyle name="Title 2 2" xfId="24380" xr:uid="{FC9D6AE3-D1C0-45DC-ACE7-C90CB66C5E80}"/>
    <cellStyle name="Title 2_T1 ANSP" xfId="24379" xr:uid="{D1D0F936-1F82-4EB2-B7F3-0742E0FFC22F}"/>
    <cellStyle name="Title 3" xfId="800" xr:uid="{00000000-0005-0000-0000-0000FD050000}"/>
    <cellStyle name="Title 3 2" xfId="24382" xr:uid="{3D362F90-FBB8-454D-8623-7A5EC6077D13}"/>
    <cellStyle name="Title 3_T1 ANSP" xfId="24381" xr:uid="{2ACC78B7-44AF-4EB2-96EF-D6B46DFFAE03}"/>
    <cellStyle name="Title 4" xfId="801" xr:uid="{00000000-0005-0000-0000-0000FE050000}"/>
    <cellStyle name="Title 4 2" xfId="1294" xr:uid="{00000000-0005-0000-0000-0000FF050000}"/>
    <cellStyle name="Title 4 3" xfId="24384" xr:uid="{01E72193-5C61-4D09-922A-70B15DC9BC5C}"/>
    <cellStyle name="Title 4_T1 ANSP" xfId="24383" xr:uid="{742D93D5-1E51-4F59-89C1-C59570046B9D}"/>
    <cellStyle name="Title 5" xfId="802" xr:uid="{00000000-0005-0000-0000-000000060000}"/>
    <cellStyle name="Titre" xfId="803" xr:uid="{00000000-0005-0000-0000-000001060000}"/>
    <cellStyle name="Titre 2" xfId="1267" xr:uid="{00000000-0005-0000-0000-000002060000}"/>
    <cellStyle name="Titre 1" xfId="804" xr:uid="{00000000-0005-0000-0000-000003060000}"/>
    <cellStyle name="Titre 1 2" xfId="1268" xr:uid="{00000000-0005-0000-0000-000004060000}"/>
    <cellStyle name="Titre 1_T1 ANSP" xfId="24385" xr:uid="{C5C690F0-EAF0-4CB1-9ACE-021B1B7AD99B}"/>
    <cellStyle name="Titre 2" xfId="805" xr:uid="{00000000-0005-0000-0000-000005060000}"/>
    <cellStyle name="Titre 2 2" xfId="1269" xr:uid="{00000000-0005-0000-0000-000006060000}"/>
    <cellStyle name="Titre 2_T1 ANSP" xfId="24386" xr:uid="{BF72E961-A506-4E7F-8EAB-2849EC95D7A1}"/>
    <cellStyle name="Titre 3" xfId="806" xr:uid="{00000000-0005-0000-0000-000007060000}"/>
    <cellStyle name="Titre 3 2" xfId="1270" xr:uid="{00000000-0005-0000-0000-000008060000}"/>
    <cellStyle name="Titre 3_T1 ANSP" xfId="24387" xr:uid="{94FE77AF-FB7C-4217-83EF-03E61A1B52F8}"/>
    <cellStyle name="Titre 4" xfId="807" xr:uid="{00000000-0005-0000-0000-000009060000}"/>
    <cellStyle name="Titre 4 2" xfId="1271" xr:uid="{00000000-0005-0000-0000-00000A060000}"/>
    <cellStyle name="Titre 4_T1 ANSP" xfId="24388" xr:uid="{6EFA3F13-0D8B-471B-B09B-E512A1CDC8C7}"/>
    <cellStyle name="Titre_APPOGGIO 2010-2014" xfId="808" xr:uid="{00000000-0005-0000-0000-00000B060000}"/>
    <cellStyle name="Titulo" xfId="809" xr:uid="{00000000-0005-0000-0000-00000C060000}"/>
    <cellStyle name="Título" xfId="810" xr:uid="{00000000-0005-0000-0000-00000D060000}"/>
    <cellStyle name="Título 1" xfId="811" xr:uid="{00000000-0005-0000-0000-00000E060000}"/>
    <cellStyle name="Título 2" xfId="812" xr:uid="{00000000-0005-0000-0000-00000F060000}"/>
    <cellStyle name="Título 3" xfId="813" xr:uid="{00000000-0005-0000-0000-000010060000}"/>
    <cellStyle name="Titulo_T1 ANSP" xfId="24389" xr:uid="{849252FB-C180-45EB-89CB-D4957266E8F4}"/>
    <cellStyle name="Título_T1 ANSP" xfId="24390" xr:uid="{DD8F273C-6CCB-498E-9D25-9E28F6E15BCE}"/>
    <cellStyle name="To" xfId="814" xr:uid="{00000000-0005-0000-0000-000011060000}"/>
    <cellStyle name="Total - General" xfId="24391" xr:uid="{BA7B8222-6D99-43CD-AE46-C6E803980821}"/>
    <cellStyle name="Total - General 2" xfId="24392" xr:uid="{019660F3-FDFB-4881-A30E-5461C2855239}"/>
    <cellStyle name="Total - Sub" xfId="24393" xr:uid="{15464DDB-C3E1-4611-B761-E391CD12853A}"/>
    <cellStyle name="Total - Sub 2" xfId="24394" xr:uid="{4BEFD874-09C4-4F60-972E-9E035C81E25D}"/>
    <cellStyle name="Total - Sub 2 2" xfId="24395" xr:uid="{E8DEC3C5-FFA1-43CA-BF6F-3EC677607CFD}"/>
    <cellStyle name="Total (line)" xfId="815" xr:uid="{00000000-0005-0000-0000-000012060000}"/>
    <cellStyle name="Total 10" xfId="24396" xr:uid="{F830FE0C-0544-4CDE-A45D-89FBF5ED4667}"/>
    <cellStyle name="Total 10 2" xfId="24397" xr:uid="{333D1E5A-B094-4867-866C-83EA839DFE42}"/>
    <cellStyle name="Total 11" xfId="24398" xr:uid="{78016E95-46E1-457C-9F3B-3CBFF192BCA7}"/>
    <cellStyle name="Total 11 2" xfId="24399" xr:uid="{4A762181-32A4-4E0B-9312-6145D64EB238}"/>
    <cellStyle name="Total 12" xfId="24400" xr:uid="{B9BC04E2-5F4C-454A-B9DF-9AD289B4123D}"/>
    <cellStyle name="Total 12 2" xfId="24401" xr:uid="{917F8A48-89C3-4BF2-AF92-9D645089B225}"/>
    <cellStyle name="Total 13" xfId="24402" xr:uid="{A62914DC-9BFE-4CB4-A7BD-054D196621C0}"/>
    <cellStyle name="Total 13 2" xfId="24403" xr:uid="{CA1E2A1C-6298-4196-8458-D81BC7D81BAF}"/>
    <cellStyle name="Total 14" xfId="24404" xr:uid="{02559E6A-F6F6-4195-B9B0-E13286A1ECF1}"/>
    <cellStyle name="Total 14 2" xfId="24405" xr:uid="{62BBC906-D198-4523-BC65-480B01111BBC}"/>
    <cellStyle name="Total 15" xfId="24406" xr:uid="{D95DD684-4BA5-41D0-821A-7C1E3DB44BDF}"/>
    <cellStyle name="Total 15 2" xfId="24407" xr:uid="{F79A6465-6260-441C-A8FF-E1EE7BE2F16B}"/>
    <cellStyle name="Total 16" xfId="24408" xr:uid="{7CC0808F-273E-4364-8AB3-9753C05DD7B3}"/>
    <cellStyle name="Total 16 2" xfId="24409" xr:uid="{AD69A480-8657-4332-B238-EEFE08A4A0DE}"/>
    <cellStyle name="Total 17" xfId="24410" xr:uid="{A8B6DFAF-EB14-4CDB-8BC6-B46E692E4965}"/>
    <cellStyle name="Total 17 2" xfId="24411" xr:uid="{9A81D739-0861-4D71-B9B0-E892706537F5}"/>
    <cellStyle name="Total 18" xfId="24412" xr:uid="{447A064D-E960-4CEF-9976-A3BBE4AC20A3}"/>
    <cellStyle name="Total 18 2" xfId="24413" xr:uid="{243759D6-2B52-4005-A0E6-F670E94F8EE9}"/>
    <cellStyle name="Total 19" xfId="24414" xr:uid="{9E122644-AB29-485A-AAC1-C27E4DB386E2}"/>
    <cellStyle name="Total 19 2" xfId="24415" xr:uid="{959B9334-1969-4F91-99ED-66393AAD36BE}"/>
    <cellStyle name="Total 2" xfId="816" xr:uid="{00000000-0005-0000-0000-000013060000}"/>
    <cellStyle name="Total 2 10" xfId="24417" xr:uid="{444B0D56-6480-4A3E-AA53-A22D741B5F8F}"/>
    <cellStyle name="Total 2 10 2" xfId="24418" xr:uid="{D770C6E4-781B-452F-9FDE-D571DF00AA87}"/>
    <cellStyle name="Total 2 11" xfId="24419" xr:uid="{F4636CF9-C717-4B10-9D5B-438419FC78E5}"/>
    <cellStyle name="Total 2 11 2" xfId="24420" xr:uid="{DF28F3B2-52F5-4FDA-A499-F31A8FDAF3DE}"/>
    <cellStyle name="Total 2 12" xfId="24421" xr:uid="{2A4F8E1D-3542-4F43-896A-A456CDB0D391}"/>
    <cellStyle name="Total 2 12 2" xfId="24422" xr:uid="{040309C4-F366-4F39-995E-F99895D1ECCF}"/>
    <cellStyle name="Total 2 13" xfId="24423" xr:uid="{E54E72BE-11CC-469E-87FB-9DD4ED32A35F}"/>
    <cellStyle name="Total 2 13 2" xfId="24424" xr:uid="{BD940B0E-2A2E-4A6C-9815-A82AA322D4D3}"/>
    <cellStyle name="Total 2 13 3" xfId="24425" xr:uid="{2B7F5BFE-0B32-426D-9D79-84D937264C7B}"/>
    <cellStyle name="Total 2 14" xfId="24426" xr:uid="{8F65A15A-C2B4-4C98-A432-861E6398F104}"/>
    <cellStyle name="Total 2 14 2" xfId="24427" xr:uid="{94677FD2-7401-4F40-BA37-CFA56389E695}"/>
    <cellStyle name="Total 2 15" xfId="24428" xr:uid="{6072146F-A5EF-4D54-BB6E-A5F24D603FF4}"/>
    <cellStyle name="Total 2 15 2" xfId="24429" xr:uid="{25F2E865-CEDD-49CD-A956-EC701A517487}"/>
    <cellStyle name="Total 2 16" xfId="24430" xr:uid="{04175F8E-1DCD-4BAB-853F-A0D664FD3C97}"/>
    <cellStyle name="Total 2 2" xfId="1589" xr:uid="{00000000-0005-0000-0000-000014060000}"/>
    <cellStyle name="Total 2 2 10" xfId="24432" xr:uid="{B2E5097E-D479-4114-A421-3FEF57DEE2CD}"/>
    <cellStyle name="Total 2 2 10 2" xfId="24433" xr:uid="{698C4A3A-3EA0-4897-ACC3-CE7F678BB4F3}"/>
    <cellStyle name="Total 2 2 11" xfId="24434" xr:uid="{8F2F86F9-FBDB-415F-A79F-DFC51D791BA9}"/>
    <cellStyle name="Total 2 2 11 2" xfId="24435" xr:uid="{10B52DBC-D059-429B-9D72-6C6B109DC7A2}"/>
    <cellStyle name="Total 2 2 12" xfId="24436" xr:uid="{1168A570-B520-43C5-A987-3F97D1743B7D}"/>
    <cellStyle name="Total 2 2 12 2" xfId="24437" xr:uid="{FF8A86A0-E2D6-4C86-8163-B1843B627A98}"/>
    <cellStyle name="Total 2 2 13" xfId="24438" xr:uid="{F4EFDCC5-054F-4ED6-A783-5AC20705F208}"/>
    <cellStyle name="Total 2 2 13 2" xfId="24439" xr:uid="{7DEB8C2E-D699-4029-AD1A-5FBB09E5ECB6}"/>
    <cellStyle name="Total 2 2 14" xfId="24440" xr:uid="{BCB44819-ED35-47C6-B386-07BF2E70163C}"/>
    <cellStyle name="Total 2 2 14 2" xfId="24441" xr:uid="{86FE33D2-124A-4D37-BB5D-B8A1084CE736}"/>
    <cellStyle name="Total 2 2 15" xfId="24442" xr:uid="{1AF38C60-14E3-4562-92AE-549C08CCC34F}"/>
    <cellStyle name="Total 2 2 15 2" xfId="24443" xr:uid="{B3D68CA6-0A86-4984-B492-7CAF27FA57F9}"/>
    <cellStyle name="Total 2 2 16" xfId="24444" xr:uid="{08A3C034-89D2-4460-A3BA-7D6D218A373B}"/>
    <cellStyle name="Total 2 2 2" xfId="24445" xr:uid="{5B488412-50C2-40DA-8989-9F9C37D93A42}"/>
    <cellStyle name="Total 2 2 2 2" xfId="24446" xr:uid="{D12170C7-5D20-4041-8C29-D4B9BC1112E7}"/>
    <cellStyle name="Total 2 2 3" xfId="24447" xr:uid="{ECB67F81-AFE6-4C16-AEF4-B7D097995703}"/>
    <cellStyle name="Total 2 2 3 2" xfId="24448" xr:uid="{FD23FC09-0364-471A-91FE-6B0696B7E423}"/>
    <cellStyle name="Total 2 2 4" xfId="24449" xr:uid="{CBDF7C5D-FCB5-4A60-A681-F26257693A58}"/>
    <cellStyle name="Total 2 2 4 2" xfId="24450" xr:uid="{28F16168-1C5E-47BF-A061-10320C29FFC1}"/>
    <cellStyle name="Total 2 2 5" xfId="24451" xr:uid="{EB75C904-5D8C-4C04-9549-F4F09777CEF2}"/>
    <cellStyle name="Total 2 2 5 2" xfId="24452" xr:uid="{87173131-08AF-46BB-9459-CAA260D2CDF1}"/>
    <cellStyle name="Total 2 2 6" xfId="24453" xr:uid="{7F75FE6E-A1F0-4DB2-8CD5-7C80D6A1FB18}"/>
    <cellStyle name="Total 2 2 6 2" xfId="24454" xr:uid="{78DB14F4-8F74-499D-8F5E-37462EB31323}"/>
    <cellStyle name="Total 2 2 7" xfId="24455" xr:uid="{FB099BB4-0942-431B-BBB6-58197C5C7530}"/>
    <cellStyle name="Total 2 2 7 2" xfId="24456" xr:uid="{0E555FF9-38BB-4643-AEF5-4FE078F85032}"/>
    <cellStyle name="Total 2 2 8" xfId="24457" xr:uid="{CB18102D-0092-4318-AAA2-90116E74F1F9}"/>
    <cellStyle name="Total 2 2 8 2" xfId="24458" xr:uid="{153620FF-AA5D-4821-AF87-3FEB472DC478}"/>
    <cellStyle name="Total 2 2 9" xfId="24459" xr:uid="{F13DC175-898F-46CB-8A72-364C8E18B835}"/>
    <cellStyle name="Total 2 2 9 2" xfId="24460" xr:uid="{B93B61FB-E3AA-444C-8A9C-ADC69C0809D4}"/>
    <cellStyle name="Total 2 2_T1 ANSP" xfId="24431" xr:uid="{90A3A513-9DDA-4A14-9416-59043F02700A}"/>
    <cellStyle name="Total 2 3" xfId="1582" xr:uid="{00000000-0005-0000-0000-000015060000}"/>
    <cellStyle name="Total 2 3 10" xfId="24462" xr:uid="{39C0DC44-4108-483B-90E0-9B2EDDC4F67B}"/>
    <cellStyle name="Total 2 3 10 2" xfId="24463" xr:uid="{79051E97-5E6A-45E0-9EBB-DC08E590F275}"/>
    <cellStyle name="Total 2 3 11" xfId="24464" xr:uid="{70B5DA4B-7901-47BF-839D-D4530AE0FD65}"/>
    <cellStyle name="Total 2 3 11 2" xfId="24465" xr:uid="{252C8E91-09B9-4474-916F-9FF2EAD01971}"/>
    <cellStyle name="Total 2 3 12" xfId="24466" xr:uid="{F789928C-E903-4704-9397-3592D5BE8375}"/>
    <cellStyle name="Total 2 3 12 2" xfId="24467" xr:uid="{0667ABE2-AA0F-4C0A-8B83-A768EA00EB5C}"/>
    <cellStyle name="Total 2 3 13" xfId="24468" xr:uid="{96CAB55A-40A6-483E-B0A1-22B27D7BE335}"/>
    <cellStyle name="Total 2 3 13 2" xfId="24469" xr:uid="{4AD181D5-7D90-479C-A928-507924638684}"/>
    <cellStyle name="Total 2 3 14" xfId="24470" xr:uid="{BC2B1DBC-195D-46D7-80DC-298659F4D023}"/>
    <cellStyle name="Total 2 3 14 2" xfId="24471" xr:uid="{59568EE8-C4BA-4F94-9A5A-5BB23A8DD868}"/>
    <cellStyle name="Total 2 3 15" xfId="24472" xr:uid="{0834E01A-BE70-420E-80DF-33C8C884454E}"/>
    <cellStyle name="Total 2 3 15 2" xfId="24473" xr:uid="{BFBCBD73-49BD-40E5-9C03-A24E426E25C3}"/>
    <cellStyle name="Total 2 3 16" xfId="24474" xr:uid="{914AA170-FD4A-412E-A069-DC33747B51C3}"/>
    <cellStyle name="Total 2 3 2" xfId="24475" xr:uid="{CA68AC28-1B30-44D2-B297-AD8152AF8B95}"/>
    <cellStyle name="Total 2 3 2 2" xfId="24476" xr:uid="{5BE06E32-1D90-4D7C-AE05-BA3C9E9766FE}"/>
    <cellStyle name="Total 2 3 3" xfId="24477" xr:uid="{05A2E491-80C0-4D83-8F6F-59150195E007}"/>
    <cellStyle name="Total 2 3 3 2" xfId="24478" xr:uid="{1052BE15-189B-43B6-B65A-296DE02AADA9}"/>
    <cellStyle name="Total 2 3 4" xfId="24479" xr:uid="{FB51017E-66FB-4613-893A-B7FDBB0C6320}"/>
    <cellStyle name="Total 2 3 4 2" xfId="24480" xr:uid="{6060E973-720D-430D-9FF4-1F76A65761AA}"/>
    <cellStyle name="Total 2 3 5" xfId="24481" xr:uid="{F8908AED-7395-499F-BD18-09699652C15C}"/>
    <cellStyle name="Total 2 3 5 2" xfId="24482" xr:uid="{568EC1A0-417F-48AA-B04B-46F8AC12B12E}"/>
    <cellStyle name="Total 2 3 6" xfId="24483" xr:uid="{4D4EF690-BDF1-4AEE-B5EB-718EF1192C3C}"/>
    <cellStyle name="Total 2 3 6 2" xfId="24484" xr:uid="{EE6AA813-A514-4EB5-8074-F8612990A421}"/>
    <cellStyle name="Total 2 3 7" xfId="24485" xr:uid="{A9AEBA28-5910-4D65-9074-006FFB418215}"/>
    <cellStyle name="Total 2 3 7 2" xfId="24486" xr:uid="{2CE611FF-7E78-4D1B-9017-028D5A36B810}"/>
    <cellStyle name="Total 2 3 8" xfId="24487" xr:uid="{4874B569-8196-4B12-AE71-F5EC78629975}"/>
    <cellStyle name="Total 2 3 8 2" xfId="24488" xr:uid="{CB78D895-A9BF-49DF-BEFE-A228F1D28F34}"/>
    <cellStyle name="Total 2 3 9" xfId="24489" xr:uid="{18B1E6B8-4C93-47D4-972A-0AC9659F2F3D}"/>
    <cellStyle name="Total 2 3 9 2" xfId="24490" xr:uid="{202DA3B8-1C09-48EE-ACF9-CF6596D1E0BC}"/>
    <cellStyle name="Total 2 3_T1 ANSP" xfId="24461" xr:uid="{5C25319C-1F9F-423D-AAA6-3E06E9E448CD}"/>
    <cellStyle name="Total 2 4" xfId="24491" xr:uid="{23B79BA9-1C35-4E2B-AB99-E5E7023D8F29}"/>
    <cellStyle name="Total 2 5" xfId="24492" xr:uid="{8B9654EF-3C55-48B1-A813-72F7300484DA}"/>
    <cellStyle name="Total 2 5 2" xfId="24493" xr:uid="{E681006A-40B9-489E-B842-97916B458B38}"/>
    <cellStyle name="Total 2 6" xfId="24494" xr:uid="{757F0658-D9B5-44A7-8D90-4BFF4680A845}"/>
    <cellStyle name="Total 2 6 2" xfId="24495" xr:uid="{570CB0B9-BFA5-4B54-80EB-779AD5DD4A3C}"/>
    <cellStyle name="Total 2 7" xfId="24496" xr:uid="{59591B63-2CE1-4440-92A2-250346B647F2}"/>
    <cellStyle name="Total 2 7 2" xfId="24497" xr:uid="{75F98845-10EF-4404-A121-A92EC0896F8D}"/>
    <cellStyle name="Total 2 8" xfId="24498" xr:uid="{3FB70F13-D551-44A3-B56B-0398F4DA5D55}"/>
    <cellStyle name="Total 2 8 2" xfId="24499" xr:uid="{35F2257C-282D-4BBB-B7E6-172F8F9F858D}"/>
    <cellStyle name="Total 2 9" xfId="24500" xr:uid="{4C087C07-4EE3-4E10-81B0-24A3B443FAFB}"/>
    <cellStyle name="Total 2 9 2" xfId="24501" xr:uid="{258479D2-78F8-45F4-B3D8-159017FDB9E8}"/>
    <cellStyle name="Total 2_T1 ANSP" xfId="24416" xr:uid="{69190EE7-9947-4FD3-A319-57692F685774}"/>
    <cellStyle name="Total 20" xfId="24502" xr:uid="{F266313B-B93A-4850-BC52-C42A165C7CC4}"/>
    <cellStyle name="Total 20 2" xfId="24503" xr:uid="{70A9D82B-4F19-492E-8528-915F4F9957B0}"/>
    <cellStyle name="Total 21" xfId="24504" xr:uid="{6E258315-ABC7-4ED6-917A-4D695CADBD54}"/>
    <cellStyle name="Total 21 2" xfId="24505" xr:uid="{B1C65063-B031-4AD7-9EC1-429EF6419AAD}"/>
    <cellStyle name="Total 22" xfId="24506" xr:uid="{F6C9A636-E3C7-42C6-8C56-5089D8560CC5}"/>
    <cellStyle name="Total 22 2" xfId="24507" xr:uid="{B9222A6C-8DB5-4811-B6A1-AE614666CC48}"/>
    <cellStyle name="Total 23" xfId="24508" xr:uid="{43921DFE-5231-453F-B95E-E46A32E67D77}"/>
    <cellStyle name="Total 23 2" xfId="24509" xr:uid="{5883CFDE-56FE-4E04-8CE0-6808CD87EED0}"/>
    <cellStyle name="Total 24" xfId="24510" xr:uid="{AC98790C-EC4F-44DA-90EE-BBDB07A7C427}"/>
    <cellStyle name="Total 24 2" xfId="24511" xr:uid="{87E3A9B5-41C7-4CAE-89AC-8240C39CA1E8}"/>
    <cellStyle name="Total 25" xfId="24512" xr:uid="{E5508DA6-6E85-4F93-8E48-D5408F93EA7B}"/>
    <cellStyle name="Total 25 2" xfId="24513" xr:uid="{8BA2E2C6-E00E-461D-9754-EEEC49DE8619}"/>
    <cellStyle name="Total 26" xfId="24514" xr:uid="{CC6558DC-8F58-49F1-B119-51F3E90D0931}"/>
    <cellStyle name="Total 26 2" xfId="24515" xr:uid="{76E20170-C374-4F3C-A85F-739878848AE0}"/>
    <cellStyle name="Total 27" xfId="24516" xr:uid="{4DD0672A-ABB4-43ED-BB3F-BDD9B59479C0}"/>
    <cellStyle name="Total 27 2" xfId="24517" xr:uid="{777E69D1-4B97-45EB-8A34-EE63F160FC96}"/>
    <cellStyle name="Total 28" xfId="24518" xr:uid="{D4F3405E-27F0-40CE-9D71-2B340DA20CC9}"/>
    <cellStyle name="Total 28 2" xfId="24519" xr:uid="{4160B881-85E6-4865-9AED-6A59661FAC29}"/>
    <cellStyle name="Total 29" xfId="24520" xr:uid="{390C1BAC-4B55-480E-A0AC-C83C440634F7}"/>
    <cellStyle name="Total 29 2" xfId="24521" xr:uid="{E99D6424-CA23-4AF2-A66C-2A5630E97B9C}"/>
    <cellStyle name="Total 3" xfId="817" xr:uid="{00000000-0005-0000-0000-000016060000}"/>
    <cellStyle name="Total 3 10" xfId="24523" xr:uid="{BC16A400-153E-4D11-98B7-07558B734A50}"/>
    <cellStyle name="Total 3 10 2" xfId="24524" xr:uid="{D7B862A9-0FE5-4C1E-887C-DA89A9EB7205}"/>
    <cellStyle name="Total 3 11" xfId="24525" xr:uid="{22D6DFAB-FF2F-4697-B775-BA91F0B834B9}"/>
    <cellStyle name="Total 3 11 2" xfId="24526" xr:uid="{3492DF1F-99CA-485B-99A6-37DB79571E31}"/>
    <cellStyle name="Total 3 12" xfId="24527" xr:uid="{ABF1EEC0-BB0E-402A-8070-070E54739E63}"/>
    <cellStyle name="Total 3 12 2" xfId="24528" xr:uid="{454413F8-789D-417F-9770-4E54617EBD73}"/>
    <cellStyle name="Total 3 13" xfId="24529" xr:uid="{0EFAF8CB-343B-45EB-9F2A-3AD3203DB610}"/>
    <cellStyle name="Total 3 13 2" xfId="24530" xr:uid="{14792BCC-8136-4F96-812F-23CEA97C2D87}"/>
    <cellStyle name="Total 3 14" xfId="24531" xr:uid="{F76DD330-0596-4B0D-B9C8-86DDEFCE6DF9}"/>
    <cellStyle name="Total 3 14 2" xfId="24532" xr:uid="{F7A93EE8-6EC4-4D0C-89E1-465CEA65530B}"/>
    <cellStyle name="Total 3 15" xfId="24533" xr:uid="{76675244-58CE-4908-A54A-C3A2775F40E4}"/>
    <cellStyle name="Total 3 15 2" xfId="24534" xr:uid="{5CE212FB-2150-4892-ACC8-4BE58863A7C9}"/>
    <cellStyle name="Total 3 16" xfId="24535" xr:uid="{185B7F39-DF22-40C6-AB10-C156641E19E2}"/>
    <cellStyle name="Total 3 2" xfId="1590" xr:uid="{00000000-0005-0000-0000-000017060000}"/>
    <cellStyle name="Total 3 2 10" xfId="24537" xr:uid="{9308B546-4A7E-47DD-A664-52CDC4ACD791}"/>
    <cellStyle name="Total 3 2 10 2" xfId="24538" xr:uid="{B0BDC238-ED54-4734-B234-9541D5986C03}"/>
    <cellStyle name="Total 3 2 11" xfId="24539" xr:uid="{FF442A2E-E5A0-403E-94F8-EA071726F8D4}"/>
    <cellStyle name="Total 3 2 11 2" xfId="24540" xr:uid="{7CAD774C-3482-4A22-A3F3-F41737E52296}"/>
    <cellStyle name="Total 3 2 12" xfId="24541" xr:uid="{4509CCD8-0D97-487C-BA24-46F1A1E6EE25}"/>
    <cellStyle name="Total 3 2 12 2" xfId="24542" xr:uid="{4ECCDB85-3A3F-4440-B8F0-AA7927C6935E}"/>
    <cellStyle name="Total 3 2 13" xfId="24543" xr:uid="{FE9C2AD1-BC3F-44C6-87C6-B2106F8F5EDF}"/>
    <cellStyle name="Total 3 2 13 2" xfId="24544" xr:uid="{5E521977-8B76-4CB6-BAD7-9E9C5DA518AA}"/>
    <cellStyle name="Total 3 2 14" xfId="24545" xr:uid="{B8008F2E-F64B-46A4-98A9-7F25947E2692}"/>
    <cellStyle name="Total 3 2 14 2" xfId="24546" xr:uid="{A49636D7-B90B-4D12-AF8E-7384DC4F7736}"/>
    <cellStyle name="Total 3 2 15" xfId="24547" xr:uid="{BE714E0F-B562-444D-9F59-6EDED2A628E3}"/>
    <cellStyle name="Total 3 2 15 2" xfId="24548" xr:uid="{791A86F3-85E2-40E2-96B3-FB2AEB1DC44C}"/>
    <cellStyle name="Total 3 2 16" xfId="24549" xr:uid="{35E7159B-C769-41DE-9219-7EE72F6DE38A}"/>
    <cellStyle name="Total 3 2 2" xfId="24550" xr:uid="{DB5DEFA8-A956-47AD-9287-0970304A225E}"/>
    <cellStyle name="Total 3 2 2 2" xfId="24551" xr:uid="{0BC01122-609C-4255-A465-65E7C534BBA7}"/>
    <cellStyle name="Total 3 2 3" xfId="24552" xr:uid="{3F6B4210-8BCA-4F52-BE28-BCE59F7AE105}"/>
    <cellStyle name="Total 3 2 3 2" xfId="24553" xr:uid="{51CD4999-6496-43B4-86D8-1EC66D8BDB1E}"/>
    <cellStyle name="Total 3 2 4" xfId="24554" xr:uid="{313E9534-F399-4934-8D77-16003FDAE180}"/>
    <cellStyle name="Total 3 2 4 2" xfId="24555" xr:uid="{4C2BBA63-C98F-4A78-B363-F485E4B6B0CC}"/>
    <cellStyle name="Total 3 2 5" xfId="24556" xr:uid="{A813F4AF-F84E-41EA-A1A3-1EFABA4C7148}"/>
    <cellStyle name="Total 3 2 5 2" xfId="24557" xr:uid="{B34B78A8-7E06-46C5-9B86-5BC6F22B03AF}"/>
    <cellStyle name="Total 3 2 6" xfId="24558" xr:uid="{EB40587B-1D05-4BB7-9E6C-50A13801CB6A}"/>
    <cellStyle name="Total 3 2 6 2" xfId="24559" xr:uid="{FE6DC0DA-F603-4EF2-9A69-3BA1C950D80F}"/>
    <cellStyle name="Total 3 2 7" xfId="24560" xr:uid="{5ABCC67A-38DD-4929-9E3E-01B9AEF51CFB}"/>
    <cellStyle name="Total 3 2 7 2" xfId="24561" xr:uid="{421C1184-4A6D-4A3E-883D-06BCC4026D96}"/>
    <cellStyle name="Total 3 2 8" xfId="24562" xr:uid="{8BFDF353-C48D-458F-9BF1-835D017FC77E}"/>
    <cellStyle name="Total 3 2 8 2" xfId="24563" xr:uid="{8AD71405-BFDE-4CCC-B90E-CC43CBE675B9}"/>
    <cellStyle name="Total 3 2 9" xfId="24564" xr:uid="{5B193BAD-8276-4774-B352-48B9EE9D5B5D}"/>
    <cellStyle name="Total 3 2 9 2" xfId="24565" xr:uid="{EEDD20BC-51A8-47BF-8FF5-B223FFE51E34}"/>
    <cellStyle name="Total 3 2_T1 ANSP" xfId="24536" xr:uid="{BEA8E1FA-4A43-447F-B7E8-73C08A1A4823}"/>
    <cellStyle name="Total 3 3" xfId="1583" xr:uid="{00000000-0005-0000-0000-000018060000}"/>
    <cellStyle name="Total 3 3 10" xfId="24567" xr:uid="{C3DAEDC7-29BC-4714-9439-E4ECD92903F2}"/>
    <cellStyle name="Total 3 3 10 2" xfId="24568" xr:uid="{0745D96E-F580-478E-BA79-150DF71AA980}"/>
    <cellStyle name="Total 3 3 11" xfId="24569" xr:uid="{C3C21B36-49B7-4EC6-A7FE-AA2C65B55BF5}"/>
    <cellStyle name="Total 3 3 11 2" xfId="24570" xr:uid="{27129850-420C-418A-95FA-8F690B8BAB9A}"/>
    <cellStyle name="Total 3 3 12" xfId="24571" xr:uid="{704F9F4E-8E78-4E0B-869E-371C16322598}"/>
    <cellStyle name="Total 3 3 12 2" xfId="24572" xr:uid="{0A20DF58-FD65-4835-8D2A-D3D6FA9DD805}"/>
    <cellStyle name="Total 3 3 13" xfId="24573" xr:uid="{35A04BDD-67EA-4898-8791-6CB322F8EFE2}"/>
    <cellStyle name="Total 3 3 13 2" xfId="24574" xr:uid="{E69D5E09-E51A-4DA3-B05A-48C726F634D4}"/>
    <cellStyle name="Total 3 3 14" xfId="24575" xr:uid="{DCFE9D81-6F6B-4709-8F31-25A44652B49E}"/>
    <cellStyle name="Total 3 3 14 2" xfId="24576" xr:uid="{3790DA39-112E-4DED-B02F-0F749FE2642E}"/>
    <cellStyle name="Total 3 3 15" xfId="24577" xr:uid="{96D27F97-C264-42E4-B49A-367DDD86241B}"/>
    <cellStyle name="Total 3 3 15 2" xfId="24578" xr:uid="{0AAAE2A2-95F6-4BD6-AE7E-B248B8FA3B95}"/>
    <cellStyle name="Total 3 3 16" xfId="24579" xr:uid="{7856AA9D-2F50-4DDA-B4F1-D5564ED1D08B}"/>
    <cellStyle name="Total 3 3 2" xfId="24580" xr:uid="{D684DAB8-56FA-46D2-89F3-85377CF37352}"/>
    <cellStyle name="Total 3 3 2 2" xfId="24581" xr:uid="{AE440CDC-59CC-4065-B56D-D9DAE73D8CAD}"/>
    <cellStyle name="Total 3 3 3" xfId="24582" xr:uid="{E5DC5E7E-1026-4BE9-A4AA-A76DD1A897B8}"/>
    <cellStyle name="Total 3 3 3 2" xfId="24583" xr:uid="{EF08661F-330A-43F5-AC08-2FBC19EF8711}"/>
    <cellStyle name="Total 3 3 4" xfId="24584" xr:uid="{BB090639-B24C-4BE0-90DF-3F3DB604D443}"/>
    <cellStyle name="Total 3 3 4 2" xfId="24585" xr:uid="{FEE9585C-089B-4311-A170-1E5E1E44594B}"/>
    <cellStyle name="Total 3 3 5" xfId="24586" xr:uid="{F1AA4CD4-BF11-414D-B045-DA328B51A520}"/>
    <cellStyle name="Total 3 3 5 2" xfId="24587" xr:uid="{B0C329BD-4803-4A1A-BA85-7E1B9BDADF9F}"/>
    <cellStyle name="Total 3 3 6" xfId="24588" xr:uid="{69C3D8F4-D9FE-41B2-B8B8-D7809F9510AF}"/>
    <cellStyle name="Total 3 3 6 2" xfId="24589" xr:uid="{FDA6A58C-4047-4A23-AA3E-7F40E493878B}"/>
    <cellStyle name="Total 3 3 7" xfId="24590" xr:uid="{BD8F5EF1-04DA-4D7D-886D-4677D56B1A8E}"/>
    <cellStyle name="Total 3 3 7 2" xfId="24591" xr:uid="{7BCD81EF-29C2-4352-8DF0-CFD3118B3C76}"/>
    <cellStyle name="Total 3 3 8" xfId="24592" xr:uid="{494CA1E3-8880-4EE7-9E78-044FAA1745CC}"/>
    <cellStyle name="Total 3 3 8 2" xfId="24593" xr:uid="{B79E0C63-DA6D-400D-92CD-C5C421F378F3}"/>
    <cellStyle name="Total 3 3 9" xfId="24594" xr:uid="{1964B83B-2290-490E-901F-70C020B8AE21}"/>
    <cellStyle name="Total 3 3 9 2" xfId="24595" xr:uid="{BF5F40A7-EB72-4F96-B649-A1E570CFFC59}"/>
    <cellStyle name="Total 3 3_T1 ANSP" xfId="24566" xr:uid="{6332730E-66C9-4632-B2CB-3831726CD667}"/>
    <cellStyle name="Total 3 4" xfId="24596" xr:uid="{971AE771-E7DB-46C4-89C6-A646FDE95CF3}"/>
    <cellStyle name="Total 3 5" xfId="24597" xr:uid="{A37D9916-D2ED-4EFD-AFB6-754896A0DB15}"/>
    <cellStyle name="Total 3 5 2" xfId="24598" xr:uid="{A60162EB-1322-41E5-8B74-52DA0D6C0C4D}"/>
    <cellStyle name="Total 3 6" xfId="24599" xr:uid="{86906AC4-7B65-4231-8E07-874AED0C3F39}"/>
    <cellStyle name="Total 3 6 2" xfId="24600" xr:uid="{F3DA963A-138E-4D54-A389-21B9C313AFAC}"/>
    <cellStyle name="Total 3 7" xfId="24601" xr:uid="{3C260174-3ED5-4560-B6B9-2D96952B55CE}"/>
    <cellStyle name="Total 3 7 2" xfId="24602" xr:uid="{B5BCA687-6AC0-4CFE-843C-4F3C9A38B4A1}"/>
    <cellStyle name="Total 3 8" xfId="24603" xr:uid="{2FA9E230-6D86-4ADB-B8C9-2619216A4753}"/>
    <cellStyle name="Total 3 8 2" xfId="24604" xr:uid="{8A8DAFE1-9262-4154-879B-26515EE6A0CC}"/>
    <cellStyle name="Total 3 9" xfId="24605" xr:uid="{E4FE5444-8D97-48F5-A617-44F0D99250BD}"/>
    <cellStyle name="Total 3 9 2" xfId="24606" xr:uid="{88D5AF2C-A8BA-4B15-8AF5-06FB1A319ECA}"/>
    <cellStyle name="Total 3_T1 ANSP" xfId="24522" xr:uid="{0562CF26-5C79-47F2-BCCB-4F7FA5D2EDCA}"/>
    <cellStyle name="Total 30" xfId="24607" xr:uid="{6B00C722-1BE8-49A7-A5C9-B853AAB58510}"/>
    <cellStyle name="Total 30 2" xfId="24608" xr:uid="{A1EC3135-D970-49A9-9E7F-5CB31DC123C7}"/>
    <cellStyle name="Total 31" xfId="24609" xr:uid="{A8243CC3-6D2F-44D5-BD67-93F3888BAB9B}"/>
    <cellStyle name="Total 32" xfId="24610" xr:uid="{9815CED4-96D1-4C71-A1E4-AF3BA6FF1C83}"/>
    <cellStyle name="Total 4" xfId="818" xr:uid="{00000000-0005-0000-0000-000019060000}"/>
    <cellStyle name="Total 4 10" xfId="24612" xr:uid="{0B5A7DAD-CDDA-4467-9F7C-7015B3C95E98}"/>
    <cellStyle name="Total 4 10 2" xfId="24613" xr:uid="{2E64DB4C-D6E8-4459-84C6-67F8A502B1C9}"/>
    <cellStyle name="Total 4 11" xfId="24614" xr:uid="{75E4DD49-B2FC-44B0-A316-D43F45FB38AD}"/>
    <cellStyle name="Total 4 11 2" xfId="24615" xr:uid="{57B5F45C-E3F6-4DEB-9471-69177CBE6789}"/>
    <cellStyle name="Total 4 12" xfId="24616" xr:uid="{1F7F2481-F12D-421B-A920-33BD4BD0F8D7}"/>
    <cellStyle name="Total 4 12 2" xfId="24617" xr:uid="{39564C07-174F-47E4-9050-FA1FBBEDA918}"/>
    <cellStyle name="Total 4 13" xfId="24618" xr:uid="{EBBF6BC2-5D6D-449F-9373-642741A59BAD}"/>
    <cellStyle name="Total 4 13 2" xfId="24619" xr:uid="{C29E0022-8B62-4304-9B0B-DD57A22F023D}"/>
    <cellStyle name="Total 4 14" xfId="24620" xr:uid="{AD0F3F59-BEFB-4FCB-9722-4C9580EB2124}"/>
    <cellStyle name="Total 4 2" xfId="1591" xr:uid="{00000000-0005-0000-0000-00001A060000}"/>
    <cellStyle name="Total 4 3" xfId="1584" xr:uid="{00000000-0005-0000-0000-00001B060000}"/>
    <cellStyle name="Total 4 3 2" xfId="24622" xr:uid="{2F2B6693-B77A-4632-95CC-92EA0B8C069C}"/>
    <cellStyle name="Total 4 3_T1 ANSP" xfId="24621" xr:uid="{1245F224-CDE3-4FCE-9A5E-FD690AA6DC82}"/>
    <cellStyle name="Total 4 4" xfId="24623" xr:uid="{3559FF95-015E-4C5F-9F20-7DE7E4785D50}"/>
    <cellStyle name="Total 4 4 2" xfId="24624" xr:uid="{802F365B-F7D7-4562-AE5E-3572BAF3068F}"/>
    <cellStyle name="Total 4 5" xfId="24625" xr:uid="{0F064C58-83E4-4DEC-8C1D-D04B2948FC60}"/>
    <cellStyle name="Total 4 5 2" xfId="24626" xr:uid="{F09FDC34-11F7-40EA-81B9-FE982C0530F0}"/>
    <cellStyle name="Total 4 6" xfId="24627" xr:uid="{4FE51C28-AFEB-445E-AE34-D7A582EBD668}"/>
    <cellStyle name="Total 4 6 2" xfId="24628" xr:uid="{EF97DCEB-2D83-422C-A900-FEFBD7C404F9}"/>
    <cellStyle name="Total 4 7" xfId="24629" xr:uid="{34D77D5E-3D73-46F1-979D-74F40485ECEF}"/>
    <cellStyle name="Total 4 7 2" xfId="24630" xr:uid="{390E142F-B2C9-4E3D-A7E1-59F9FF52E6B3}"/>
    <cellStyle name="Total 4 8" xfId="24631" xr:uid="{CE4C1CEA-9B65-42D7-8F1F-2BE233160EF6}"/>
    <cellStyle name="Total 4 8 2" xfId="24632" xr:uid="{29D98654-B359-4104-8C7E-C32888C6DC88}"/>
    <cellStyle name="Total 4 9" xfId="24633" xr:uid="{C5BAC6FC-DB5D-4666-96AE-5734897FC079}"/>
    <cellStyle name="Total 4 9 2" xfId="24634" xr:uid="{C803030D-D391-406F-9839-34A34A8ED252}"/>
    <cellStyle name="Total 4_T1 ANSP" xfId="24611" xr:uid="{DA47A521-0BF4-471A-A326-B142BAA86D67}"/>
    <cellStyle name="Total 5" xfId="819" xr:uid="{00000000-0005-0000-0000-00001C060000}"/>
    <cellStyle name="Total 5 10" xfId="24636" xr:uid="{9B3BAF72-C288-495B-BEA7-72B7E56C4C86}"/>
    <cellStyle name="Total 5 10 2" xfId="24637" xr:uid="{C4533141-27DB-4647-A42B-3A863682D9B1}"/>
    <cellStyle name="Total 5 11" xfId="24638" xr:uid="{A0DD970B-F12E-4A09-9BD4-DF84A827029B}"/>
    <cellStyle name="Total 5 11 2" xfId="24639" xr:uid="{20C54A6C-9161-45F6-888A-E5E834A45795}"/>
    <cellStyle name="Total 5 12" xfId="24640" xr:uid="{9A2424FF-4FA7-40C9-8190-7064BE2636E9}"/>
    <cellStyle name="Total 5 12 2" xfId="24641" xr:uid="{F6A0A154-492F-4034-9903-2171B4DB02A9}"/>
    <cellStyle name="Total 5 13" xfId="24642" xr:uid="{836AEE37-9AAF-44C5-A60D-BCE486A19739}"/>
    <cellStyle name="Total 5 13 2" xfId="24643" xr:uid="{D6754803-928D-4472-A090-9D8FA8AF8792}"/>
    <cellStyle name="Total 5 14" xfId="24644" xr:uid="{7178E904-810C-49EC-BCE5-B07DDC25E4DD}"/>
    <cellStyle name="Total 5 2" xfId="1592" xr:uid="{00000000-0005-0000-0000-00001D060000}"/>
    <cellStyle name="Total 5 3" xfId="1585" xr:uid="{00000000-0005-0000-0000-00001E060000}"/>
    <cellStyle name="Total 5 3 2" xfId="24646" xr:uid="{F4989669-1686-4CB0-B98B-102F86E896FC}"/>
    <cellStyle name="Total 5 3_T1 ANSP" xfId="24645" xr:uid="{9C36EED8-4EAD-4277-AA2D-D7629EE75EE9}"/>
    <cellStyle name="Total 5 4" xfId="24647" xr:uid="{E466C073-7EC0-4EEE-A3F0-3073C8489982}"/>
    <cellStyle name="Total 5 4 2" xfId="24648" xr:uid="{30A95C27-E6CB-4497-AF71-2BC883F35BE0}"/>
    <cellStyle name="Total 5 5" xfId="24649" xr:uid="{BD594F8B-202B-47B5-9788-90F6044AE6ED}"/>
    <cellStyle name="Total 5 5 2" xfId="24650" xr:uid="{1AD4A3A3-CEA4-4F7B-AD94-0026FA963D88}"/>
    <cellStyle name="Total 5 6" xfId="24651" xr:uid="{3CA32ECB-240E-47F9-85A6-D8F736F53E54}"/>
    <cellStyle name="Total 5 6 2" xfId="24652" xr:uid="{37B6CA39-A2FE-47A9-B459-FFE603C8448F}"/>
    <cellStyle name="Total 5 7" xfId="24653" xr:uid="{4ADBF2C4-B538-4B56-973E-F13BC1B74FDC}"/>
    <cellStyle name="Total 5 7 2" xfId="24654" xr:uid="{09184109-6CE4-4E53-9F1D-EB22184A7E27}"/>
    <cellStyle name="Total 5 8" xfId="24655" xr:uid="{ED968042-2B84-43CC-B1AE-323476D3FB2E}"/>
    <cellStyle name="Total 5 8 2" xfId="24656" xr:uid="{A64EF271-8F5A-4615-9FCC-5309297DA36C}"/>
    <cellStyle name="Total 5 9" xfId="24657" xr:uid="{C7A2F2A9-82C3-4AF3-BC35-7829C5AD32B1}"/>
    <cellStyle name="Total 5 9 2" xfId="24658" xr:uid="{7485711A-21AD-4655-96E8-E81343EFADAA}"/>
    <cellStyle name="Total 5_T1 ANSP" xfId="24635" xr:uid="{577E20C4-F70A-4207-9D08-F323BAFBBCBF}"/>
    <cellStyle name="Total 6" xfId="24659" xr:uid="{43EB6A90-90DA-4780-B494-F9F64E3883B6}"/>
    <cellStyle name="Total 6 10" xfId="24660" xr:uid="{861CC099-71CD-4B24-9DD7-57BDC6CDE85E}"/>
    <cellStyle name="Total 6 10 2" xfId="24661" xr:uid="{80609508-9C38-4EAA-843B-0D55C5677888}"/>
    <cellStyle name="Total 6 11" xfId="24662" xr:uid="{7C787409-D8C2-4EC1-8456-06DB0ACDD740}"/>
    <cellStyle name="Total 6 11 2" xfId="24663" xr:uid="{9AD93E7A-8925-4E84-A4B6-F5B243EE31CA}"/>
    <cellStyle name="Total 6 12" xfId="24664" xr:uid="{1AB213DC-C7AD-44E3-8E64-4870F79F4A83}"/>
    <cellStyle name="Total 6 12 2" xfId="24665" xr:uid="{6B01F47D-12C3-4A1D-AF17-09848F560424}"/>
    <cellStyle name="Total 6 13" xfId="24666" xr:uid="{A1B85214-F50F-40AF-A0BE-6050CBFF4AED}"/>
    <cellStyle name="Total 6 13 2" xfId="24667" xr:uid="{F4EBB267-ED06-4062-9079-2F37B35B141C}"/>
    <cellStyle name="Total 6 2" xfId="24668" xr:uid="{60C6F456-CF37-4AF3-B5AC-ECEF72B757CB}"/>
    <cellStyle name="Total 6 3" xfId="24669" xr:uid="{C88290A9-2A60-4E28-B22B-784B6787278F}"/>
    <cellStyle name="Total 6 3 2" xfId="24670" xr:uid="{8D1A2FEC-D135-4A3E-8557-6DBFC997D4DD}"/>
    <cellStyle name="Total 6 4" xfId="24671" xr:uid="{BD435746-2F3B-4418-87C6-B4C782133FA3}"/>
    <cellStyle name="Total 6 4 2" xfId="24672" xr:uid="{5A7D1AB6-8F56-481F-80DC-17E83ED74759}"/>
    <cellStyle name="Total 6 5" xfId="24673" xr:uid="{57665BBB-7475-401E-9B8B-DE1F80FA85C7}"/>
    <cellStyle name="Total 6 5 2" xfId="24674" xr:uid="{4925F245-2080-4FC9-A260-2267BCA8F97B}"/>
    <cellStyle name="Total 6 6" xfId="24675" xr:uid="{F5B5A6A5-4BC2-4911-909E-1F4C44FE68F0}"/>
    <cellStyle name="Total 6 6 2" xfId="24676" xr:uid="{E309AACE-FA8A-4CE0-A30B-2082E4393D8A}"/>
    <cellStyle name="Total 6 7" xfId="24677" xr:uid="{84695A01-B699-466A-883A-6333A5A28945}"/>
    <cellStyle name="Total 6 7 2" xfId="24678" xr:uid="{8354DEE7-1AA4-4FB3-83EC-BBB0506121A2}"/>
    <cellStyle name="Total 6 8" xfId="24679" xr:uid="{5460FF0F-5C14-4EC6-8232-88205D4AB1EA}"/>
    <cellStyle name="Total 6 8 2" xfId="24680" xr:uid="{511CF440-FD09-4495-B976-2DB9F594524C}"/>
    <cellStyle name="Total 6 9" xfId="24681" xr:uid="{FC66C56A-33E8-4E66-9BBD-353C1E24EA3B}"/>
    <cellStyle name="Total 6 9 2" xfId="24682" xr:uid="{FDCEBBFC-F3DD-4E8A-BD6B-41B2A417BC1C}"/>
    <cellStyle name="Total 7" xfId="24683" xr:uid="{4AEE71A7-C918-4222-967E-07CA79B7B27A}"/>
    <cellStyle name="Total 8" xfId="24684" xr:uid="{B94BFC72-B5BE-481A-A618-525775E8DA1F}"/>
    <cellStyle name="Total 9" xfId="24685" xr:uid="{76617D2F-543D-4E58-87B6-50A041BBD56C}"/>
    <cellStyle name="Total 9 2" xfId="24686" xr:uid="{728EA3D1-6049-4BD6-80DC-F16B1900D761}"/>
    <cellStyle name="Totals" xfId="820" xr:uid="{00000000-0005-0000-0000-00001F060000}"/>
    <cellStyle name="Totals 2" xfId="1593" xr:uid="{00000000-0005-0000-0000-000020060000}"/>
    <cellStyle name="Totals 3" xfId="1586" xr:uid="{00000000-0005-0000-0000-000021060000}"/>
    <cellStyle name="Totals_T1 ANSP" xfId="24687" xr:uid="{3988BF51-78C5-486C-91C8-289C862BE04B}"/>
    <cellStyle name="tr" xfId="821" xr:uid="{00000000-0005-0000-0000-000022060000}"/>
    <cellStyle name="Tulostus" xfId="822" xr:uid="{00000000-0005-0000-0000-000023060000}"/>
    <cellStyle name="Tulostus 10" xfId="24689" xr:uid="{E6061058-02C5-4DA6-8D99-EDF6F90B8068}"/>
    <cellStyle name="Tulostus 10 2" xfId="24690" xr:uid="{52AE6DF7-572A-48EC-B26D-CF5C2C042A05}"/>
    <cellStyle name="Tulostus 11" xfId="24691" xr:uid="{C351E6BC-CBA5-42BB-A2DC-2375D06274E0}"/>
    <cellStyle name="Tulostus 11 2" xfId="24692" xr:uid="{40F0EBC5-6B32-4223-A8D9-51F608FD0571}"/>
    <cellStyle name="Tulostus 12" xfId="24693" xr:uid="{D4E92325-EE51-459F-A876-520B2B5D7FD3}"/>
    <cellStyle name="Tulostus 12 2" xfId="24694" xr:uid="{66A9C899-0660-4AFB-92F4-C76DEF2625FD}"/>
    <cellStyle name="Tulostus 13" xfId="24695" xr:uid="{AE24D698-6AE2-44B0-BBDB-7E99880EB010}"/>
    <cellStyle name="Tulostus 13 2" xfId="24696" xr:uid="{DC8473C5-FA1C-4CBB-B0E5-7B1723B3D644}"/>
    <cellStyle name="Tulostus 14" xfId="24697" xr:uid="{88C3C29B-9536-4D12-852A-F6A8D63B0256}"/>
    <cellStyle name="Tulostus 14 2" xfId="24698" xr:uid="{E63A6BA4-F13D-4AFF-AA6C-5217F697F6CC}"/>
    <cellStyle name="Tulostus 15" xfId="24699" xr:uid="{950BC6AB-1F88-4501-92D3-DF6442CC2FDA}"/>
    <cellStyle name="Tulostus 15 2" xfId="24700" xr:uid="{599D3646-F994-4964-9BC6-6D9E2964CC05}"/>
    <cellStyle name="Tulostus 16" xfId="24701" xr:uid="{4411BB38-72E7-4304-99D4-E67D21B66A3A}"/>
    <cellStyle name="Tulostus 2" xfId="1594" xr:uid="{00000000-0005-0000-0000-000024060000}"/>
    <cellStyle name="Tulostus 2 2" xfId="24703" xr:uid="{998C4C10-1E32-45C1-A50F-848371DA5312}"/>
    <cellStyle name="Tulostus 2_T1 ANSP" xfId="24702" xr:uid="{157AFF62-763F-49CA-A1BF-58DC0270468A}"/>
    <cellStyle name="Tulostus 3" xfId="1587" xr:uid="{00000000-0005-0000-0000-000025060000}"/>
    <cellStyle name="Tulostus 3 2" xfId="24705" xr:uid="{09FB833D-D556-4586-B93C-E7717BBF6DF5}"/>
    <cellStyle name="Tulostus 3_T1 ANSP" xfId="24704" xr:uid="{5CC55574-60EB-45F2-AE4B-B466186CEF44}"/>
    <cellStyle name="Tulostus 4" xfId="24706" xr:uid="{DB804EA9-E131-4E3B-8899-5A19A8148F11}"/>
    <cellStyle name="Tulostus 4 2" xfId="24707" xr:uid="{D5E03585-F71C-490C-8643-E9DCCBC9A24E}"/>
    <cellStyle name="Tulostus 5" xfId="24708" xr:uid="{CE9EBC37-55B3-4A56-BE64-C6F24827AF1E}"/>
    <cellStyle name="Tulostus 5 2" xfId="24709" xr:uid="{8D2EA919-6229-4DB6-B29F-05F52FE122D3}"/>
    <cellStyle name="Tulostus 6" xfId="24710" xr:uid="{AA26C5FB-FF0A-4096-BD65-D5BCE1ACC92C}"/>
    <cellStyle name="Tulostus 6 2" xfId="24711" xr:uid="{F955BEC9-A959-4D49-9BCA-F62D51B9DC39}"/>
    <cellStyle name="Tulostus 7" xfId="24712" xr:uid="{1BA65AA5-3271-4216-BD1D-F98EDAF6804F}"/>
    <cellStyle name="Tulostus 7 2" xfId="24713" xr:uid="{A928778B-F13B-433D-8473-8CEBA9612E15}"/>
    <cellStyle name="Tulostus 8" xfId="24714" xr:uid="{E7A78052-094B-431B-8C6F-A6DD97F761C2}"/>
    <cellStyle name="Tulostus 8 2" xfId="24715" xr:uid="{208FBBA6-5671-4E0F-B4E1-B8173CEBACA1}"/>
    <cellStyle name="Tulostus 9" xfId="24716" xr:uid="{D4E994E2-77FE-42A6-9736-D145B1FC3EB4}"/>
    <cellStyle name="Tulostus 9 2" xfId="24717" xr:uid="{9500FA6F-C166-4838-9DCE-45A43EE49DC6}"/>
    <cellStyle name="Tulostus_T1 ANSP" xfId="24688" xr:uid="{63BF901A-B4C6-42FC-A25A-EEB357FCAB98}"/>
    <cellStyle name="Überschrift" xfId="823" xr:uid="{00000000-0005-0000-0000-000026060000}"/>
    <cellStyle name="Überschrift 1" xfId="824" xr:uid="{00000000-0005-0000-0000-000027060000}"/>
    <cellStyle name="Überschrift 2" xfId="825" xr:uid="{00000000-0005-0000-0000-000028060000}"/>
    <cellStyle name="Überschrift 3" xfId="826" xr:uid="{00000000-0005-0000-0000-000029060000}"/>
    <cellStyle name="Überschrift 4" xfId="827" xr:uid="{00000000-0005-0000-0000-00002A060000}"/>
    <cellStyle name="Überschrift_CRCO_macros" xfId="828" xr:uid="{00000000-0005-0000-0000-00002B060000}"/>
    <cellStyle name="Ugyldig" xfId="829" xr:uid="{00000000-0005-0000-0000-00002C060000}"/>
    <cellStyle name="Under Construction Flag" xfId="830" xr:uid="{00000000-0005-0000-0000-00002D060000}"/>
    <cellStyle name="Under Construction Flag 2" xfId="1089" xr:uid="{00000000-0005-0000-0000-00002E060000}"/>
    <cellStyle name="Under Construction Flag_T1 ANSP" xfId="24718" xr:uid="{4D6295E0-9E97-45E5-9EA6-C63BCE9A7DCE}"/>
    <cellStyle name="UserInstructions" xfId="831" xr:uid="{00000000-0005-0000-0000-00002F060000}"/>
    <cellStyle name="Utdata" xfId="832" xr:uid="{00000000-0005-0000-0000-000030060000}"/>
    <cellStyle name="Utdata 2" xfId="1596" xr:uid="{00000000-0005-0000-0000-000031060000}"/>
    <cellStyle name="Utdata 3" xfId="1588" xr:uid="{00000000-0005-0000-0000-000032060000}"/>
    <cellStyle name="Utdata_T1 ANSP" xfId="24719" xr:uid="{BF8F44A9-4CA2-4F1B-AD7F-EFDD9E91852D}"/>
    <cellStyle name="Väljund" xfId="833" xr:uid="{00000000-0005-0000-0000-000033060000}"/>
    <cellStyle name="Väljund 2" xfId="1272" xr:uid="{00000000-0005-0000-0000-000034060000}"/>
    <cellStyle name="Väljund 2 2" xfId="1597" xr:uid="{00000000-0005-0000-0000-000035060000}"/>
    <cellStyle name="Väljund 2_T1 ANSP" xfId="24721" xr:uid="{C7D65E49-A3F2-46CF-BD5F-664DFD6D90C2}"/>
    <cellStyle name="Väljund 3" xfId="1273" xr:uid="{00000000-0005-0000-0000-000036060000}"/>
    <cellStyle name="Väljund_T1 ANSP" xfId="24720" xr:uid="{EE18FF44-EB03-4C4B-8D1B-22FC1BB9D8F1}"/>
    <cellStyle name="Valuta (0)_Brazil" xfId="834" xr:uid="{00000000-0005-0000-0000-000037060000}"/>
    <cellStyle name="Valuta 2" xfId="835" xr:uid="{00000000-0005-0000-0000-000038060000}"/>
    <cellStyle name="Valuutta_Layo9704" xfId="24722" xr:uid="{3F1856AA-0F8B-4B38-99EE-321A11841104}"/>
    <cellStyle name="Varningstext" xfId="836" xr:uid="{00000000-0005-0000-0000-000039060000}"/>
    <cellStyle name="Varoitusteksti" xfId="837" xr:uid="{00000000-0005-0000-0000-00003A060000}"/>
    <cellStyle name="Vérification" xfId="838" xr:uid="{00000000-0005-0000-0000-00003B060000}"/>
    <cellStyle name="Vérification 2" xfId="1274" xr:uid="{00000000-0005-0000-0000-00003C060000}"/>
    <cellStyle name="Vérification_T1 ANSP" xfId="24723" xr:uid="{7B31C1FA-6421-4774-9300-0BC1AEC6325C}"/>
    <cellStyle name="Verknüpfte Zelle" xfId="839" xr:uid="{00000000-0005-0000-0000-00003D060000}"/>
    <cellStyle name="Very Large" xfId="840" xr:uid="{00000000-0005-0000-0000-00003E060000}"/>
    <cellStyle name="Währung [0]_aM120029" xfId="841" xr:uid="{00000000-0005-0000-0000-00003F060000}"/>
    <cellStyle name="Währung[0]" xfId="24724" xr:uid="{931CE29D-C30E-4D32-B9A1-DD204F39D2DF}"/>
    <cellStyle name="Währung_aM120029" xfId="842" xr:uid="{00000000-0005-0000-0000-000040060000}"/>
    <cellStyle name="Warnender Text" xfId="843" xr:uid="{00000000-0005-0000-0000-000041060000}"/>
    <cellStyle name="Warning Text 2" xfId="844" xr:uid="{00000000-0005-0000-0000-000042060000}"/>
    <cellStyle name="Warning Text 2 2" xfId="24726" xr:uid="{0E001588-6A3A-4985-A56E-5933D0756E6C}"/>
    <cellStyle name="Warning Text 2_T1 ANSP" xfId="24725" xr:uid="{03EF9A4B-9028-4922-9CEF-CA8656C34DF5}"/>
    <cellStyle name="Warning Text 3" xfId="24727" xr:uid="{A8F41610-76D2-4CFE-A6F0-0A1AB0B70884}"/>
    <cellStyle name="WingDings" xfId="845" xr:uid="{00000000-0005-0000-0000-000043060000}"/>
    <cellStyle name="WIP" xfId="846" xr:uid="{00000000-0005-0000-0000-000044060000}"/>
    <cellStyle name="Year" xfId="24728" xr:uid="{B25ADAED-B9D5-4B06-8D29-50450E27DCB8}"/>
    <cellStyle name="yearformat" xfId="24729" xr:uid="{CF912A00-0B09-449F-AE1E-3F0E2FBBA7BA}"/>
    <cellStyle name="YearHeader" xfId="24730" xr:uid="{2AB5A945-EF88-48FE-A617-47D1A8345181}"/>
    <cellStyle name="YearHeader 2" xfId="24731" xr:uid="{E6A57051-6CB4-4AFF-88AA-FB08A723E0A4}"/>
    <cellStyle name="YearHeader 2 2" xfId="24732" xr:uid="{E5E60B5A-FBFC-42EE-B0B2-B86F49840D86}"/>
    <cellStyle name="YearHeader 3" xfId="24733" xr:uid="{8A82F272-4599-4F97-85C1-961381733E1C}"/>
    <cellStyle name="YearHeader 3 2" xfId="24734" xr:uid="{DC312619-DBDB-400B-B2FD-55F188DCADD4}"/>
    <cellStyle name="YearHeader 4" xfId="24735" xr:uid="{1FD4026A-F4E7-4BAC-B6AE-2BD8D23641D1}"/>
    <cellStyle name="YearHeader 4 2" xfId="24736" xr:uid="{0B769420-84FA-4868-B71B-9BDFBCEC94CB}"/>
    <cellStyle name="YearHeader 5" xfId="24737" xr:uid="{5250835D-03B4-427C-901E-BC1CB00FE034}"/>
    <cellStyle name="YearHeader 5 2" xfId="24738" xr:uid="{74D7E2CB-AAED-4014-84FB-EC5EDD3F85EE}"/>
    <cellStyle name="YearHeader 6" xfId="24739" xr:uid="{CD5BFDA8-A6D8-42D2-9D95-074CD3C0EADE}"/>
    <cellStyle name="YearHeader 6 2" xfId="24740" xr:uid="{A0833FFD-0F8E-48D3-A14F-E41A4CBCF28E}"/>
    <cellStyle name="YearHeader 7" xfId="24741" xr:uid="{12CBB0D0-0D30-4E81-B7CA-F8D02A074F7C}"/>
    <cellStyle name="Zelle überprüfen" xfId="847" xr:uid="{00000000-0005-0000-0000-000045060000}"/>
    <cellStyle name="標準_Rolling Forward the RAB - Sept 05 -v8" xfId="24742" xr:uid="{34241CA3-B861-4D30-9250-AFDEC1993EF7}"/>
  </cellStyles>
  <dxfs count="765">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59531</xdr:colOff>
      <xdr:row>1</xdr:row>
      <xdr:rowOff>23812</xdr:rowOff>
    </xdr:from>
    <xdr:to>
      <xdr:col>12</xdr:col>
      <xdr:colOff>904875</xdr:colOff>
      <xdr:row>34</xdr:row>
      <xdr:rowOff>23812</xdr:rowOff>
    </xdr:to>
    <xdr:cxnSp macro="">
      <xdr:nvCxnSpPr>
        <xdr:cNvPr id="3" name="Straight Connector 2">
          <a:extLst>
            <a:ext uri="{FF2B5EF4-FFF2-40B4-BE49-F238E27FC236}">
              <a16:creationId xmlns:a16="http://schemas.microsoft.com/office/drawing/2014/main" id="{C943DD71-3F6C-E157-EDC2-BAFFEFAEC716}"/>
            </a:ext>
          </a:extLst>
        </xdr:cNvPr>
        <xdr:cNvCxnSpPr/>
      </xdr:nvCxnSpPr>
      <xdr:spPr>
        <a:xfrm flipV="1">
          <a:off x="154781" y="190500"/>
          <a:ext cx="12072938" cy="6929437"/>
        </a:xfrm>
        <a:prstGeom prst="line">
          <a:avLst/>
        </a:prstGeom>
        <a:ln w="34925"/>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392906</xdr:colOff>
      <xdr:row>14</xdr:row>
      <xdr:rowOff>83343</xdr:rowOff>
    </xdr:from>
    <xdr:to>
      <xdr:col>7</xdr:col>
      <xdr:colOff>273844</xdr:colOff>
      <xdr:row>16</xdr:row>
      <xdr:rowOff>130969</xdr:rowOff>
    </xdr:to>
    <xdr:sp macro="" textlink="">
      <xdr:nvSpPr>
        <xdr:cNvPr id="4" name="TextBox 3">
          <a:extLst>
            <a:ext uri="{FF2B5EF4-FFF2-40B4-BE49-F238E27FC236}">
              <a16:creationId xmlns:a16="http://schemas.microsoft.com/office/drawing/2014/main" id="{099C425F-349D-167C-6418-531EBA4F809E}"/>
            </a:ext>
          </a:extLst>
        </xdr:cNvPr>
        <xdr:cNvSpPr txBox="1"/>
      </xdr:nvSpPr>
      <xdr:spPr>
        <a:xfrm>
          <a:off x="5036344" y="3071812"/>
          <a:ext cx="2667000" cy="5000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solidFill>
                <a:srgbClr val="FF0000"/>
              </a:solidFill>
            </a:rPr>
            <a:t>NOT USED FOR NR23</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HBRUNA30\dgof-pru$\TEMP\ENROUTE_00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801026/AppData/Local/Microsoft/Windows/INetCache/Content.Outlook/DJOXNDAW/INEA%20Funding%20Workbook%202020%20Sep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HBRUNA30\dgof-pru$\LS\A\Ae\Fakturering\&#197;rsfakturering\2008\Masterfiler%202008\Flygskolor%202008\FTO%20Faktureringsunderlag%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15-paris-dna\VOL1\TEMP\ENROUTE_00_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HBRUNA30\dgof-pru$\TEMP\unit%20rate%20tables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HBRUNA30\dgof-pru$\RRIDER\COSTBASE\2000\final\2000finalwor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ams/FinNERL/NERLfinance/FY2223/Annual%20Tasks/Reg%20Accounts/Dec22/Reg%20Accounts%202022%20v02%20(post%20EC%20late%20chang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ext-cmg-nr23-consultant-work-fti-and-gt/Shared%20Documents/Modelling%20Outputs/19.10%20-%20Updated%20model/CAA%20NERL%20PCM_09v.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801026/AppData/Local/Microsoft/Windows/INetCache/Content.Outlook/DJOXNDAW/RP3%20cost%20reporting%20June%202020%20(00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803427/AppData/Local/Microsoft/Windows/INetCache/Content.Outlook/BX28D31J/INEA%20funding%202019%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F"/>
      <sheetName val="texts"/>
      <sheetName val="view"/>
      <sheetName val="exploitation"/>
      <sheetName val="base_en_route"/>
      <sheetName val="finances"/>
      <sheetName val="calcul"/>
      <sheetName val="EUR"/>
      <sheetName val="verif_99"/>
      <sheetName val="prev00_3"/>
      <sheetName val="prev01_1"/>
      <sheetName val="COL1"/>
      <sheetName val="COL2"/>
      <sheetName val="COL3"/>
      <sheetName val="COL4"/>
      <sheetName val="COL5"/>
      <sheetName val="COL6"/>
      <sheetName val="COL7"/>
      <sheetName val="COL8"/>
      <sheetName val="HYPO"/>
    </sheetNames>
    <sheetDataSet>
      <sheetData sheetId="0" refreshError="1">
        <row r="8">
          <cell r="F8">
            <v>40.3399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Tables"/>
      <sheetName val="Repayment 2020"/>
      <sheetName val="Repayment 2019"/>
      <sheetName val="Principles per Consultation"/>
      <sheetName val="Interest Journal"/>
    </sheetNames>
    <sheetDataSet>
      <sheetData sheetId="0"/>
      <sheetData sheetId="1">
        <row r="7">
          <cell r="E7">
            <v>10476025.75</v>
          </cell>
        </row>
        <row r="33">
          <cell r="E33">
            <v>8044765.3099999996</v>
          </cell>
        </row>
      </sheetData>
      <sheetData sheetId="2"/>
      <sheetData sheetId="3"/>
      <sheetData sheetId="4">
        <row r="58">
          <cell r="H58">
            <v>6067834.0228433972</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ways Flygutbildning Svenska "/>
      <sheetName val="Arlanda Helicopter AB"/>
      <sheetName val="BF Scand. Aviation Academy AB"/>
      <sheetName val="Flygteoriskolan Barkarby AB"/>
      <sheetName val="Flyguppdraget Backamo AB"/>
      <sheetName val="Kungsair Training AB"/>
      <sheetName val="Lid Air AB"/>
      <sheetName val="Linköpings Flygklubb"/>
      <sheetName val="Lunds Universitet Trafikflygsko"/>
      <sheetName val="Norrlandsflyg AB"/>
      <sheetName val="Proflight Nordic AB"/>
      <sheetName val="Sturup IFR AB"/>
      <sheetName val="Svenska Pilotutbildning AB"/>
      <sheetName val="Flight Crew Traning Sw AB"/>
      <sheetName val="Rikskriminalpolisen, polisflyge"/>
      <sheetName val="Nytt företag"/>
      <sheetName val="Nytt företag 2"/>
      <sheetName val="Nytt företag 3"/>
      <sheetName val="Nytt företag 4"/>
      <sheetName val="Nytt företag 5"/>
      <sheetName val="Nytt företag 6"/>
      <sheetName val="Nytt företag 7"/>
      <sheetName val="Nytt företag 8"/>
      <sheetName val="Nytt företag 9"/>
      <sheetName val="Indata Flygskolor"/>
      <sheetName val="Airways_Flygutbildning_Svenska_"/>
      <sheetName val="Arlanda_Helicopter_AB"/>
      <sheetName val="BF_Scand__Aviation_Academy_AB"/>
      <sheetName val="Flygteoriskolan_Barkarby_AB"/>
      <sheetName val="Flyguppdraget_Backamo_AB"/>
      <sheetName val="Kungsair_Training_AB"/>
      <sheetName val="Lid_Air_AB"/>
      <sheetName val="Linköpings_Flygklubb"/>
      <sheetName val="Lunds_Universitet_Trafikflygsko"/>
      <sheetName val="Norrlandsflyg_AB"/>
      <sheetName val="Proflight_Nordic_AB"/>
      <sheetName val="Sturup_IFR_AB"/>
      <sheetName val="Svenska_Pilotutbildning_AB"/>
      <sheetName val="Flight_Crew_Traning_Sw_AB"/>
      <sheetName val="Rikskriminalpolisen,_polisflyge"/>
      <sheetName val="Nytt_företag"/>
      <sheetName val="Nytt_företag_2"/>
      <sheetName val="Nytt_företag_3"/>
      <sheetName val="Nytt_företag_4"/>
      <sheetName val="Nytt_företag_5"/>
      <sheetName val="Nytt_företag_6"/>
      <sheetName val="Nytt_företag_7"/>
      <sheetName val="Nytt_företag_8"/>
      <sheetName val="Nytt_företag_9"/>
      <sheetName val="Indata_Flygsko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
          <cell r="A6">
            <v>1</v>
          </cell>
        </row>
        <row r="7">
          <cell r="A7">
            <v>2</v>
          </cell>
        </row>
        <row r="8">
          <cell r="A8">
            <v>3</v>
          </cell>
        </row>
        <row r="9">
          <cell r="A9">
            <v>4</v>
          </cell>
        </row>
        <row r="10">
          <cell r="A10">
            <v>5</v>
          </cell>
        </row>
        <row r="11">
          <cell r="A11">
            <v>6</v>
          </cell>
        </row>
        <row r="12">
          <cell r="A12">
            <v>7</v>
          </cell>
        </row>
        <row r="13">
          <cell r="A13">
            <v>8</v>
          </cell>
        </row>
        <row r="14">
          <cell r="A14">
            <v>9</v>
          </cell>
        </row>
        <row r="15">
          <cell r="A15">
            <v>10</v>
          </cell>
        </row>
        <row r="16">
          <cell r="A16">
            <v>11</v>
          </cell>
        </row>
        <row r="17">
          <cell r="A17">
            <v>12</v>
          </cell>
        </row>
        <row r="18">
          <cell r="A18">
            <v>13</v>
          </cell>
        </row>
        <row r="19">
          <cell r="A19">
            <v>14</v>
          </cell>
        </row>
        <row r="20">
          <cell r="A20">
            <v>15</v>
          </cell>
        </row>
        <row r="21">
          <cell r="A21">
            <v>16</v>
          </cell>
        </row>
        <row r="22">
          <cell r="A22">
            <v>17</v>
          </cell>
        </row>
        <row r="23">
          <cell r="A23">
            <v>18</v>
          </cell>
        </row>
        <row r="24">
          <cell r="A24">
            <v>19</v>
          </cell>
        </row>
        <row r="25">
          <cell r="A25">
            <v>20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xts"/>
      <sheetName val="view"/>
      <sheetName val="exploitation"/>
      <sheetName val="base_en_route"/>
      <sheetName val="finances"/>
      <sheetName val="calcul"/>
      <sheetName val="EUR"/>
      <sheetName val="BEF"/>
      <sheetName val="verif_99"/>
      <sheetName val="prev00_3"/>
      <sheetName val="prev01_1"/>
      <sheetName val="COL1"/>
      <sheetName val="COL2"/>
      <sheetName val="COL3"/>
      <sheetName val="COL4"/>
      <sheetName val="COL5"/>
      <sheetName val="COL6"/>
      <sheetName val="COL7"/>
      <sheetName val="COL8"/>
      <sheetName val="HY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F8">
            <v>40.3399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inputs"/>
      <sheetName val="BEF"/>
    </sheet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control detail"/>
      <sheetName val="DETR"/>
      <sheetName val="Rate composition"/>
      <sheetName val="forecasts and actuals"/>
      <sheetName val="implied rate 2000 Qtr2"/>
      <sheetName val="implied rate 2000 Qtr2R)"/>
      <sheetName val=" rate 2000 Qtr2 readjusted"/>
      <sheetName val="IE recalculation BP"/>
      <sheetName val="IE treatment"/>
      <sheetName val="Inflation"/>
      <sheetName val="Slide 3"/>
      <sheetName val="Slide 4"/>
      <sheetName val="Schedule 1 EC paper"/>
      <sheetName val="Schedule 2 EC paper"/>
      <sheetName val="Schedule 1 cons paper "/>
      <sheetName val="Schedule 2 cons paper"/>
      <sheetName val="Summary - Schedule 3 cons"/>
      <sheetName val="1999 var cons - Schedule 4 "/>
      <sheetName val="2000 var cons - Schedule 5"/>
      <sheetName val="Summary - Schedule 3"/>
      <sheetName val="Cost bases"/>
      <sheetName val="UKATS presentation phasing"/>
      <sheetName val="Forecast"/>
      <sheetName val="Bases"/>
      <sheetName val="UKATS"/>
      <sheetName val="Summary results"/>
      <sheetName val="Agency costs data"/>
      <sheetName val="Agency costs - history"/>
      <sheetName val="Agency costs"/>
      <sheetName val="97decact"/>
      <sheetName val="98maract"/>
      <sheetName val="99marbud"/>
      <sheetName val="98decact"/>
      <sheetName val="tblMapDescriptions"/>
      <sheetName val="qry99MarEnRoute"/>
      <sheetName val="qrybudget2000"/>
      <sheetName val="timetable"/>
      <sheetName val="Forecasts and B plans"/>
      <sheetName val="Eurocontrol_detail"/>
      <sheetName val="Rate_composition"/>
      <sheetName val="forecasts_and_actuals"/>
      <sheetName val="implied_rate_2000_Qtr2"/>
      <sheetName val="implied_rate_2000_Qtr2R)"/>
      <sheetName val="_rate_2000_Qtr2_readjusted"/>
      <sheetName val="IE_recalculation_BP"/>
      <sheetName val="IE_treatment"/>
      <sheetName val="Slide_3"/>
      <sheetName val="Slide_4"/>
      <sheetName val="Schedule_1_EC_paper"/>
      <sheetName val="Schedule_2_EC_paper"/>
      <sheetName val="Schedule_1_cons_paper_"/>
      <sheetName val="Schedule_2_cons_paper"/>
      <sheetName val="Summary_-_Schedule_3_cons"/>
      <sheetName val="1999_var_cons_-_Schedule_4_"/>
      <sheetName val="2000_var_cons_-_Schedule_5"/>
      <sheetName val="Summary_-_Schedule_3"/>
      <sheetName val="Cost_bases"/>
      <sheetName val="UKATS_presentation_phasing"/>
      <sheetName val="Summary_results"/>
      <sheetName val="Agency_costs_data"/>
      <sheetName val="Agency_costs_-_history"/>
      <sheetName val="Agency_costs"/>
      <sheetName val="Forecasts_and_B_plans"/>
      <sheetName val="IV dir._Technosky_2011"/>
      <sheetName val="IV dir._Technosky_201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Index Tab"/>
      <sheetName val="RSL P+L 2223"/>
      <sheetName val="RSL P+L 2022"/>
      <sheetName val="RSL P+L 2021"/>
      <sheetName val="RSL P+L 2020"/>
      <sheetName val="RSL Assets Q2 2023"/>
      <sheetName val="RSL Assets May 2023"/>
      <sheetName val="RSL Assets Q1 2023"/>
      <sheetName val="RSL Assets Q3 2022"/>
      <sheetName val="RSL Assets Q1 2022"/>
      <sheetName val="RSL Assets 2022"/>
      <sheetName val="RSL Assets 2021"/>
      <sheetName val="RSL Assets 2020"/>
      <sheetName val="Revenue 2022"/>
      <sheetName val="Revenue 2021"/>
      <sheetName val="Revenue 2020"/>
      <sheetName val="Other Income 2022"/>
      <sheetName val="Other Income 2021"/>
      <sheetName val="Other Income 2020"/>
      <sheetName val="Cap Labour 2022"/>
      <sheetName val="Cap Labour 2021"/>
      <sheetName val="Cap Labour 2020"/>
      <sheetName val="Euro Check 2022"/>
      <sheetName val="Euro Check 2021"/>
      <sheetName val="Euro Check 2020"/>
      <sheetName val="Euro Rev 2022"/>
      <sheetName val="Euro Rev 2021"/>
      <sheetName val="Euro Rev 2020"/>
      <sheetName val="Renenue Summary 2022"/>
      <sheetName val="Renenue Summary 2021"/>
      <sheetName val="Renenue Summary 2020"/>
      <sheetName val="Lookups"/>
      <sheetName val="RP3 Performance statement"/>
      <sheetName val="RP3 RAB"/>
      <sheetName val="NR23 Performance statement"/>
      <sheetName val="NR23 RAB"/>
      <sheetName val="Manual Revenue Adjustments"/>
      <sheetName val="Manual Cost Adjustments"/>
      <sheetName val="Calcs - CRCO"/>
      <sheetName val="Calcs - PS"/>
      <sheetName val="Calcs - RAB"/>
      <sheetName val="Calcs - CFC"/>
      <sheetName val="RPI CPI Wedge UKATS"/>
      <sheetName val="RPI CPI Wedge Ocean"/>
      <sheetName val="Indexation"/>
      <sheetName val="CY22 Operating Costs v RBP"/>
      <sheetName val="RSL from rBP CY22"/>
      <sheetName val="Performance Statement"/>
      <sheetName val="PS Checks and Recs"/>
      <sheetName val="RAB Movements"/>
      <sheetName val="RP3 to date RAB bridge"/>
      <sheetName val="Quarterly RABs NR23"/>
      <sheetName val="Quarterly RABs RP3"/>
      <sheetName val="Quarterly RABs (Mar22 V3)"/>
      <sheetName val="Quarterly RABs (Mar22 V2)"/>
      <sheetName val="Quarterly RABs (Mar22 V1)"/>
      <sheetName val="Quarterly RABs VO Sep22 v3"/>
      <sheetName val="Quarterly RABs VO Sep22 v2"/>
      <sheetName val="Quarterly RABs VO Sep22 v1"/>
      <sheetName val="Additional Tables - audited"/>
      <sheetName val="Additional Tables - unaudited"/>
      <sheetName val="Tables 15 &amp; 16 - Traffic"/>
      <sheetName val="Table 25 - UKATS Analysis"/>
      <sheetName val="ACOG and OFF cash_adj"/>
      <sheetName val="Tables 18 to 20 - RP3 Baseline "/>
      <sheetName val="CAA BP Template"/>
      <sheetName val="Table 12 - UKATS DB P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138">
          <cell r="I138">
            <v>421.64390419992748</v>
          </cell>
        </row>
        <row r="167">
          <cell r="I167">
            <v>5.6719720999999996</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gt;&gt;&gt;"/>
      <sheetName val="Introduction"/>
      <sheetName val="Version log"/>
      <sheetName val="Map"/>
      <sheetName val="Key"/>
      <sheetName val="RAB Rulebook_UKATS"/>
      <sheetName val="RAB Rulebook_Oceanic"/>
      <sheetName val="Control&gt;&gt;&gt;"/>
      <sheetName val="Checks"/>
      <sheetName val="Macro"/>
      <sheetName val="Inputs&gt;&gt;&gt;"/>
      <sheetName val="I_Global"/>
      <sheetName val="I_Series UKATS"/>
      <sheetName val="I_InputSets UKATS"/>
      <sheetName val="I_Series Oceanic"/>
      <sheetName val="I_InputSets Oceanic"/>
      <sheetName val="I_Series NERL"/>
      <sheetName val="I_InputSets NERL"/>
      <sheetName val="I_Scenarios"/>
      <sheetName val="I_Actuals"/>
      <sheetName val="I_Ratios"/>
      <sheetName val="I_PCFM_v3"/>
      <sheetName val="Calcs&gt;&gt;&gt;"/>
      <sheetName val="C_Time"/>
      <sheetName val="C_Index"/>
      <sheetName val="C_Capex_UKATS"/>
      <sheetName val="C_Capex_Oceanic"/>
      <sheetName val="C_Efficient Costs_TRS"/>
      <sheetName val="C_CMA_Costs_TRS"/>
      <sheetName val="C_TRS_Cost Rec bridge"/>
      <sheetName val="C_LA_TRS"/>
      <sheetName val="C_CSM"/>
      <sheetName val="C_Determined Costs_UKATS"/>
      <sheetName val="C_RAB_UKATS"/>
      <sheetName val="C_RevCost_UKATS"/>
      <sheetName val="C_RevCost_LA"/>
      <sheetName val="C_Determined Costs_Oceanic"/>
      <sheetName val="C_RAB_Oceanic"/>
      <sheetName val="C_RevCost_Oceanic"/>
      <sheetName val="C_Financing"/>
      <sheetName val="C_Existing Debt"/>
      <sheetName val="C_Fin_Synth"/>
      <sheetName val="C_Fin_SynthAccretion"/>
      <sheetName val="C_Reg_Tax_UKATS"/>
      <sheetName val="C_Reg_Tax_Oceanic"/>
      <sheetName val="C_Tax"/>
      <sheetName val="C_Ratios"/>
      <sheetName val="C_OtherFin"/>
      <sheetName val="C_PriceSmoothing"/>
      <sheetName val="C_NERL_Adjustment"/>
      <sheetName val="C_Output_Staging"/>
      <sheetName val="C_CF_exIntTax"/>
      <sheetName val="Outputs&gt;&gt;&gt;"/>
      <sheetName val="O_FinStats"/>
      <sheetName val="O_FinStats - Vals"/>
      <sheetName val="O_FinStats - Var"/>
      <sheetName val="O_StoredValues"/>
      <sheetName val="O_Graphs"/>
      <sheetName val="O_Performance Plan"/>
      <sheetName val="O_RAB"/>
      <sheetName val="O_RAB_Stored"/>
      <sheetName val="O_RAB_HML"/>
      <sheetName val="O_Unit Rate"/>
      <sheetName val="O_Dashboard"/>
      <sheetName val="O_Dashboard_NERL"/>
      <sheetName val="O_Dashboard_Stored_HML"/>
      <sheetName val="O_Table"/>
      <sheetName val="O_Dashboard_Graphs"/>
      <sheetName val="O_Fin_Charts_Live"/>
      <sheetName val="O_Fin_Charts_Stored_HML"/>
      <sheetName val="MultiScen Outputs &gt;&gt;&gt;"/>
      <sheetName val="MultiScen_Graphs"/>
      <sheetName val="Unit Price Bridge"/>
      <sheetName val="MultiScen_Graphs_Financing"/>
      <sheetName val="UnitCostBreakDown"/>
      <sheetName val="MultiScen_UCB_TRS Removed"/>
      <sheetName val="CRCO Reporting tables&gt;&gt;&gt;"/>
      <sheetName val="UKATS_T1 ANSP"/>
      <sheetName val="UKATS_T2 ANSP"/>
      <sheetName val="LA_T1 ANSP"/>
      <sheetName val="LA_T2 ANSP"/>
      <sheetName val="Bridge &gt;&gt;&gt;"/>
      <sheetName val="C_Bridge"/>
      <sheetName val="O_BridgeRORE"/>
      <sheetName val="Ratio comparison (to dele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104">
          <cell r="AI104">
            <v>-3914.361028390671</v>
          </cell>
        </row>
        <row r="105">
          <cell r="AI105">
            <v>67363.833873957366</v>
          </cell>
          <cell r="AJ105">
            <v>11938.690002013853</v>
          </cell>
          <cell r="AK105">
            <v>107739.42040326433</v>
          </cell>
          <cell r="AL105">
            <v>123655.51745532527</v>
          </cell>
          <cell r="AM105">
            <v>151907.6934496001</v>
          </cell>
          <cell r="AN105">
            <v>97562.861068831757</v>
          </cell>
          <cell r="AO105">
            <v>100210.40024123865</v>
          </cell>
          <cell r="AP105">
            <v>102929.78502777204</v>
          </cell>
          <cell r="AQ105">
            <v>105722.96508505009</v>
          </cell>
          <cell r="AR105">
            <v>108591.94297703914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row>
        <row r="108">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row>
      </sheetData>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T1"/>
      <sheetName val="T1 ANSP"/>
      <sheetName val="T1 MET"/>
      <sheetName val="T1 NSA"/>
      <sheetName val="T2"/>
      <sheetName val="T2 ANSP"/>
      <sheetName val="T2 MET"/>
      <sheetName val="T2 NSA"/>
      <sheetName val="T3"/>
      <sheetName val="T3 ANSP"/>
      <sheetName val="T3 MET"/>
      <sheetName val="T3 NSA"/>
      <sheetName val="T4"/>
      <sheetName val="RP3 PP"/>
    </sheetNames>
    <sheetDataSet>
      <sheetData sheetId="0"/>
      <sheetData sheetId="1">
        <row r="3">
          <cell r="A3" t="str">
            <v>United Kingdom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2B INEA"/>
    </sheetNames>
    <sheetDataSet>
      <sheetData sheetId="0" refreshError="1">
        <row r="47">
          <cell r="U47">
            <v>10476025.75</v>
          </cell>
        </row>
        <row r="50">
          <cell r="U50">
            <v>-616521.24</v>
          </cell>
        </row>
        <row r="58">
          <cell r="U58">
            <v>484092.71</v>
          </cell>
        </row>
        <row r="62">
          <cell r="U62">
            <v>8932688.2400000002</v>
          </cell>
        </row>
        <row r="67">
          <cell r="U67">
            <v>2866545.61</v>
          </cell>
        </row>
        <row r="68">
          <cell r="U68">
            <v>3427481.91</v>
          </cell>
        </row>
        <row r="69">
          <cell r="U69">
            <v>994875.55</v>
          </cell>
        </row>
        <row r="70">
          <cell r="U70">
            <v>591228.71</v>
          </cell>
        </row>
        <row r="88">
          <cell r="U88">
            <v>11988712.880000001</v>
          </cell>
        </row>
        <row r="93">
          <cell r="U93">
            <v>537394.42000000004</v>
          </cell>
        </row>
        <row r="99">
          <cell r="U99">
            <v>164777.90000000002</v>
          </cell>
        </row>
        <row r="108">
          <cell r="U108">
            <v>-20000</v>
          </cell>
        </row>
        <row r="117">
          <cell r="U117">
            <v>390689.53</v>
          </cell>
        </row>
        <row r="118">
          <cell r="U118">
            <v>836797.16</v>
          </cell>
        </row>
        <row r="122">
          <cell r="U122">
            <v>821711.02</v>
          </cell>
        </row>
        <row r="123">
          <cell r="U123">
            <v>2415500.89</v>
          </cell>
        </row>
        <row r="124">
          <cell r="U124">
            <v>1491726.48</v>
          </cell>
        </row>
        <row r="125">
          <cell r="U125">
            <v>886733.61</v>
          </cell>
        </row>
        <row r="132">
          <cell r="U132">
            <v>195179.95</v>
          </cell>
        </row>
        <row r="165">
          <cell r="U165">
            <v>863257.88</v>
          </cell>
        </row>
        <row r="166">
          <cell r="U166">
            <v>20493614.440000001</v>
          </cell>
        </row>
        <row r="172">
          <cell r="U172">
            <v>375545.73</v>
          </cell>
        </row>
      </sheetData>
    </sheetDataSet>
  </externalBook>
</externalLink>
</file>

<file path=xl/persons/person.xml><?xml version="1.0" encoding="utf-8"?>
<personList xmlns="http://schemas.microsoft.com/office/spreadsheetml/2018/threadedcomments" xmlns:x="http://schemas.openxmlformats.org/spreadsheetml/2006/main">
  <person displayName="Bronwyn Fraser" id="{49823F74-6621-4D64-B739-2D4912C3923E}" userId="S::Bronwyn.Fraser@caa.co.uk::d9e67d55-5e36-4347-97cc-2d37966eac5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64" dT="2022-06-23T07:17:28.43" personId="{49823F74-6621-4D64-B739-2D4912C3923E}" id="{C530955E-528F-4141-8E5A-4E37CDBBCD7E}">
    <text>Source: https://eur03.safelinks.protection.outlook.com/?url=https%3A%2F%2Fwww.imf.org%2Fen%2FPublications%2FWEO%2Fweo-database%2F2022%2FApril%2Fweo-report%3Fc%3D112%2C%26s%3DPCPIPCH%2C%26sy%3D2017%26ey%3D2027%26ssm%3D0%26scsm%3D1%26scc%3D0%26ssd%3D1%26ssc%3D0%26sic%3D0%26sort%3Dcountry%26ds%3D.%26br%3D1&amp;data=05%7C01%7CBronwyn.Fraser%40caa.co.uk%7Cbd71588c0f094b32c30108da4eca9632%7Cc4edd5ba10c34fe3946a7c9c446ab8c8%7C0%7C0%7C637908929541602752%7CUnknown%7CTWFpbGZsb3d8eyJWIjoiMC4wLjAwMDAiLCJQIjoiV2luMzIiLCJBTiI6Ik1haWwiLCJXVCI6Mn0%3D%7C3000%7C%7C%7C&amp;sdata=GK4bvaUOhid72G8VCvksSifnCnqFPmmSVQBu1Ph%2FZRw%3D&amp;reserved=0</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9.bin"/><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outlinePr summaryBelow="0"/>
    <pageSetUpPr fitToPage="1"/>
  </sheetPr>
  <dimension ref="A1:AD730"/>
  <sheetViews>
    <sheetView showGridLines="0" topLeftCell="A30" zoomScale="70" zoomScaleNormal="70" workbookViewId="0">
      <pane xSplit="4" topLeftCell="E1" activePane="topRight" state="frozen"/>
      <selection activeCell="A616" sqref="A616"/>
      <selection pane="topRight" activeCell="Q70" sqref="Q70"/>
    </sheetView>
  </sheetViews>
  <sheetFormatPr defaultColWidth="9.5546875" defaultRowHeight="14.4" outlineLevelRow="1"/>
  <cols>
    <col min="1" max="1" width="9.5546875" style="210" customWidth="1"/>
    <col min="2" max="2" width="5.6640625" style="211" bestFit="1" customWidth="1"/>
    <col min="3" max="3" width="95" style="162" customWidth="1"/>
    <col min="4" max="4" width="8.6640625" style="161" customWidth="1"/>
    <col min="5" max="12" width="11" style="161" customWidth="1"/>
    <col min="13" max="17" width="11" style="162" customWidth="1"/>
    <col min="18" max="18" width="2.33203125" style="162" customWidth="1"/>
    <col min="19" max="23" width="11" style="162" customWidth="1"/>
    <col min="24" max="16384" width="9.5546875" style="162"/>
  </cols>
  <sheetData>
    <row r="1" spans="1:23">
      <c r="A1" s="1543" t="s">
        <v>0</v>
      </c>
      <c r="B1" s="1543"/>
      <c r="C1" s="1543"/>
    </row>
    <row r="2" spans="1:23">
      <c r="A2" s="1544" t="b">
        <v>1</v>
      </c>
      <c r="B2" s="1544"/>
      <c r="C2" s="163" t="s">
        <v>1</v>
      </c>
    </row>
    <row r="3" spans="1:23">
      <c r="A3" s="1545" t="b">
        <v>1</v>
      </c>
      <c r="B3" s="1545"/>
      <c r="C3" s="163" t="s">
        <v>2</v>
      </c>
    </row>
    <row r="4" spans="1:23">
      <c r="A4" s="1546" t="b">
        <v>0</v>
      </c>
      <c r="B4" s="1546"/>
      <c r="C4" s="163" t="s">
        <v>3</v>
      </c>
    </row>
    <row r="5" spans="1:23">
      <c r="A5" s="1545" t="b">
        <v>0</v>
      </c>
      <c r="B5" s="1545"/>
      <c r="C5" s="163" t="s">
        <v>4</v>
      </c>
    </row>
    <row r="6" spans="1:23">
      <c r="A6" s="1542" t="s">
        <v>5</v>
      </c>
      <c r="B6" s="1542"/>
      <c r="C6" s="163" t="s">
        <v>6</v>
      </c>
    </row>
    <row r="7" spans="1:23">
      <c r="A7" s="1547" t="s">
        <v>7</v>
      </c>
      <c r="B7" s="1547"/>
      <c r="C7" s="163" t="s">
        <v>8</v>
      </c>
    </row>
    <row r="8" spans="1:23" ht="14.7" customHeight="1">
      <c r="A8" s="164"/>
      <c r="B8" s="165"/>
      <c r="C8" s="166"/>
      <c r="D8" s="167"/>
      <c r="E8" s="1535" t="s">
        <v>9</v>
      </c>
      <c r="F8" s="1536"/>
      <c r="G8" s="1536"/>
      <c r="H8" s="1536"/>
      <c r="I8" s="1536"/>
      <c r="J8" s="1536"/>
      <c r="K8" s="1536"/>
      <c r="L8" s="1537"/>
      <c r="M8" s="1549" t="s">
        <v>10</v>
      </c>
      <c r="N8" s="1549"/>
      <c r="O8" s="1549"/>
      <c r="P8" s="1549"/>
      <c r="Q8" s="1549"/>
      <c r="S8" s="1535" t="s">
        <v>9</v>
      </c>
      <c r="T8" s="1536"/>
      <c r="U8" s="1536"/>
      <c r="V8" s="1536"/>
      <c r="W8" s="1537"/>
    </row>
    <row r="9" spans="1:23" ht="24">
      <c r="A9" s="1548" t="s">
        <v>11</v>
      </c>
      <c r="B9" s="1548"/>
      <c r="C9" s="1548"/>
      <c r="D9" s="168" t="s">
        <v>12</v>
      </c>
      <c r="E9" s="212">
        <v>2012</v>
      </c>
      <c r="F9" s="170">
        <v>2013</v>
      </c>
      <c r="G9" s="170">
        <v>2014</v>
      </c>
      <c r="H9" s="170">
        <v>2015</v>
      </c>
      <c r="I9" s="170">
        <v>2016</v>
      </c>
      <c r="J9" s="170">
        <v>2017</v>
      </c>
      <c r="K9" s="170">
        <v>2018</v>
      </c>
      <c r="L9" s="213">
        <v>2019</v>
      </c>
      <c r="M9" s="169">
        <v>2020</v>
      </c>
      <c r="N9" s="170">
        <v>2021</v>
      </c>
      <c r="O9" s="170">
        <v>2022</v>
      </c>
      <c r="P9" s="170">
        <v>2023</v>
      </c>
      <c r="Q9" s="171">
        <v>2024</v>
      </c>
      <c r="S9" s="169">
        <v>2020</v>
      </c>
      <c r="T9" s="170">
        <v>2021</v>
      </c>
      <c r="U9" s="170">
        <v>2022</v>
      </c>
      <c r="V9" s="170">
        <v>2023</v>
      </c>
      <c r="W9" s="171">
        <v>2024</v>
      </c>
    </row>
    <row r="10" spans="1:23" s="177" customFormat="1" ht="21" customHeight="1">
      <c r="A10" s="172" t="s">
        <v>13</v>
      </c>
      <c r="B10" s="173" t="s">
        <v>14</v>
      </c>
      <c r="C10" s="174" t="s">
        <v>15</v>
      </c>
      <c r="D10" s="175"/>
      <c r="E10" s="176"/>
      <c r="F10" s="176"/>
      <c r="G10" s="176"/>
      <c r="H10" s="176"/>
      <c r="I10" s="176"/>
      <c r="J10" s="176"/>
      <c r="K10" s="176"/>
      <c r="L10" s="176"/>
      <c r="M10" s="176"/>
      <c r="N10" s="176"/>
      <c r="O10" s="176"/>
      <c r="P10" s="176"/>
      <c r="Q10" s="176"/>
      <c r="R10" s="162"/>
      <c r="S10" s="176"/>
      <c r="T10" s="176"/>
      <c r="U10" s="176"/>
      <c r="V10" s="176"/>
      <c r="W10" s="176"/>
    </row>
    <row r="11" spans="1:23" s="183" customFormat="1" ht="15" customHeight="1">
      <c r="A11" s="178" t="s">
        <v>16</v>
      </c>
      <c r="B11" s="179" t="s">
        <v>17</v>
      </c>
      <c r="C11" s="180" t="s">
        <v>18</v>
      </c>
      <c r="D11" s="181">
        <v>3</v>
      </c>
      <c r="E11" s="182" t="b">
        <f>ROUND('T1'!C61,$D$11)=ROUND('T1 ANSP'!C61+'T1 MET'!C61+'T1 NSA'!C61,$D$11)</f>
        <v>1</v>
      </c>
      <c r="F11" s="182" t="b">
        <f>ROUND('T1'!D61,$D$11)=ROUND('T1 ANSP'!D61+'T1 MET'!D61+'T1 NSA'!D61,$D$11)</f>
        <v>1</v>
      </c>
      <c r="G11" s="182" t="b">
        <f>ROUND('T1'!E61,$D$11)=ROUND('T1 ANSP'!E61+'T1 MET'!E61+'T1 NSA'!E61,$D$11)</f>
        <v>1</v>
      </c>
      <c r="H11" s="182" t="b">
        <f>ROUND('T1'!F61,$D$11)=ROUND('T1 ANSP'!F61+'T1 MET'!F61+'T1 NSA'!F61,$D$11)</f>
        <v>1</v>
      </c>
      <c r="I11" s="182" t="b">
        <f>ROUND('T1'!G61,$D$11)=ROUND('T1 ANSP'!G61+'T1 MET'!G61+'T1 NSA'!G61,$D$11)</f>
        <v>1</v>
      </c>
      <c r="J11" s="182" t="b">
        <f>ROUND('T1'!H61,$D$11)=ROUND('T1 ANSP'!H61+'T1 MET'!H61+'T1 NSA'!H61,$D$11)</f>
        <v>1</v>
      </c>
      <c r="K11" s="182" t="b">
        <f>ROUND('T1'!I61,$D$11)=ROUND('T1 ANSP'!I61+'T1 MET'!I61+'T1 NSA'!I61,$D$11)</f>
        <v>1</v>
      </c>
      <c r="L11" s="182" t="b">
        <f>ROUND('T1'!J61,$D$11)=ROUND('T1 ANSP'!J61+'T1 MET'!J61+'T1 NSA'!J61,$D$11)</f>
        <v>1</v>
      </c>
      <c r="M11" s="182" t="b">
        <f>ROUND('T1'!K61,$D$11)=ROUND('T1 ANSP'!K61+'T1 MET'!K61+'T1 NSA'!K61,$D$11)</f>
        <v>1</v>
      </c>
      <c r="N11" s="182" t="b">
        <f>ROUND('T1'!L61,$D$11)=ROUND('T1 ANSP'!L61+'T1 MET'!L61+'T1 NSA'!L61,$D$11)</f>
        <v>1</v>
      </c>
      <c r="O11" s="182" t="b">
        <f>ROUND('T1'!M61,$D$11)=ROUND('T1 ANSP'!M61+'T1 MET'!M61+'T1 NSA'!M61,$D$11)</f>
        <v>1</v>
      </c>
      <c r="P11" s="182" t="b">
        <f>ROUND('T1'!N61,$D$11)=ROUND('T1 ANSP'!N61+'T1 MET'!N61+'T1 NSA'!N61,$D$11)</f>
        <v>1</v>
      </c>
      <c r="Q11" s="182" t="b">
        <f>ROUND('T1'!O61,$D$11)=ROUND('T1 ANSP'!O61+'T1 MET'!O61+'T1 NSA'!O61,$D$11)</f>
        <v>1</v>
      </c>
      <c r="R11" s="162"/>
      <c r="S11" s="182" t="b">
        <f>ROUND('T1'!T61,$D$11)=ROUND('T1 ANSP'!T61+'T1 MET'!T61+'T1 NSA'!T61,$D$11)</f>
        <v>1</v>
      </c>
      <c r="T11" s="182" t="b">
        <f>ROUND('T1'!U61,$D$11)=ROUND('T1 ANSP'!U61+'T1 MET'!U61+'T1 NSA'!U61,$D$11)</f>
        <v>1</v>
      </c>
      <c r="U11" s="182" t="b">
        <f>ROUND('T1'!V61,$D$11)=ROUND('T1 ANSP'!V61+'T1 MET'!V61+'T1 NSA'!V61,$D$11)</f>
        <v>1</v>
      </c>
    </row>
    <row r="12" spans="1:23" s="189" customFormat="1" ht="15" customHeight="1" outlineLevel="1">
      <c r="A12" s="184"/>
      <c r="B12" s="185"/>
      <c r="C12" s="186" t="s">
        <v>19</v>
      </c>
      <c r="D12" s="187"/>
      <c r="E12" s="860">
        <f>ROUND('T1'!C61,$D$11)</f>
        <v>658740.66500000004</v>
      </c>
      <c r="F12" s="860">
        <f>ROUND('T1'!D61,$D$11)</f>
        <v>724832.527</v>
      </c>
      <c r="G12" s="860">
        <f>ROUND('T1'!E61,$D$11)</f>
        <v>669901.15599999996</v>
      </c>
      <c r="H12" s="860">
        <f>ROUND('T1'!F61,$D$11)</f>
        <v>657371.51399999997</v>
      </c>
      <c r="I12" s="860">
        <f>ROUND('T1'!G61,$D$11)</f>
        <v>666364.99800000002</v>
      </c>
      <c r="J12" s="860">
        <f>ROUND('T1'!H61,$D$11)</f>
        <v>660595.57999999996</v>
      </c>
      <c r="K12" s="860">
        <f>ROUND('T1'!I61,$D$11)</f>
        <v>694359.07900000003</v>
      </c>
      <c r="L12" s="860">
        <f>ROUND('T1'!J61,$D$11)</f>
        <v>709493.71799999999</v>
      </c>
      <c r="M12" s="860">
        <f>ROUND('T1'!K61,$D$11)</f>
        <v>790418.9</v>
      </c>
      <c r="N12" s="860">
        <f>ROUND('T1'!L61,$D$11)</f>
        <v>775027.03399999999</v>
      </c>
      <c r="O12" s="860">
        <f>ROUND('T1'!M61,$D$11)</f>
        <v>790935.59299999999</v>
      </c>
      <c r="P12" s="860">
        <f>ROUND('T1'!N61,$D$11)</f>
        <v>873485.10900000005</v>
      </c>
      <c r="Q12" s="860">
        <f>ROUND('T1'!O61,$D$11)</f>
        <v>889282.98699999996</v>
      </c>
      <c r="R12" s="162"/>
      <c r="S12" s="860">
        <f>ROUND('T1'!T61,$D$11)</f>
        <v>772193.07299999997</v>
      </c>
      <c r="T12" s="860">
        <f>ROUND('T1'!U61,$D$11)</f>
        <v>644352.72900000005</v>
      </c>
      <c r="U12" s="860">
        <f>ROUND('T1'!V61,$D$11)</f>
        <v>728805.28300000005</v>
      </c>
    </row>
    <row r="13" spans="1:23" s="189" customFormat="1" ht="15" customHeight="1" outlineLevel="1">
      <c r="A13" s="184"/>
      <c r="B13" s="185"/>
      <c r="C13" s="186" t="s">
        <v>20</v>
      </c>
      <c r="D13" s="187"/>
      <c r="E13" s="860">
        <f>ROUND('T1 ANSP'!C61+'T1 MET'!C61+'T1 NSA'!C61,$D$11)</f>
        <v>658740.66500000004</v>
      </c>
      <c r="F13" s="860">
        <f>ROUND('T1 ANSP'!D61+'T1 MET'!D61+'T1 NSA'!D61,$D$11)</f>
        <v>724832.527</v>
      </c>
      <c r="G13" s="860">
        <f>ROUND('T1 ANSP'!E61+'T1 MET'!E61+'T1 NSA'!E61,$D$11)</f>
        <v>669901.15599999996</v>
      </c>
      <c r="H13" s="860">
        <f>ROUND('T1 ANSP'!F61+'T1 MET'!F61+'T1 NSA'!F61,$D$11)</f>
        <v>657371.51399999997</v>
      </c>
      <c r="I13" s="860">
        <f>ROUND('T1 ANSP'!G61+'T1 MET'!G61+'T1 NSA'!G61,$D$11)</f>
        <v>666364.99800000002</v>
      </c>
      <c r="J13" s="860">
        <f>ROUND('T1 ANSP'!H61+'T1 MET'!H61+'T1 NSA'!H61,$D$11)</f>
        <v>660595.57999999996</v>
      </c>
      <c r="K13" s="860">
        <f>ROUND('T1 ANSP'!I61+'T1 MET'!I61+'T1 NSA'!I61,$D$11)</f>
        <v>694359.07900000003</v>
      </c>
      <c r="L13" s="860">
        <f>ROUND('T1 ANSP'!J61+'T1 MET'!J61+'T1 NSA'!J61,$D$11)</f>
        <v>709493.71799999999</v>
      </c>
      <c r="M13" s="860">
        <f>ROUND('T1 ANSP'!K61+'T1 MET'!K61+'T1 NSA'!K61,$D$11)</f>
        <v>790418.9</v>
      </c>
      <c r="N13" s="860">
        <f>ROUND('T1 ANSP'!L61+'T1 MET'!L61+'T1 NSA'!L61,$D$11)</f>
        <v>775027.03399999999</v>
      </c>
      <c r="O13" s="860">
        <f>ROUND('T1 ANSP'!M61+'T1 MET'!M61+'T1 NSA'!M61,$D$11)</f>
        <v>790935.59299999999</v>
      </c>
      <c r="P13" s="860">
        <f>ROUND('T1 ANSP'!N61+'T1 MET'!N61+'T1 NSA'!N61,$D$11)</f>
        <v>873485.10900000005</v>
      </c>
      <c r="Q13" s="860">
        <f>ROUND('T1 ANSP'!O61+'T1 MET'!O61+'T1 NSA'!O61,$D$11)</f>
        <v>889282.98699999996</v>
      </c>
      <c r="R13" s="162"/>
      <c r="S13" s="860">
        <f>ROUND('T1 ANSP'!T61+'T1 MET'!T61+'T1 NSA'!T61,$D$11)</f>
        <v>772193.07299999997</v>
      </c>
      <c r="T13" s="860">
        <f>ROUND('T1 ANSP'!U61+'T1 MET'!U61+'T1 NSA'!U61,$D$11)</f>
        <v>644352.72900000005</v>
      </c>
      <c r="U13" s="860">
        <f>ROUND('T1 ANSP'!V61+'T1 MET'!V61+'T1 NSA'!V61,$D$11)</f>
        <v>728805.28300000005</v>
      </c>
    </row>
    <row r="14" spans="1:23" s="183" customFormat="1" ht="15" customHeight="1">
      <c r="A14" s="178" t="s">
        <v>21</v>
      </c>
      <c r="B14" s="179" t="s">
        <v>22</v>
      </c>
      <c r="C14" s="180" t="s">
        <v>23</v>
      </c>
      <c r="D14" s="181">
        <v>3</v>
      </c>
      <c r="E14" s="182" t="b">
        <f>ROUND('T1'!C18,$D$14)=ROUND(('T1'!C12+SUM('T1'!C14:C17)),$D$14)</f>
        <v>1</v>
      </c>
      <c r="F14" s="182" t="b">
        <f>ROUND('T1'!D18,$D$14)=ROUND(('T1'!D12+SUM('T1'!D14:D17)),$D$14)</f>
        <v>1</v>
      </c>
      <c r="G14" s="182" t="b">
        <f>ROUND('T1'!E18,$D$14)=ROUND(('T1'!E12+SUM('T1'!E14:E17)),$D$14)</f>
        <v>1</v>
      </c>
      <c r="H14" s="182" t="b">
        <f>ROUND('T1'!F18,$D$14)=ROUND(('T1'!F12+SUM('T1'!F14:F17)),$D$14)</f>
        <v>1</v>
      </c>
      <c r="I14" s="182" t="b">
        <f>ROUND('T1'!G18,$D$14)=ROUND(('T1'!G12+SUM('T1'!G14:G17)),$D$14)</f>
        <v>1</v>
      </c>
      <c r="J14" s="182" t="b">
        <f>ROUND('T1'!H18,$D$14)=ROUND(('T1'!H12+SUM('T1'!H14:H17)),$D$14)</f>
        <v>1</v>
      </c>
      <c r="K14" s="182" t="b">
        <f>ROUND('T1'!I18,$D$14)=ROUND(('T1'!I12+SUM('T1'!I14:I17)),$D$14)</f>
        <v>1</v>
      </c>
      <c r="L14" s="182" t="b">
        <f>ROUND('T1'!J18,$D$14)=ROUND(('T1'!J12+SUM('T1'!J14:J17)),$D$14)</f>
        <v>1</v>
      </c>
      <c r="M14" s="182" t="b">
        <f>ROUND('T1'!K18,$D$14)=ROUND(('T1'!K12+SUM('T1'!K14:K17)),$D$14)</f>
        <v>1</v>
      </c>
      <c r="N14" s="182" t="b">
        <f>ROUND('T1'!L18,$D$14)=ROUND(('T1'!L12+SUM('T1'!L14:L17)),$D$14)</f>
        <v>1</v>
      </c>
      <c r="O14" s="182" t="b">
        <f>ROUND('T1'!M18,$D$14)=ROUND(('T1'!M12+SUM('T1'!M14:M17)),$D$14)</f>
        <v>1</v>
      </c>
      <c r="P14" s="182" t="b">
        <f>ROUND('T1'!N18,$D$14)=ROUND(('T1'!N12+SUM('T1'!N14:N17)),$D$14)</f>
        <v>1</v>
      </c>
      <c r="Q14" s="182" t="b">
        <f>ROUND('T1'!O18,$D$14)=ROUND(('T1'!O12+SUM('T1'!O14:O17)),$D$14)</f>
        <v>1</v>
      </c>
      <c r="R14" s="162"/>
      <c r="S14" s="182" t="b">
        <f>ROUND('T1'!S18,$D$14)=ROUND(('T1'!S12+SUM('T1'!S14:S17)),$D$14)</f>
        <v>1</v>
      </c>
      <c r="T14" s="182" t="b">
        <f>ROUND('T1'!T18,$D$14)=ROUND(('T1'!T12+SUM('T1'!T14:T17)),$D$14)</f>
        <v>1</v>
      </c>
      <c r="U14" s="182" t="b">
        <f>ROUND('T1'!U18,$D$14)=ROUND(('T1'!U12+SUM('T1'!U14:U17)),$D$14)</f>
        <v>1</v>
      </c>
    </row>
    <row r="15" spans="1:23" s="189" customFormat="1" ht="15" customHeight="1" outlineLevel="1">
      <c r="A15" s="184"/>
      <c r="B15" s="185"/>
      <c r="C15" s="186" t="s">
        <v>24</v>
      </c>
      <c r="D15" s="187"/>
      <c r="E15" s="860">
        <f>ROUND('T1'!C18,$D$14)</f>
        <v>658740.66500000004</v>
      </c>
      <c r="F15" s="860">
        <f>ROUND('T1'!D18,$D$14)</f>
        <v>724832.527</v>
      </c>
      <c r="G15" s="860">
        <f>ROUND('T1'!E18,$D$14)</f>
        <v>669901.15599999996</v>
      </c>
      <c r="H15" s="860">
        <f>ROUND('T1'!F18,$D$14)</f>
        <v>657371.51399999997</v>
      </c>
      <c r="I15" s="860">
        <f>ROUND('T1'!G18,$D$14)</f>
        <v>666364.99800000002</v>
      </c>
      <c r="J15" s="860">
        <f>ROUND('T1'!H18,$D$14)</f>
        <v>660595.57999999996</v>
      </c>
      <c r="K15" s="860">
        <f>ROUND('T1'!I18,$D$14)</f>
        <v>694359.07900000003</v>
      </c>
      <c r="L15" s="860">
        <f>ROUND('T1'!J18,$D$14)</f>
        <v>709493.71799999999</v>
      </c>
      <c r="M15" s="860">
        <f>ROUND('T1'!K18,$D$14)</f>
        <v>790418.9</v>
      </c>
      <c r="N15" s="860">
        <f>ROUND('T1'!L18,$D$14)</f>
        <v>775027.03399999999</v>
      </c>
      <c r="O15" s="860">
        <f>ROUND('T1'!M18,$D$14)</f>
        <v>790935.59299999999</v>
      </c>
      <c r="P15" s="860">
        <f>ROUND('T1'!N18,$D$14)</f>
        <v>873485.10900000005</v>
      </c>
      <c r="Q15" s="860">
        <f>ROUND('T1'!O18,$D$14)</f>
        <v>889282.98699999996</v>
      </c>
      <c r="R15" s="162"/>
      <c r="S15" s="860">
        <f>ROUND('T1'!T18,$D$14)</f>
        <v>772193.07299999997</v>
      </c>
      <c r="T15" s="860">
        <f>ROUND('T1'!U18,$D$14)</f>
        <v>644352.72900000005</v>
      </c>
      <c r="U15" s="860">
        <f>ROUND('T1'!V18,$D$14)</f>
        <v>728805.28300000005</v>
      </c>
    </row>
    <row r="16" spans="1:23" s="189" customFormat="1" ht="15" customHeight="1" outlineLevel="1">
      <c r="A16" s="184"/>
      <c r="B16" s="185"/>
      <c r="C16" s="186" t="s">
        <v>25</v>
      </c>
      <c r="D16" s="187"/>
      <c r="E16" s="860">
        <f>ROUND(('T1'!C12+SUM('T1'!C14:C17)),$D$14)</f>
        <v>658740.66500000004</v>
      </c>
      <c r="F16" s="860">
        <f>ROUND(('T1'!D12+SUM('T1'!D14:D17)),$D$14)</f>
        <v>724832.527</v>
      </c>
      <c r="G16" s="860">
        <f>ROUND(('T1'!E12+SUM('T1'!E14:E17)),$D$14)</f>
        <v>669901.15599999996</v>
      </c>
      <c r="H16" s="860">
        <f>ROUND(('T1'!F12+SUM('T1'!F14:F17)),$D$14)</f>
        <v>657371.51399999997</v>
      </c>
      <c r="I16" s="860">
        <f>ROUND(('T1'!G12+SUM('T1'!G14:G17)),$D$14)</f>
        <v>666364.99800000002</v>
      </c>
      <c r="J16" s="860">
        <f>ROUND(('T1'!H12+SUM('T1'!H14:H17)),$D$14)</f>
        <v>660595.57999999996</v>
      </c>
      <c r="K16" s="860">
        <f>ROUND(('T1'!I12+SUM('T1'!I14:I17)),$D$14)</f>
        <v>694359.07900000003</v>
      </c>
      <c r="L16" s="860">
        <f>ROUND(('T1'!J12+SUM('T1'!J14:J17)),$D$14)</f>
        <v>709493.71799999999</v>
      </c>
      <c r="M16" s="860">
        <f>ROUND(('T1'!K12+SUM('T1'!K14:K17)),$D$14)</f>
        <v>790418.9</v>
      </c>
      <c r="N16" s="860">
        <f>ROUND(('T1'!L12+SUM('T1'!L14:L17)),$D$14)</f>
        <v>775027.03399999999</v>
      </c>
      <c r="O16" s="860">
        <f>ROUND(('T1'!M12+SUM('T1'!M14:M17)),$D$14)</f>
        <v>790935.59299999999</v>
      </c>
      <c r="P16" s="860">
        <f>ROUND(('T1'!N12+SUM('T1'!N14:N17)),$D$14)</f>
        <v>873485.10900000005</v>
      </c>
      <c r="Q16" s="860">
        <f>ROUND(('T1'!O12+SUM('T1'!O14:O17)),$D$14)</f>
        <v>889282.98699999996</v>
      </c>
      <c r="R16" s="162"/>
      <c r="S16" s="860">
        <f>ROUND(('T1'!T12+SUM('T1'!T14:T17)),$D$14)</f>
        <v>772193.07299999997</v>
      </c>
      <c r="T16" s="860">
        <f>ROUND(('T1'!U12+SUM('T1'!U14:U17)),$D$14)</f>
        <v>644352.72900000005</v>
      </c>
      <c r="U16" s="860">
        <f>ROUND(('T1'!V12+SUM('T1'!V14:V17)),$D$14)</f>
        <v>728805.28300000005</v>
      </c>
    </row>
    <row r="17" spans="1:30" s="183" customFormat="1" ht="15" customHeight="1">
      <c r="A17" s="178" t="s">
        <v>26</v>
      </c>
      <c r="B17" s="179" t="s">
        <v>27</v>
      </c>
      <c r="C17" s="180" t="s">
        <v>28</v>
      </c>
      <c r="D17" s="181">
        <v>3</v>
      </c>
      <c r="E17" s="182" t="b">
        <f>ROUND('T1'!C31,$D$17)=ROUND(SUM('T1'!C22:C30),$D$17)</f>
        <v>1</v>
      </c>
      <c r="F17" s="182" t="b">
        <f>ROUND('T1'!D31,$D$17)=ROUND(SUM('T1'!D22:D30),$D$17)</f>
        <v>1</v>
      </c>
      <c r="G17" s="182" t="b">
        <f>ROUND('T1'!E31,$D$17)=ROUND(SUM('T1'!E22:E30),$D$17)</f>
        <v>1</v>
      </c>
      <c r="H17" s="182" t="b">
        <f>ROUND('T1'!F31,$D$17)=ROUND(SUM('T1'!F22:F30),$D$17)</f>
        <v>1</v>
      </c>
      <c r="I17" s="182" t="b">
        <f>ROUND('T1'!G31,$D$17)=ROUND(SUM('T1'!G22:G30),$D$17)</f>
        <v>1</v>
      </c>
      <c r="J17" s="182" t="b">
        <f>ROUND('T1'!H31,$D$17)=ROUND(SUM('T1'!H22:H30),$D$17)</f>
        <v>1</v>
      </c>
      <c r="K17" s="182" t="b">
        <f>ROUND('T1'!I31,$D$17)=ROUND(SUM('T1'!I22:I30),$D$17)</f>
        <v>1</v>
      </c>
      <c r="L17" s="182" t="b">
        <f>ROUND('T1'!J31,$D$17)=ROUND(SUM('T1'!J22:J30),$D$17)</f>
        <v>1</v>
      </c>
      <c r="M17" s="182" t="b">
        <f>ROUND('T1'!K31,$D$17)=ROUND(SUM('T1'!K22:K30),$D$17)</f>
        <v>1</v>
      </c>
      <c r="N17" s="182" t="b">
        <f>ROUND('T1'!L31,$D$17)=ROUND(SUM('T1'!L22:L30),$D$17)</f>
        <v>1</v>
      </c>
      <c r="O17" s="182" t="b">
        <f>ROUND('T1'!M31,$D$17)=ROUND(SUM('T1'!M22:M30),$D$17)</f>
        <v>1</v>
      </c>
      <c r="P17" s="182" t="b">
        <f>ROUND('T1'!N31,$D$17)=ROUND(SUM('T1'!N22:N30),$D$17)</f>
        <v>1</v>
      </c>
      <c r="Q17" s="182" t="b">
        <f>ROUND('T1'!O31,$D$17)=ROUND(SUM('T1'!O22:O30),$D$17)</f>
        <v>1</v>
      </c>
      <c r="R17" s="162"/>
      <c r="S17" s="182" t="b">
        <f>ROUND('T1'!T31,$D$17)=ROUND(SUM('T1'!T22:T30),$D$17)</f>
        <v>1</v>
      </c>
      <c r="T17" s="182" t="b">
        <f>ROUND('T1'!U31,$D$17)=ROUND(SUM('T1'!U22:U30),$D$17)</f>
        <v>1</v>
      </c>
      <c r="U17" s="182" t="b">
        <f>ROUND('T1'!V31,$D$17)=ROUND(SUM('T1'!V22:V30),$D$17)</f>
        <v>1</v>
      </c>
    </row>
    <row r="18" spans="1:30" s="189" customFormat="1" ht="15" customHeight="1" outlineLevel="1">
      <c r="A18" s="184"/>
      <c r="B18" s="185"/>
      <c r="C18" s="186" t="s">
        <v>29</v>
      </c>
      <c r="D18" s="187"/>
      <c r="E18" s="860">
        <f>ROUND('T1'!C31,$D$17)</f>
        <v>658740.66500000004</v>
      </c>
      <c r="F18" s="860">
        <f>ROUND('T1'!D31,$D$17)</f>
        <v>724832.527</v>
      </c>
      <c r="G18" s="860">
        <f>ROUND('T1'!E31,$D$17)</f>
        <v>669901.15599999996</v>
      </c>
      <c r="H18" s="860">
        <f>ROUND('T1'!F31,$D$17)</f>
        <v>657371.51399999997</v>
      </c>
      <c r="I18" s="860">
        <f>ROUND('T1'!G31,$D$17)</f>
        <v>666364.99800000002</v>
      </c>
      <c r="J18" s="860">
        <f>ROUND('T1'!H31,$D$17)</f>
        <v>660595.57999999996</v>
      </c>
      <c r="K18" s="860">
        <f>ROUND('T1'!I31,$D$17)</f>
        <v>694359.07900000003</v>
      </c>
      <c r="L18" s="860">
        <f>ROUND('T1'!J31,$D$17)</f>
        <v>709493.71799999999</v>
      </c>
      <c r="M18" s="860">
        <f>ROUND('T1'!K31,$D$17)</f>
        <v>790418.9</v>
      </c>
      <c r="N18" s="860">
        <f>ROUND('T1'!L31,$D$17)</f>
        <v>775027.03399999999</v>
      </c>
      <c r="O18" s="860">
        <f>ROUND('T1'!M31,$D$17)</f>
        <v>790935.59299999999</v>
      </c>
      <c r="P18" s="860">
        <f>ROUND('T1'!N31,$D$17)</f>
        <v>873485.10900000005</v>
      </c>
      <c r="Q18" s="860">
        <f>ROUND('T1'!O31,$D$17)</f>
        <v>889282.98699999996</v>
      </c>
      <c r="R18" s="162"/>
      <c r="S18" s="860">
        <f>ROUND('T1'!T31,$D$17)</f>
        <v>772193.07299999997</v>
      </c>
      <c r="T18" s="860">
        <f>ROUND('T1'!U31,$D$17)</f>
        <v>644352.72900000005</v>
      </c>
      <c r="U18" s="860">
        <f>ROUND('T1'!V31,$D$17)</f>
        <v>728743.005</v>
      </c>
    </row>
    <row r="19" spans="1:30" s="189" customFormat="1" ht="15" customHeight="1" outlineLevel="1">
      <c r="A19" s="184"/>
      <c r="B19" s="185"/>
      <c r="C19" s="186" t="s">
        <v>30</v>
      </c>
      <c r="D19" s="187"/>
      <c r="E19" s="860">
        <f>ROUND(SUM('T1'!C22:C30),$D$17)</f>
        <v>658740.66500000004</v>
      </c>
      <c r="F19" s="860">
        <f>ROUND(SUM('T1'!D22:D30),$D$17)</f>
        <v>724832.527</v>
      </c>
      <c r="G19" s="860">
        <f>ROUND(SUM('T1'!E22:E30),$D$17)</f>
        <v>669901.15599999996</v>
      </c>
      <c r="H19" s="860">
        <f>ROUND(SUM('T1'!F22:F30),$D$17)</f>
        <v>657371.51399999997</v>
      </c>
      <c r="I19" s="860">
        <f>ROUND(SUM('T1'!G22:G30),$D$17)</f>
        <v>666364.99800000002</v>
      </c>
      <c r="J19" s="860">
        <f>ROUND(SUM('T1'!H22:H30),$D$17)</f>
        <v>660595.57999999996</v>
      </c>
      <c r="K19" s="860">
        <f>ROUND(SUM('T1'!I22:I30),$D$17)</f>
        <v>694359.07900000003</v>
      </c>
      <c r="L19" s="860">
        <f>ROUND(SUM('T1'!J22:J30),$D$17)</f>
        <v>709493.71799999999</v>
      </c>
      <c r="M19" s="860">
        <f>ROUND(SUM('T1'!K22:K30),$D$17)</f>
        <v>790418.9</v>
      </c>
      <c r="N19" s="860">
        <f>ROUND(SUM('T1'!L22:L30),$D$17)</f>
        <v>775027.03399999999</v>
      </c>
      <c r="O19" s="860">
        <f>ROUND(SUM('T1'!M22:M30),$D$17)</f>
        <v>790935.59299999999</v>
      </c>
      <c r="P19" s="860">
        <f>ROUND(SUM('T1'!N22:N30),$D$17)</f>
        <v>873485.10900000005</v>
      </c>
      <c r="Q19" s="860">
        <f>ROUND(SUM('T1'!O22:O30),$D$17)</f>
        <v>889282.98699999996</v>
      </c>
      <c r="R19" s="162"/>
      <c r="S19" s="860">
        <f>ROUND(SUM('T1'!S22:T30),$D$17)</f>
        <v>772193.07299999997</v>
      </c>
      <c r="T19" s="860">
        <f>ROUND(SUM('T1'!T22:U30),$D$17)</f>
        <v>1416545.8019999999</v>
      </c>
      <c r="U19" s="860">
        <f>ROUND(SUM('T1'!U22:V30),$D$17)</f>
        <v>1373095.7339999999</v>
      </c>
    </row>
    <row r="20" spans="1:30" s="183" customFormat="1" ht="15" customHeight="1">
      <c r="A20" s="178" t="s">
        <v>31</v>
      </c>
      <c r="B20" s="179" t="s">
        <v>27</v>
      </c>
      <c r="C20" s="180" t="s">
        <v>32</v>
      </c>
      <c r="D20" s="181">
        <v>3</v>
      </c>
      <c r="E20" s="182" t="b">
        <f>ROUND('T1'!C18,$D$20)=ROUND('T1'!C31,$D$20)</f>
        <v>1</v>
      </c>
      <c r="F20" s="182" t="b">
        <f>ROUND('T1'!D18,$D$20)=ROUND('T1'!D31,$D$20)</f>
        <v>1</v>
      </c>
      <c r="G20" s="182" t="b">
        <f>ROUND('T1'!E18,$D$20)=ROUND('T1'!E31,$D$20)</f>
        <v>1</v>
      </c>
      <c r="H20" s="182" t="b">
        <f>ROUND('T1'!F18,$D$20)=ROUND('T1'!F31,$D$20)</f>
        <v>1</v>
      </c>
      <c r="I20" s="182" t="b">
        <f>ROUND('T1'!G18,$D$20)=ROUND('T1'!G31,$D$20)</f>
        <v>1</v>
      </c>
      <c r="J20" s="182" t="b">
        <f>ROUND('T1'!H18,$D$20)=ROUND('T1'!H31,$D$20)</f>
        <v>1</v>
      </c>
      <c r="K20" s="182" t="b">
        <f>ROUND('T1'!I18,$D$20)=ROUND('T1'!I31,$D$20)</f>
        <v>1</v>
      </c>
      <c r="L20" s="182" t="b">
        <f>ROUND('T1'!J18,$D$20)=ROUND('T1'!J31,$D$20)</f>
        <v>1</v>
      </c>
      <c r="M20" s="182" t="b">
        <f>ROUND('T1'!K18,$D$20)=ROUND('T1'!K31,$D$20)</f>
        <v>1</v>
      </c>
      <c r="N20" s="182" t="b">
        <f>ROUND('T1'!L18,$D$20)=ROUND('T1'!L31,$D$20)</f>
        <v>1</v>
      </c>
      <c r="O20" s="182" t="b">
        <f>ROUND('T1'!M18,$D$20)=ROUND('T1'!M31,$D$20)</f>
        <v>1</v>
      </c>
      <c r="P20" s="182" t="b">
        <f>ROUND('T1'!N18,$D$20)=ROUND('T1'!N31,$D$20)</f>
        <v>1</v>
      </c>
      <c r="Q20" s="182" t="b">
        <f>ROUND('T1'!O18,$D$20)=ROUND('T1'!O31,$D$20)</f>
        <v>1</v>
      </c>
      <c r="R20" s="162"/>
      <c r="S20" s="182" t="b">
        <f>ROUND('T1'!T18,$D$20)=ROUND('T1'!T31,$D$20)</f>
        <v>1</v>
      </c>
      <c r="T20" s="182" t="b">
        <f>ROUND('T1'!U18,$D$20)=ROUND('T1'!U31,$D$20)</f>
        <v>1</v>
      </c>
      <c r="U20" s="182" t="b">
        <f>ROUND('T1'!V18,$D$20)=ROUND('T1'!V31,$D$20)</f>
        <v>0</v>
      </c>
      <c r="V20" s="189"/>
      <c r="W20" s="189"/>
      <c r="X20" s="189"/>
      <c r="Y20" s="189"/>
      <c r="Z20" s="189"/>
      <c r="AA20" s="189"/>
      <c r="AB20" s="189"/>
      <c r="AC20" s="189"/>
      <c r="AD20" s="189"/>
    </row>
    <row r="21" spans="1:30" s="189" customFormat="1" ht="15" customHeight="1" outlineLevel="1">
      <c r="A21" s="184"/>
      <c r="B21" s="185"/>
      <c r="C21" s="186" t="s">
        <v>24</v>
      </c>
      <c r="D21" s="190"/>
      <c r="E21" s="860">
        <f>ROUND('T1'!C18,$D$20)</f>
        <v>658740.66500000004</v>
      </c>
      <c r="F21" s="860">
        <f>ROUND('T1'!D18,$D$20)</f>
        <v>724832.527</v>
      </c>
      <c r="G21" s="860">
        <f>ROUND('T1'!E18,$D$20)</f>
        <v>669901.15599999996</v>
      </c>
      <c r="H21" s="860">
        <f>ROUND('T1'!F18,$D$20)</f>
        <v>657371.51399999997</v>
      </c>
      <c r="I21" s="860">
        <f>ROUND('T1'!G18,$D$20)</f>
        <v>666364.99800000002</v>
      </c>
      <c r="J21" s="860">
        <f>ROUND('T1'!H18,$D$20)</f>
        <v>660595.57999999996</v>
      </c>
      <c r="K21" s="860">
        <f>ROUND('T1'!I18,$D$20)</f>
        <v>694359.07900000003</v>
      </c>
      <c r="L21" s="860">
        <f>ROUND('T1'!J18,$D$20)</f>
        <v>709493.71799999999</v>
      </c>
      <c r="M21" s="860">
        <f>ROUND('T1'!K18,$D$20)</f>
        <v>790418.9</v>
      </c>
      <c r="N21" s="860">
        <f>ROUND('T1'!L18,$D$20)</f>
        <v>775027.03399999999</v>
      </c>
      <c r="O21" s="860">
        <f>ROUND('T1'!M18,$D$20)</f>
        <v>790935.59299999999</v>
      </c>
      <c r="P21" s="860">
        <f>ROUND('T1'!N18,$D$20)</f>
        <v>873485.10900000005</v>
      </c>
      <c r="Q21" s="860">
        <f>ROUND('T1'!O18,$D$20)</f>
        <v>889282.98699999996</v>
      </c>
      <c r="R21" s="162"/>
      <c r="S21" s="860">
        <f>ROUND('T1'!T18,$D$20)</f>
        <v>772193.07299999997</v>
      </c>
      <c r="T21" s="860">
        <f>ROUND('T1'!U18,$D$20)</f>
        <v>644352.72900000005</v>
      </c>
      <c r="U21" s="860">
        <f>ROUND('T1'!V18,$D$20)</f>
        <v>728805.28300000005</v>
      </c>
    </row>
    <row r="22" spans="1:30" s="189" customFormat="1" ht="15" customHeight="1" outlineLevel="1">
      <c r="A22" s="184"/>
      <c r="B22" s="185"/>
      <c r="C22" s="186" t="s">
        <v>29</v>
      </c>
      <c r="D22" s="190"/>
      <c r="E22" s="860">
        <f>ROUND('T1'!C31,$D$20)</f>
        <v>658740.66500000004</v>
      </c>
      <c r="F22" s="860">
        <f>ROUND('T1'!D31,$D$20)</f>
        <v>724832.527</v>
      </c>
      <c r="G22" s="860">
        <f>ROUND('T1'!E31,$D$20)</f>
        <v>669901.15599999996</v>
      </c>
      <c r="H22" s="860">
        <f>ROUND('T1'!F31,$D$20)</f>
        <v>657371.51399999997</v>
      </c>
      <c r="I22" s="860">
        <f>ROUND('T1'!G31,$D$20)</f>
        <v>666364.99800000002</v>
      </c>
      <c r="J22" s="860">
        <f>ROUND('T1'!H31,$D$20)</f>
        <v>660595.57999999996</v>
      </c>
      <c r="K22" s="860">
        <f>ROUND('T1'!I31,$D$20)</f>
        <v>694359.07900000003</v>
      </c>
      <c r="L22" s="860">
        <f>ROUND('T1'!J31,$D$20)</f>
        <v>709493.71799999999</v>
      </c>
      <c r="M22" s="860">
        <f>ROUND('T1'!K31,$D$20)</f>
        <v>790418.9</v>
      </c>
      <c r="N22" s="860">
        <f>ROUND('T1'!L31,$D$20)</f>
        <v>775027.03399999999</v>
      </c>
      <c r="O22" s="860">
        <f>ROUND('T1'!M31,$D$20)</f>
        <v>790935.59299999999</v>
      </c>
      <c r="P22" s="860">
        <f>ROUND('T1'!N31,$D$20)</f>
        <v>873485.10900000005</v>
      </c>
      <c r="Q22" s="860">
        <f>ROUND('T1'!O31,$D$20)</f>
        <v>889282.98699999996</v>
      </c>
      <c r="R22" s="162"/>
      <c r="S22" s="860">
        <f>ROUND('T1'!T31,$D$20)</f>
        <v>772193.07299999997</v>
      </c>
      <c r="T22" s="860">
        <f>ROUND('T1'!U31,$D$20)</f>
        <v>644352.72900000005</v>
      </c>
      <c r="U22" s="860">
        <f>ROUND('T1'!V31,$D$20)</f>
        <v>728743.005</v>
      </c>
    </row>
    <row r="23" spans="1:30" s="183" customFormat="1" ht="15" customHeight="1">
      <c r="A23" s="178" t="s">
        <v>33</v>
      </c>
      <c r="B23" s="179" t="s">
        <v>34</v>
      </c>
      <c r="C23" s="180" t="s">
        <v>35</v>
      </c>
      <c r="D23" s="181">
        <v>3</v>
      </c>
      <c r="K23" s="182" t="b">
        <f>'T1'!I64&gt;=0</f>
        <v>1</v>
      </c>
      <c r="L23" s="182" t="b">
        <f>'T1'!J64&gt;=0</f>
        <v>1</v>
      </c>
      <c r="M23" s="182" t="b">
        <f>'T1'!K64&gt;=0</f>
        <v>1</v>
      </c>
      <c r="N23" s="182" t="b">
        <f>'T1'!L64&gt;=0</f>
        <v>1</v>
      </c>
      <c r="O23" s="182" t="b">
        <f>'T1'!M64&gt;=0</f>
        <v>1</v>
      </c>
      <c r="P23" s="182" t="b">
        <f>'T1'!N64&gt;=0</f>
        <v>1</v>
      </c>
      <c r="Q23" s="182" t="b">
        <f>'T1'!O64&gt;=0</f>
        <v>1</v>
      </c>
      <c r="R23" s="162"/>
      <c r="S23" s="182" t="b">
        <f>'T1'!T64&gt;=0</f>
        <v>1</v>
      </c>
      <c r="T23" s="182" t="b">
        <f>'T1'!U64&gt;=0</f>
        <v>1</v>
      </c>
      <c r="U23" s="182" t="b">
        <f>'T1'!V64&gt;=0</f>
        <v>1</v>
      </c>
      <c r="V23" s="189"/>
      <c r="W23" s="189"/>
      <c r="X23" s="189"/>
      <c r="Y23" s="189"/>
      <c r="Z23" s="189"/>
      <c r="AA23" s="189"/>
      <c r="AB23" s="189"/>
      <c r="AC23" s="189"/>
      <c r="AD23" s="189"/>
    </row>
    <row r="24" spans="1:30" s="189" customFormat="1" ht="15" customHeight="1" outlineLevel="1">
      <c r="A24" s="215"/>
      <c r="B24" s="185"/>
      <c r="C24" s="186" t="s">
        <v>36</v>
      </c>
      <c r="D24" s="190"/>
      <c r="K24" s="198">
        <f>'T1'!I64</f>
        <v>2.5000000000000001E-2</v>
      </c>
      <c r="L24" s="198">
        <f>'T1'!J64</f>
        <v>1.7999999999999999E-2</v>
      </c>
      <c r="M24" s="198">
        <f>'T1'!K64</f>
        <v>0.02</v>
      </c>
      <c r="N24" s="198">
        <f>'T1'!L64</f>
        <v>0.02</v>
      </c>
      <c r="O24" s="198">
        <f>'T1'!M64</f>
        <v>0.02</v>
      </c>
      <c r="P24" s="198">
        <f>'T1'!N64</f>
        <v>6.1359439712091124E-2</v>
      </c>
      <c r="Q24" s="198">
        <f>'T1'!O64</f>
        <v>8.5674714548986675E-3</v>
      </c>
      <c r="R24" s="162"/>
      <c r="S24" s="198">
        <f>'T1'!T64</f>
        <v>8.9999999999999993E-3</v>
      </c>
      <c r="T24" s="198">
        <f>'T1'!U64</f>
        <v>2.5999999999999999E-2</v>
      </c>
      <c r="U24" s="198">
        <f>'T1'!V64</f>
        <v>9.0999999999999998E-2</v>
      </c>
    </row>
    <row r="25" spans="1:30" s="183" customFormat="1" ht="15" customHeight="1">
      <c r="A25" s="178" t="s">
        <v>37</v>
      </c>
      <c r="B25" s="179" t="s">
        <v>38</v>
      </c>
      <c r="C25" s="180" t="s">
        <v>39</v>
      </c>
      <c r="D25" s="181">
        <v>2</v>
      </c>
      <c r="E25" s="189"/>
      <c r="F25" s="182" t="b">
        <f>ROUND('T1'!C65*(1+'T1'!D64),$D$25)=ROUND('T1'!D65,$D$25)</f>
        <v>1</v>
      </c>
      <c r="G25" s="182" t="b">
        <f>ROUND('T1'!D65*(1+'T1'!E64),$D$25)=ROUND('T1'!E65,$D$25)</f>
        <v>1</v>
      </c>
      <c r="H25" s="182" t="b">
        <f>ROUND('T1'!E65*(1+'T1'!F64),$D$25)=ROUND('T1'!F65,$D$25)</f>
        <v>1</v>
      </c>
      <c r="I25" s="182" t="b">
        <f>ROUND('T1'!F65*(1+'T1'!G64),$D$25)=ROUND('T1'!G65,$D$25)</f>
        <v>1</v>
      </c>
      <c r="J25" s="182" t="b">
        <f>ROUND('T1'!G65*(1+'T1'!H64),$D$25)=ROUND('T1'!H65,$D$25)</f>
        <v>1</v>
      </c>
      <c r="K25" s="182" t="b">
        <f>ROUND('T1'!H65*(1+'T1'!I64),$D$25)=ROUND('T1'!I65,$D$25)</f>
        <v>1</v>
      </c>
      <c r="L25" s="182" t="b">
        <f>ROUND('T1'!I65*(1+'T1'!J64),$D$25)=ROUND('T1'!J65,$D$25)</f>
        <v>1</v>
      </c>
      <c r="M25" s="182" t="b">
        <f>ROUND('T1'!J65*(1+'T1'!K64),$D$25)=ROUND('T1'!K65,$D$25)</f>
        <v>0</v>
      </c>
      <c r="N25" s="182" t="b">
        <f>ROUND('T1'!K65*(1+'T1'!L64),$D$25)=ROUND('T1'!L65,$D$25)</f>
        <v>1</v>
      </c>
      <c r="O25" s="182" t="b">
        <f>ROUND('T1'!L65*(1+'T1'!M64),$D$25)=ROUND('T1'!M65,$D$25)</f>
        <v>1</v>
      </c>
      <c r="P25" s="182" t="b">
        <f>ROUND('T1'!M65*(1+'T1'!N64),$D$25)=ROUND('T1'!N65,$D$25)</f>
        <v>0</v>
      </c>
      <c r="Q25" s="182" t="b">
        <f>ROUND('T1'!N65*(1+'T1'!O64),$D$25)=ROUND('T1'!O65,$D$25)</f>
        <v>1</v>
      </c>
      <c r="R25" s="162"/>
      <c r="S25" s="182" t="b">
        <f>ROUND('T1'!T65*(1+'T1'!S64),$D$25)=ROUND('T1'!T65,$D$25)</f>
        <v>1</v>
      </c>
      <c r="T25" s="182" t="b">
        <f>ROUND('T1'!T65*(1+'T1'!U64),$D$25)=ROUND('T1'!U65,$D$25)</f>
        <v>1</v>
      </c>
      <c r="U25" s="182" t="b">
        <f>ROUND('T1'!U65*(1+'T1'!V64),$D$25)=ROUND('T1'!V65,$D$25)</f>
        <v>1</v>
      </c>
      <c r="V25" s="189"/>
      <c r="W25" s="189"/>
      <c r="X25" s="189"/>
      <c r="Y25" s="189"/>
      <c r="Z25" s="189"/>
      <c r="AA25" s="189"/>
      <c r="AB25" s="189"/>
      <c r="AC25" s="189"/>
      <c r="AD25" s="189"/>
    </row>
    <row r="26" spans="1:30" s="189" customFormat="1" ht="15" customHeight="1" outlineLevel="1">
      <c r="A26" s="184"/>
      <c r="B26" s="185"/>
      <c r="C26" s="186" t="s">
        <v>40</v>
      </c>
      <c r="D26" s="190"/>
      <c r="F26" s="214">
        <f>ROUND('T1'!C65*(1+'T1'!D64),$D$25)</f>
        <v>95.27</v>
      </c>
      <c r="G26" s="214">
        <f>ROUND('T1'!D65*(1+'T1'!E64),$D$25)</f>
        <v>96.69</v>
      </c>
      <c r="H26" s="214">
        <f>ROUND('T1'!E65*(1+'T1'!F64),$D$25)</f>
        <v>96.69</v>
      </c>
      <c r="I26" s="214">
        <f>ROUND('T1'!F65*(1+'T1'!G64),$D$25)</f>
        <v>97.37</v>
      </c>
      <c r="J26" s="214">
        <f>ROUND('T1'!G65*(1+'T1'!H64),$D$25)</f>
        <v>100</v>
      </c>
      <c r="K26" s="214">
        <f>ROUND('T1'!H65*(1+'T1'!I64),$D$25)</f>
        <v>102.5</v>
      </c>
      <c r="L26" s="214">
        <f>ROUND('T1'!I65*(1+'T1'!J64),$D$25)</f>
        <v>104.35</v>
      </c>
      <c r="M26" s="214">
        <f>ROUND('T1'!J65*(1+'T1'!K64),$D$25)</f>
        <v>106.43</v>
      </c>
      <c r="N26" s="214">
        <f>ROUND('T1'!K65*(1+'T1'!L64),$D$25)</f>
        <v>108.57</v>
      </c>
      <c r="O26" s="214">
        <f>ROUND('T1'!L65*(1+'T1'!M64),$D$25)</f>
        <v>110.74</v>
      </c>
      <c r="P26" s="214">
        <f>ROUND('T1'!M65*(1+'T1'!N64),$D$25)</f>
        <v>117.54</v>
      </c>
      <c r="Q26" s="214">
        <f>ROUND('T1'!N65*(1+'T1'!O64),$D$25)</f>
        <v>119.75</v>
      </c>
      <c r="R26" s="162"/>
      <c r="S26" s="214">
        <f>ROUND('T1'!T65*(1+'T1'!S64),$D$25)</f>
        <v>105.28</v>
      </c>
      <c r="T26" s="214">
        <f>ROUND('T1'!T65*(1+'T1'!U64),$D$25)</f>
        <v>108.02</v>
      </c>
      <c r="U26" s="214">
        <f>ROUND('T1'!U65*(1+'T1'!V64),$D$25)</f>
        <v>117.85</v>
      </c>
    </row>
    <row r="27" spans="1:30" s="189" customFormat="1" ht="15" customHeight="1" outlineLevel="1">
      <c r="A27" s="184"/>
      <c r="B27" s="185"/>
      <c r="C27" s="186" t="s">
        <v>41</v>
      </c>
      <c r="D27" s="190"/>
      <c r="F27" s="214">
        <f>ROUND('T1'!D65,$D$25)</f>
        <v>95.27</v>
      </c>
      <c r="G27" s="214">
        <f>ROUND('T1'!E65,$D$25)</f>
        <v>96.69</v>
      </c>
      <c r="H27" s="214">
        <f>ROUND('T1'!F65,$D$25)</f>
        <v>96.69</v>
      </c>
      <c r="I27" s="214">
        <f>ROUND('T1'!G65,$D$25)</f>
        <v>97.37</v>
      </c>
      <c r="J27" s="214">
        <f>ROUND('T1'!H65,$D$25)</f>
        <v>100</v>
      </c>
      <c r="K27" s="214">
        <f>ROUND('T1'!I65,$D$25)</f>
        <v>102.5</v>
      </c>
      <c r="L27" s="214">
        <f>ROUND('T1'!J65,$D$25)</f>
        <v>104.35</v>
      </c>
      <c r="M27" s="214">
        <f>ROUND('T1'!K65,$D$25)</f>
        <v>106.44</v>
      </c>
      <c r="N27" s="214">
        <f>ROUND('T1'!L65,$D$25)</f>
        <v>108.57</v>
      </c>
      <c r="O27" s="214">
        <f>ROUND('T1'!M65,$D$25)</f>
        <v>110.74</v>
      </c>
      <c r="P27" s="214">
        <f>ROUND('T1'!N65,$D$25)</f>
        <v>118.73</v>
      </c>
      <c r="Q27" s="214">
        <f>ROUND('T1'!O65,$D$25)</f>
        <v>119.75</v>
      </c>
      <c r="R27" s="162"/>
      <c r="S27" s="214">
        <f>ROUND('T1'!T65,$D$25)</f>
        <v>105.28</v>
      </c>
      <c r="T27" s="214">
        <f>ROUND('T1'!U65,$D$25)</f>
        <v>108.02</v>
      </c>
      <c r="U27" s="214">
        <f>ROUND('T1'!V65,$D$25)</f>
        <v>117.85</v>
      </c>
    </row>
    <row r="28" spans="1:30" s="183" customFormat="1" ht="15" customHeight="1">
      <c r="A28" s="178" t="s">
        <v>42</v>
      </c>
      <c r="B28" s="179" t="s">
        <v>43</v>
      </c>
      <c r="C28" s="180" t="s">
        <v>44</v>
      </c>
      <c r="D28" s="181">
        <v>2</v>
      </c>
      <c r="E28" s="189"/>
      <c r="F28" s="182" t="b">
        <f>ROUND(('T1'!D66/'T1'!D68),$D$28)=ROUND('T1'!D70,$D$28)</f>
        <v>1</v>
      </c>
      <c r="G28" s="182" t="b">
        <f>ROUND(('T1'!E66/'T1'!E68),$D$28)=ROUND('T1'!E70,$D$28)</f>
        <v>1</v>
      </c>
      <c r="H28" s="182" t="b">
        <f>ROUND(('T1'!F66/'T1'!F68),$D$28)=ROUND('T1'!F70,$D$28)</f>
        <v>1</v>
      </c>
      <c r="I28" s="182" t="b">
        <f>ROUND(('T1'!G66/'T1'!G68),$D$28)=ROUND('T1'!G70,$D$28)</f>
        <v>1</v>
      </c>
      <c r="J28" s="182" t="b">
        <f>ROUND(('T1'!H66/'T1'!H68),$D$28)=ROUND('T1'!H70,$D$28)</f>
        <v>1</v>
      </c>
      <c r="K28" s="182" t="b">
        <f>ROUND(('T1'!I66/'T1'!I68),$D$28)=ROUND('T1'!I70,$D$28)</f>
        <v>1</v>
      </c>
      <c r="L28" s="182" t="b">
        <f>ROUND(('T1'!J66/'T1'!J68),$D$28)=ROUND('T1'!J70,$D$28)</f>
        <v>1</v>
      </c>
      <c r="M28" s="182" t="b">
        <f>ROUND(('T1'!K66/'T1'!K68),$D$28)=ROUND('T1'!K70,$D$28)</f>
        <v>1</v>
      </c>
      <c r="N28" s="182" t="b">
        <f>ROUND(('T1'!L66/'T1'!L68),$D$28)=ROUND('T1'!L70,$D$28)</f>
        <v>1</v>
      </c>
      <c r="O28" s="182" t="b">
        <f>ROUND(('T1'!M66/'T1'!M68),$D$28)=ROUND('T1'!M70,$D$28)</f>
        <v>1</v>
      </c>
      <c r="P28" s="182" t="b">
        <f>ROUND(('T1'!N66/'T1'!N68),$D$28)=ROUND('T1'!N70,$D$28)</f>
        <v>1</v>
      </c>
      <c r="Q28" s="182" t="b">
        <f>ROUND(('T1'!O66/'T1'!O68),$D$28)=ROUND('T1'!O70,$D$28)</f>
        <v>1</v>
      </c>
      <c r="R28" s="162"/>
      <c r="S28" s="182" t="b">
        <f>ROUND(('T1'!T66/'T1'!T68),$D$28)=ROUND('T1'!T70,$D$28)</f>
        <v>1</v>
      </c>
      <c r="T28" s="182" t="b">
        <f>ROUND(('T1'!U66/'T1'!U68),$D$28)=ROUND('T1'!U70,$D$28)</f>
        <v>1</v>
      </c>
      <c r="U28" s="182" t="b">
        <f>ROUND(('T1'!V66/'T1'!V68),$D$28)=ROUND('T1'!V70,$D$28)</f>
        <v>1</v>
      </c>
      <c r="V28" s="189"/>
      <c r="W28" s="189"/>
      <c r="X28" s="189"/>
      <c r="Y28" s="189"/>
      <c r="Z28" s="189"/>
      <c r="AA28" s="189"/>
      <c r="AB28" s="189"/>
      <c r="AC28" s="189"/>
      <c r="AD28" s="189"/>
    </row>
    <row r="29" spans="1:30" s="189" customFormat="1" ht="15" customHeight="1" outlineLevel="1">
      <c r="A29" s="184"/>
      <c r="B29" s="185"/>
      <c r="C29" s="186" t="s">
        <v>45</v>
      </c>
      <c r="D29" s="190"/>
      <c r="F29" s="214">
        <f>ROUND(('T1'!D66/'T1'!D68),$D$28)</f>
        <v>78</v>
      </c>
      <c r="G29" s="214">
        <f>ROUND(('T1'!E66/'T1'!E68),$D$28)</f>
        <v>69.42</v>
      </c>
      <c r="H29" s="214">
        <f>ROUND(('T1'!F66/'T1'!F68),$D$28)</f>
        <v>66.95</v>
      </c>
      <c r="I29" s="214">
        <f>ROUND(('T1'!G66/'T1'!G68),$D$28)</f>
        <v>62.93</v>
      </c>
      <c r="J29" s="214">
        <f>ROUND(('T1'!H66/'T1'!H68),$D$28)</f>
        <v>56.14</v>
      </c>
      <c r="K29" s="214">
        <f>ROUND(('T1'!I66/'T1'!I68),$D$28)</f>
        <v>55.55</v>
      </c>
      <c r="L29" s="214">
        <f>ROUND(('T1'!J66/'T1'!J68),$D$28)</f>
        <v>53.99</v>
      </c>
      <c r="M29" s="214">
        <f>ROUND(('T1'!K66/'T1'!K68),$D$28)</f>
        <v>58.71</v>
      </c>
      <c r="N29" s="214">
        <f>ROUND(('T1'!L66/'T1'!L68),$D$28)</f>
        <v>55.37</v>
      </c>
      <c r="O29" s="214">
        <f>ROUND(('T1'!M66/'T1'!M68),$D$28)</f>
        <v>54.18</v>
      </c>
      <c r="P29" s="214">
        <f>ROUND(('T1'!N66/'T1'!N68),$D$28)</f>
        <v>61.53</v>
      </c>
      <c r="Q29" s="214">
        <f>ROUND(('T1'!O66/'T1'!O68),$D$28)</f>
        <v>57.43</v>
      </c>
      <c r="R29" s="162"/>
      <c r="S29" s="214">
        <f>ROUND(('T1'!T66/'T1'!T68),$D$28)</f>
        <v>143.83000000000001</v>
      </c>
      <c r="T29" s="214">
        <f>ROUND(('T1'!U66/'T1'!U68),$D$28)</f>
        <v>107.84</v>
      </c>
      <c r="U29" s="214">
        <f>ROUND(('T1'!V66/'T1'!V68),$D$28)</f>
        <v>57.36</v>
      </c>
    </row>
    <row r="30" spans="1:30" s="189" customFormat="1" ht="15" customHeight="1" outlineLevel="1">
      <c r="A30" s="184"/>
      <c r="B30" s="185"/>
      <c r="C30" s="186" t="s">
        <v>46</v>
      </c>
      <c r="D30" s="190"/>
      <c r="F30" s="214">
        <f>ROUND('T1'!D70,$D$28)</f>
        <v>78</v>
      </c>
      <c r="G30" s="214">
        <f>ROUND('T1'!E70,$D$28)</f>
        <v>69.42</v>
      </c>
      <c r="H30" s="214">
        <f>ROUND('T1'!F70,$D$28)</f>
        <v>66.95</v>
      </c>
      <c r="I30" s="214">
        <f>ROUND('T1'!G70,$D$28)</f>
        <v>62.93</v>
      </c>
      <c r="J30" s="214">
        <f>ROUND('T1'!H70,$D$28)</f>
        <v>56.14</v>
      </c>
      <c r="K30" s="214">
        <f>ROUND('T1'!I70,$D$28)</f>
        <v>55.55</v>
      </c>
      <c r="L30" s="214">
        <f>ROUND('T1'!J70,$D$28)</f>
        <v>53.99</v>
      </c>
      <c r="M30" s="214">
        <f>ROUND('T1'!K70,$D$28)</f>
        <v>58.71</v>
      </c>
      <c r="N30" s="214">
        <f>ROUND('T1'!L70,$D$28)</f>
        <v>55.37</v>
      </c>
      <c r="O30" s="214">
        <f>ROUND('T1'!M70,$D$28)</f>
        <v>54.18</v>
      </c>
      <c r="P30" s="214">
        <f>ROUND('T1'!N70,$D$28)</f>
        <v>61.53</v>
      </c>
      <c r="Q30" s="214">
        <f>ROUND('T1'!O70,$D$28)</f>
        <v>57.43</v>
      </c>
      <c r="R30" s="162"/>
      <c r="S30" s="214">
        <f>ROUND('T1'!T70,$D$28)</f>
        <v>143.83000000000001</v>
      </c>
      <c r="T30" s="214">
        <f>ROUND('T1'!U70,$D$28)</f>
        <v>107.84</v>
      </c>
      <c r="U30" s="214">
        <f>ROUND('T1'!V70,$D$28)</f>
        <v>57.36</v>
      </c>
    </row>
    <row r="31" spans="1:30" s="183" customFormat="1" ht="15" customHeight="1">
      <c r="A31" s="178" t="s">
        <v>47</v>
      </c>
      <c r="B31" s="179" t="s">
        <v>17</v>
      </c>
      <c r="C31" s="180" t="s">
        <v>48</v>
      </c>
      <c r="D31" s="181">
        <v>3</v>
      </c>
      <c r="E31" s="182" t="b">
        <f>ROUND('T1'!C61,$D$31)=ROUND('T1'!C18-'T1'!C60,$D$31)</f>
        <v>1</v>
      </c>
      <c r="F31" s="182" t="b">
        <f>ROUND('T1'!D61,$D$31)=ROUND('T1'!D18-'T1'!D60,$D$31)</f>
        <v>1</v>
      </c>
      <c r="G31" s="182" t="b">
        <f>ROUND('T1'!E61,$D$31)=ROUND('T1'!E18-'T1'!E60,$D$31)</f>
        <v>1</v>
      </c>
      <c r="H31" s="182" t="b">
        <f>ROUND('T1'!F61,$D$31)=ROUND('T1'!F18-'T1'!F60,$D$31)</f>
        <v>1</v>
      </c>
      <c r="I31" s="182" t="b">
        <f>ROUND('T1'!G61,$D$31)=ROUND('T1'!G18-'T1'!G60,$D$31)</f>
        <v>1</v>
      </c>
      <c r="J31" s="182" t="b">
        <f>ROUND('T1'!H61,$D$31)=ROUND('T1'!H18-'T1'!H60,$D$31)</f>
        <v>1</v>
      </c>
      <c r="K31" s="182" t="b">
        <f>ROUND('T1'!I61,$D$31)=ROUND('T1'!I18-'T1'!I60,$D$31)</f>
        <v>1</v>
      </c>
      <c r="L31" s="182" t="b">
        <f>ROUND('T1'!J61,$D$31)=ROUND('T1'!J18-'T1'!J60,$D$31)</f>
        <v>1</v>
      </c>
      <c r="M31" s="182" t="b">
        <f>ROUND('T1'!K61,$D$31)=ROUND('T1'!K18-'T1'!K60,$D$31)</f>
        <v>1</v>
      </c>
      <c r="N31" s="182" t="b">
        <f>ROUND('T1'!L61,$D$31)=ROUND('T1'!L18-'T1'!L60,$D$31)</f>
        <v>1</v>
      </c>
      <c r="O31" s="182" t="b">
        <f>ROUND('T1'!M61,$D$31)=ROUND('T1'!M18-'T1'!M60,$D$31)</f>
        <v>1</v>
      </c>
      <c r="P31" s="182" t="b">
        <f>ROUND('T1'!N61,$D$31)=ROUND('T1'!N18-'T1'!N60,$D$31)</f>
        <v>1</v>
      </c>
      <c r="Q31" s="182" t="b">
        <f>ROUND('T1'!O61,$D$31)=ROUND('T1'!O18-'T1'!O60,$D$31)</f>
        <v>1</v>
      </c>
      <c r="R31" s="162"/>
      <c r="S31" s="182" t="b">
        <f>ROUND('T1'!T61,$D$31)=ROUND('T1'!T18-'T1'!T60,$D$31)</f>
        <v>1</v>
      </c>
      <c r="T31" s="182" t="b">
        <f>ROUND('T1'!U61,$D$31)=ROUND('T1'!U18-'T1'!U60,$D$31)</f>
        <v>1</v>
      </c>
      <c r="U31" s="182" t="b">
        <f>ROUND('T1'!V61,$D$31)=ROUND('T1'!V18-'T1'!V60,$D$31)</f>
        <v>1</v>
      </c>
    </row>
    <row r="32" spans="1:30" s="189" customFormat="1" ht="15" customHeight="1" outlineLevel="1">
      <c r="A32" s="184"/>
      <c r="B32" s="185"/>
      <c r="C32" s="186" t="s">
        <v>49</v>
      </c>
      <c r="D32" s="190"/>
      <c r="E32" s="860">
        <f>ROUND('T1'!C61,$D$31)</f>
        <v>658740.66500000004</v>
      </c>
      <c r="F32" s="860">
        <f>ROUND('T1'!D61,$D$31)</f>
        <v>724832.527</v>
      </c>
      <c r="G32" s="860">
        <f>ROUND('T1'!E61,$D$31)</f>
        <v>669901.15599999996</v>
      </c>
      <c r="H32" s="860">
        <f>ROUND('T1'!F61,$D$31)</f>
        <v>657371.51399999997</v>
      </c>
      <c r="I32" s="860">
        <f>ROUND('T1'!G61,$D$31)</f>
        <v>666364.99800000002</v>
      </c>
      <c r="J32" s="860">
        <f>ROUND('T1'!H61,$D$31)</f>
        <v>660595.57999999996</v>
      </c>
      <c r="K32" s="860">
        <f>ROUND('T1'!I61,$D$31)</f>
        <v>694359.07900000003</v>
      </c>
      <c r="L32" s="860">
        <f>ROUND('T1'!J61,$D$31)</f>
        <v>709493.71799999999</v>
      </c>
      <c r="M32" s="860">
        <f>ROUND('T1'!K61,$D$31)</f>
        <v>790418.9</v>
      </c>
      <c r="N32" s="860">
        <f>ROUND('T1'!L61,$D$31)</f>
        <v>775027.03399999999</v>
      </c>
      <c r="O32" s="860">
        <f>ROUND('T1'!M61,$D$31)</f>
        <v>790935.59299999999</v>
      </c>
      <c r="P32" s="860">
        <f>ROUND('T1'!N61,$D$31)</f>
        <v>873485.10900000005</v>
      </c>
      <c r="Q32" s="860">
        <f>ROUND('T1'!O61,$D$31)</f>
        <v>889282.98699999996</v>
      </c>
      <c r="R32" s="162"/>
      <c r="S32" s="860">
        <f>ROUND('T1'!T61,$D$31)</f>
        <v>772193.07299999997</v>
      </c>
      <c r="T32" s="860">
        <f>ROUND('T1'!U61,$D$31)</f>
        <v>644352.72900000005</v>
      </c>
      <c r="U32" s="860">
        <f>ROUND('T1'!V61,$D$31)</f>
        <v>728805.28300000005</v>
      </c>
    </row>
    <row r="33" spans="1:27" s="189" customFormat="1" ht="15" customHeight="1" outlineLevel="1">
      <c r="A33" s="184"/>
      <c r="B33" s="185"/>
      <c r="C33" s="186" t="s">
        <v>50</v>
      </c>
      <c r="D33" s="190"/>
      <c r="E33" s="860">
        <f>ROUND('T1'!C18-'T1'!C60,$D$31)</f>
        <v>658740.66500000004</v>
      </c>
      <c r="F33" s="860">
        <f>ROUND('T1'!D18-'T1'!D60,$D$31)</f>
        <v>724832.527</v>
      </c>
      <c r="G33" s="860">
        <f>ROUND('T1'!E18-'T1'!E60,$D$31)</f>
        <v>669901.15599999996</v>
      </c>
      <c r="H33" s="860">
        <f>ROUND('T1'!F18-'T1'!F60,$D$31)</f>
        <v>657371.51399999997</v>
      </c>
      <c r="I33" s="860">
        <f>ROUND('T1'!G18-'T1'!G60,$D$31)</f>
        <v>666364.99800000002</v>
      </c>
      <c r="J33" s="860">
        <f>ROUND('T1'!H18-'T1'!H60,$D$31)</f>
        <v>660595.57999999996</v>
      </c>
      <c r="K33" s="860">
        <f>ROUND('T1'!I18-'T1'!I60,$D$31)</f>
        <v>694359.07900000003</v>
      </c>
      <c r="L33" s="860">
        <f>ROUND('T1'!J18-'T1'!J60,$D$31)</f>
        <v>709493.71799999999</v>
      </c>
      <c r="M33" s="860">
        <f>ROUND('T1'!K18-'T1'!K60,$D$31)</f>
        <v>790418.9</v>
      </c>
      <c r="N33" s="860">
        <f>ROUND('T1'!L18-'T1'!L60,$D$31)</f>
        <v>775027.03399999999</v>
      </c>
      <c r="O33" s="860">
        <f>ROUND('T1'!M18-'T1'!M60,$D$31)</f>
        <v>790935.59299999999</v>
      </c>
      <c r="P33" s="860">
        <f>ROUND('T1'!N18-'T1'!N60,$D$31)</f>
        <v>873485.10900000005</v>
      </c>
      <c r="Q33" s="860">
        <f>ROUND('T1'!O18-'T1'!O60,$D$31)</f>
        <v>889282.98699999996</v>
      </c>
      <c r="R33" s="162"/>
      <c r="S33" s="860">
        <f>ROUND('T1'!T18-'T1'!T60,$D$31)</f>
        <v>772193.07299999997</v>
      </c>
      <c r="T33" s="860">
        <f>ROUND('T1'!U18-'T1'!U60,$D$31)</f>
        <v>644352.72900000005</v>
      </c>
      <c r="U33" s="860">
        <f>ROUND('T1'!V18-'T1'!V60,$D$31)</f>
        <v>728805.28300000005</v>
      </c>
    </row>
    <row r="34" spans="1:27" s="193" customFormat="1" ht="18">
      <c r="A34" s="172" t="s">
        <v>13</v>
      </c>
      <c r="B34" s="173" t="s">
        <v>14</v>
      </c>
      <c r="C34" s="174" t="s">
        <v>51</v>
      </c>
      <c r="D34" s="191"/>
      <c r="E34" s="192"/>
      <c r="F34" s="192"/>
      <c r="G34" s="192"/>
      <c r="H34" s="192"/>
      <c r="I34" s="192"/>
      <c r="J34" s="192"/>
      <c r="K34" s="192"/>
      <c r="L34" s="192"/>
      <c r="M34" s="192"/>
      <c r="N34" s="192"/>
      <c r="O34" s="192"/>
      <c r="P34" s="192"/>
      <c r="Q34" s="192"/>
      <c r="R34" s="162"/>
      <c r="S34" s="192"/>
      <c r="T34" s="192"/>
      <c r="U34" s="192"/>
    </row>
    <row r="35" spans="1:27" s="183" customFormat="1" ht="15" customHeight="1">
      <c r="A35" s="178" t="s">
        <v>21</v>
      </c>
      <c r="B35" s="179" t="s">
        <v>22</v>
      </c>
      <c r="C35" s="180" t="s">
        <v>23</v>
      </c>
      <c r="D35" s="194">
        <v>3</v>
      </c>
      <c r="E35" s="182" t="b">
        <f>ROUND('T1 ANSP'!C18,$D$35)=ROUND(('T1 ANSP'!C12+SUM('T1 ANSP'!C14:C17)),$D$35)</f>
        <v>1</v>
      </c>
      <c r="F35" s="182" t="b">
        <f>ROUND('T1 ANSP'!D18,$D$35)=ROUND(('T1 ANSP'!D12+SUM('T1 ANSP'!D14:D17)),$D$35)</f>
        <v>1</v>
      </c>
      <c r="G35" s="182" t="b">
        <f>ROUND('T1 ANSP'!E18,$D$35)=ROUND(('T1 ANSP'!E12+SUM('T1 ANSP'!E14:E17)),$D$35)</f>
        <v>1</v>
      </c>
      <c r="H35" s="182" t="b">
        <f>ROUND('T1 ANSP'!F18,$D$35)=ROUND(('T1 ANSP'!F12+SUM('T1 ANSP'!F14:F17)),$D$35)</f>
        <v>1</v>
      </c>
      <c r="I35" s="182" t="b">
        <f>ROUND('T1 ANSP'!G18,$D$35)=ROUND(('T1 ANSP'!G12+SUM('T1 ANSP'!G14:G17)),$D$35)</f>
        <v>1</v>
      </c>
      <c r="J35" s="182" t="b">
        <f>ROUND('T1 ANSP'!H18,$D$35)=ROUND(('T1 ANSP'!H12+SUM('T1 ANSP'!H14:H17)),$D$35)</f>
        <v>1</v>
      </c>
      <c r="K35" s="182" t="b">
        <f>ROUND('T1 ANSP'!I18,$D$35)=ROUND(('T1 ANSP'!I12+SUM('T1 ANSP'!I14:I17)),$D$35)</f>
        <v>1</v>
      </c>
      <c r="L35" s="182" t="b">
        <f>ROUND('T1 ANSP'!J18,$D$35)=ROUND(('T1 ANSP'!J12+SUM('T1 ANSP'!J14:J17)),$D$35)</f>
        <v>1</v>
      </c>
      <c r="M35" s="182" t="b">
        <f>ROUND('T1 ANSP'!K18,$D$35)=ROUND(('T1 ANSP'!K12+SUM('T1 ANSP'!K14:K17)),$D$35)</f>
        <v>1</v>
      </c>
      <c r="N35" s="182" t="b">
        <f>ROUND('T1 ANSP'!L18,$D$35)=ROUND(('T1 ANSP'!L12+SUM('T1 ANSP'!L14:L17)),$D$35)</f>
        <v>1</v>
      </c>
      <c r="O35" s="182" t="b">
        <f>ROUND('T1 ANSP'!M18,$D$35)=ROUND(('T1 ANSP'!M12+SUM('T1 ANSP'!M14:M17)),$D$35)</f>
        <v>1</v>
      </c>
      <c r="P35" s="182" t="b">
        <f>ROUND('T1 ANSP'!N18,$D$35)=ROUND(('T1 ANSP'!N12+SUM('T1 ANSP'!N14:N17)),$D$35)</f>
        <v>1</v>
      </c>
      <c r="Q35" s="182" t="b">
        <f>ROUND('T1 ANSP'!O18,$D$35)=ROUND(('T1 ANSP'!O12+SUM('T1 ANSP'!O14:O17)),$D$35)</f>
        <v>1</v>
      </c>
      <c r="R35" s="162"/>
      <c r="S35" s="182" t="b">
        <f>ROUND('T1 ANSP'!T18,$D$35)=ROUND(('T1 ANSP'!T12+SUM('T1 ANSP'!T14:T17)),$D$35)</f>
        <v>1</v>
      </c>
      <c r="T35" s="182" t="b">
        <f>ROUND('T1 ANSP'!U18,$D$35)=ROUND(('T1 ANSP'!U12+SUM('T1 ANSP'!U14:U17)),$D$35)</f>
        <v>1</v>
      </c>
      <c r="U35" s="182" t="b">
        <f>ROUND('T1 ANSP'!V18,$D$35)=ROUND(('T1 ANSP'!V12+SUM('T1 ANSP'!V14:V17)),$D$35)</f>
        <v>1</v>
      </c>
    </row>
    <row r="36" spans="1:27" s="189" customFormat="1" ht="15" customHeight="1" outlineLevel="1">
      <c r="A36" s="184"/>
      <c r="B36" s="195"/>
      <c r="C36" s="186" t="s">
        <v>24</v>
      </c>
      <c r="D36" s="190"/>
      <c r="E36" s="860">
        <f>ROUND('T1 ANSP'!C18,$D$35)</f>
        <v>572692.66500000004</v>
      </c>
      <c r="F36" s="860">
        <f>ROUND('T1 ANSP'!D18,$D$35)</f>
        <v>635977.527</v>
      </c>
      <c r="G36" s="860">
        <f>ROUND('T1 ANSP'!E18,$D$35)</f>
        <v>583336.31799999997</v>
      </c>
      <c r="H36" s="860">
        <f>ROUND('T1 ANSP'!F18,$D$35)</f>
        <v>573075.10199999996</v>
      </c>
      <c r="I36" s="860">
        <f>ROUND('T1 ANSP'!G18,$D$35)</f>
        <v>577164.61800000002</v>
      </c>
      <c r="J36" s="860">
        <f>ROUND('T1 ANSP'!H18,$D$35)</f>
        <v>567866.76399999997</v>
      </c>
      <c r="K36" s="860">
        <f>ROUND('T1 ANSP'!I18,$D$35)</f>
        <v>602995.23400000005</v>
      </c>
      <c r="L36" s="860">
        <f>ROUND('T1 ANSP'!J18,$D$35)</f>
        <v>619030.27300000004</v>
      </c>
      <c r="M36" s="860">
        <f>ROUND('T1 ANSP'!K18,$D$35)</f>
        <v>689955.37800000003</v>
      </c>
      <c r="N36" s="860">
        <f>ROUND('T1 ANSP'!L18,$D$35)</f>
        <v>674270.83200000005</v>
      </c>
      <c r="O36" s="860">
        <f>ROUND('T1 ANSP'!M18,$D$35)</f>
        <v>688739.42299999995</v>
      </c>
      <c r="P36" s="860">
        <f>ROUND('T1 ANSP'!N18,$D$35)</f>
        <v>758911.57700000005</v>
      </c>
      <c r="Q36" s="860">
        <f>ROUND('T1 ANSP'!O18,$D$35)</f>
        <v>770018.8</v>
      </c>
      <c r="R36" s="162"/>
      <c r="S36" s="860">
        <f>ROUND('T1 ANSP'!T18,$D$35)</f>
        <v>681321.67500000005</v>
      </c>
      <c r="T36" s="860">
        <f>ROUND('T1 ANSP'!U18,$D$35)</f>
        <v>551130.21</v>
      </c>
      <c r="U36" s="860">
        <f>ROUND('T1 ANSP'!V18,$D$35)</f>
        <v>626180.16399999999</v>
      </c>
    </row>
    <row r="37" spans="1:27" s="189" customFormat="1" ht="15" customHeight="1" outlineLevel="1">
      <c r="A37" s="184"/>
      <c r="B37" s="185"/>
      <c r="C37" s="186" t="s">
        <v>25</v>
      </c>
      <c r="D37" s="190"/>
      <c r="E37" s="860">
        <f>ROUND(('T1 ANSP'!C12+SUM('T1 ANSP'!C14:C17)),$D$35)</f>
        <v>572692.66500000004</v>
      </c>
      <c r="F37" s="860">
        <f>ROUND(('T1 ANSP'!D12+SUM('T1 ANSP'!D14:D17)),$D$35)</f>
        <v>635977.527</v>
      </c>
      <c r="G37" s="860">
        <f>ROUND(('T1 ANSP'!E12+SUM('T1 ANSP'!E14:E17)),$D$35)</f>
        <v>583336.31799999997</v>
      </c>
      <c r="H37" s="860">
        <f>ROUND(('T1 ANSP'!F12+SUM('T1 ANSP'!F14:F17)),$D$35)</f>
        <v>573075.10199999996</v>
      </c>
      <c r="I37" s="860">
        <f>ROUND(('T1 ANSP'!G12+SUM('T1 ANSP'!G14:G17)),$D$35)</f>
        <v>577164.61800000002</v>
      </c>
      <c r="J37" s="860">
        <f>ROUND(('T1 ANSP'!H12+SUM('T1 ANSP'!H14:H17)),$D$35)</f>
        <v>567866.76399999997</v>
      </c>
      <c r="K37" s="860">
        <f>ROUND(('T1 ANSP'!I12+SUM('T1 ANSP'!I14:I17)),$D$35)</f>
        <v>602995.23400000005</v>
      </c>
      <c r="L37" s="860">
        <f>ROUND(('T1 ANSP'!J12+SUM('T1 ANSP'!J14:J17)),$D$35)</f>
        <v>619030.27300000004</v>
      </c>
      <c r="M37" s="860">
        <f>ROUND(('T1 ANSP'!K12+SUM('T1 ANSP'!K14:K17)),$D$35)</f>
        <v>689955.37800000003</v>
      </c>
      <c r="N37" s="860">
        <f>ROUND(('T1 ANSP'!L12+SUM('T1 ANSP'!L14:L17)),$D$35)</f>
        <v>674270.83200000005</v>
      </c>
      <c r="O37" s="860">
        <f>ROUND(('T1 ANSP'!M12+SUM('T1 ANSP'!M14:M17)),$D$35)</f>
        <v>688739.42299999995</v>
      </c>
      <c r="P37" s="860">
        <f>ROUND(('T1 ANSP'!N12+SUM('T1 ANSP'!N14:N17)),$D$35)</f>
        <v>758911.57700000005</v>
      </c>
      <c r="Q37" s="860">
        <f>ROUND(('T1 ANSP'!O12+SUM('T1 ANSP'!O14:O17)),$D$35)</f>
        <v>770018.8</v>
      </c>
      <c r="R37" s="162"/>
      <c r="S37" s="860">
        <f>ROUND(('T1 ANSP'!T12+SUM('T1 ANSP'!T14:T17)),$D$35)</f>
        <v>681321.67500000005</v>
      </c>
      <c r="T37" s="860">
        <f>ROUND(('T1 ANSP'!U12+SUM('T1 ANSP'!U14:U17)),$D$35)</f>
        <v>551130.21</v>
      </c>
      <c r="U37" s="860">
        <f>ROUND(('T1 ANSP'!V12+SUM('T1 ANSP'!V14:V17)),$D$35)</f>
        <v>626180.16399999999</v>
      </c>
    </row>
    <row r="38" spans="1:27" s="183" customFormat="1" ht="15" customHeight="1">
      <c r="A38" s="178" t="s">
        <v>26</v>
      </c>
      <c r="B38" s="179" t="s">
        <v>27</v>
      </c>
      <c r="C38" s="180" t="s">
        <v>28</v>
      </c>
      <c r="D38" s="194">
        <v>3</v>
      </c>
      <c r="E38" s="182" t="b">
        <f>ROUND('T1 ANSP'!C31,$D$38)=ROUND(SUM('T1 ANSP'!C22:C30),$D$38)</f>
        <v>1</v>
      </c>
      <c r="F38" s="182" t="b">
        <f>ROUND('T1 ANSP'!D31,$D$38)=ROUND(SUM('T1 ANSP'!D22:D30),$D$38)</f>
        <v>1</v>
      </c>
      <c r="G38" s="182" t="b">
        <f>ROUND('T1 ANSP'!E31,$D$38)=ROUND(SUM('T1 ANSP'!E22:E30),$D$38)</f>
        <v>1</v>
      </c>
      <c r="H38" s="182" t="b">
        <f>ROUND('T1 ANSP'!F31,$D$38)=ROUND(SUM('T1 ANSP'!F22:F30),$D$38)</f>
        <v>1</v>
      </c>
      <c r="I38" s="182" t="b">
        <f>ROUND('T1 ANSP'!G31,$D$38)=ROUND(SUM('T1 ANSP'!G22:G30),$D$38)</f>
        <v>1</v>
      </c>
      <c r="J38" s="182" t="b">
        <f>ROUND('T1 ANSP'!H31,$D$38)=ROUND(SUM('T1 ANSP'!H22:H30),$D$38)</f>
        <v>1</v>
      </c>
      <c r="K38" s="182" t="b">
        <f>ROUND('T1 ANSP'!I31,$D$38)=ROUND(SUM('T1 ANSP'!I22:I30),$D$38)</f>
        <v>1</v>
      </c>
      <c r="L38" s="182" t="b">
        <f>ROUND('T1 ANSP'!J31,$D$38)=ROUND(SUM('T1 ANSP'!J22:J30),$D$38)</f>
        <v>1</v>
      </c>
      <c r="M38" s="182" t="b">
        <f>ROUND('T1 ANSP'!K31,$D$38)=ROUND(SUM('T1 ANSP'!K22:K30),$D$38)</f>
        <v>1</v>
      </c>
      <c r="N38" s="182" t="b">
        <f>ROUND('T1 ANSP'!L31,$D$38)=ROUND(SUM('T1 ANSP'!L22:L30),$D$38)</f>
        <v>1</v>
      </c>
      <c r="O38" s="182" t="b">
        <f>ROUND('T1 ANSP'!M31,$D$38)=ROUND(SUM('T1 ANSP'!M22:M30),$D$38)</f>
        <v>1</v>
      </c>
      <c r="P38" s="182" t="b">
        <f>ROUND('T1 ANSP'!N31,$D$38)=ROUND(SUM('T1 ANSP'!N22:N30),$D$38)</f>
        <v>1</v>
      </c>
      <c r="Q38" s="182" t="b">
        <f>ROUND('T1 ANSP'!O31,$D$38)=ROUND(SUM('T1 ANSP'!O22:O30),$D$38)</f>
        <v>1</v>
      </c>
      <c r="R38" s="162"/>
      <c r="S38" s="182" t="b">
        <f>ROUND('T1 ANSP'!T31,$D$38)=ROUND(SUM('T1 ANSP'!T22:T30),$D$38)</f>
        <v>1</v>
      </c>
      <c r="T38" s="182" t="b">
        <f>ROUND('T1 ANSP'!U31,$D$38)=ROUND(SUM('T1 ANSP'!U22:U30),$D$38)</f>
        <v>1</v>
      </c>
      <c r="U38" s="182" t="b">
        <f>ROUND('T1 ANSP'!V31,$D$38)=ROUND(SUM('T1 ANSP'!V22:V30),$D$38)</f>
        <v>1</v>
      </c>
    </row>
    <row r="39" spans="1:27" s="189" customFormat="1" ht="15" customHeight="1" outlineLevel="1">
      <c r="A39" s="184"/>
      <c r="B39" s="185"/>
      <c r="C39" s="186" t="s">
        <v>29</v>
      </c>
      <c r="D39" s="190"/>
      <c r="E39" s="860">
        <f>ROUND('T1 ANSP'!C31,$D$38)</f>
        <v>572692.66500000004</v>
      </c>
      <c r="F39" s="860">
        <f>ROUND('T1 ANSP'!D31,$D$38)</f>
        <v>635977.527</v>
      </c>
      <c r="G39" s="860">
        <f>ROUND('T1 ANSP'!E31,$D$38)</f>
        <v>583336.31799999997</v>
      </c>
      <c r="H39" s="860">
        <f>ROUND('T1 ANSP'!F31,$D$38)</f>
        <v>573075.10199999996</v>
      </c>
      <c r="I39" s="860">
        <f>ROUND('T1 ANSP'!G31,$D$38)</f>
        <v>577164.61800000002</v>
      </c>
      <c r="J39" s="860">
        <f>ROUND('T1 ANSP'!H31,$D$38)</f>
        <v>567866.76399999997</v>
      </c>
      <c r="K39" s="860">
        <f>ROUND('T1 ANSP'!I31,$D$38)</f>
        <v>602995.23400000005</v>
      </c>
      <c r="L39" s="860">
        <f>ROUND('T1 ANSP'!J31,$D$38)</f>
        <v>619030.27300000004</v>
      </c>
      <c r="M39" s="860">
        <f>ROUND('T1 ANSP'!K31,$D$38)</f>
        <v>689955.37800000003</v>
      </c>
      <c r="N39" s="860">
        <f>ROUND('T1 ANSP'!L31,$D$38)</f>
        <v>674270.83200000005</v>
      </c>
      <c r="O39" s="860">
        <f>ROUND('T1 ANSP'!M31,$D$38)</f>
        <v>688739.42299999995</v>
      </c>
      <c r="P39" s="860">
        <f>ROUND('T1 ANSP'!N31,$D$38)</f>
        <v>758911.57700000005</v>
      </c>
      <c r="Q39" s="860">
        <f>ROUND('T1 ANSP'!O31,$D$38)</f>
        <v>770018.8</v>
      </c>
      <c r="R39" s="162"/>
      <c r="S39" s="860">
        <f>ROUND('T1 ANSP'!T31,$D$38)</f>
        <v>681321.67500000005</v>
      </c>
      <c r="T39" s="860">
        <f>ROUND('T1 ANSP'!U31,$D$38)</f>
        <v>551130.21</v>
      </c>
      <c r="U39" s="860">
        <f>ROUND('T1 ANSP'!V31,$D$38)</f>
        <v>626118.06599999999</v>
      </c>
    </row>
    <row r="40" spans="1:27" s="189" customFormat="1" ht="15" customHeight="1" outlineLevel="1">
      <c r="A40" s="184"/>
      <c r="B40" s="185"/>
      <c r="C40" s="186" t="s">
        <v>30</v>
      </c>
      <c r="D40" s="190"/>
      <c r="E40" s="860">
        <f>ROUND(SUM('T1 ANSP'!C22:C30),$D$956)</f>
        <v>572693</v>
      </c>
      <c r="F40" s="860">
        <f>ROUND(SUM('T1 ANSP'!D22:D30),$D$956)</f>
        <v>635978</v>
      </c>
      <c r="G40" s="860">
        <f>ROUND(SUM('T1 ANSP'!E22:E30),$D$956)</f>
        <v>583336</v>
      </c>
      <c r="H40" s="860">
        <f>ROUND(SUM('T1 ANSP'!F22:F30),$D$956)</f>
        <v>573075</v>
      </c>
      <c r="I40" s="860">
        <f>ROUND(SUM('T1 ANSP'!G22:G30),$D$956)</f>
        <v>577165</v>
      </c>
      <c r="J40" s="860">
        <f>ROUND(SUM('T1 ANSP'!H22:H30),$D$956)</f>
        <v>567867</v>
      </c>
      <c r="K40" s="860">
        <f>ROUND(SUM('T1 ANSP'!I22:I30),$D$956)</f>
        <v>602995</v>
      </c>
      <c r="L40" s="860">
        <f>ROUND(SUM('T1 ANSP'!J22:J30),$D$956)</f>
        <v>619030</v>
      </c>
      <c r="M40" s="860">
        <f>ROUND(SUM('T1 ANSP'!K22:K30),$D$956)</f>
        <v>689955</v>
      </c>
      <c r="N40" s="860">
        <f>ROUND(SUM('T1 ANSP'!L22:L30),$D$956)</f>
        <v>674271</v>
      </c>
      <c r="O40" s="860">
        <f>ROUND(SUM('T1 ANSP'!M22:M30),$D$956)</f>
        <v>688739</v>
      </c>
      <c r="P40" s="860">
        <f>ROUND(SUM('T1 ANSP'!N22:N30),$D$956)</f>
        <v>758912</v>
      </c>
      <c r="Q40" s="860">
        <f>ROUND(SUM('T1 ANSP'!O22:O30),$D$956)</f>
        <v>770019</v>
      </c>
      <c r="R40" s="162"/>
      <c r="S40" s="860">
        <f>ROUND(SUM('T1 ANSP'!T22:T30),$D$956)</f>
        <v>681322</v>
      </c>
      <c r="T40" s="860">
        <f>ROUND(SUM('T1 ANSP'!U22:U30),$D$956)</f>
        <v>551130</v>
      </c>
      <c r="U40" s="860">
        <f>ROUND(SUM('T1 ANSP'!V22:V30),$D$956)</f>
        <v>626118</v>
      </c>
    </row>
    <row r="41" spans="1:27" s="183" customFormat="1" ht="15" customHeight="1">
      <c r="A41" s="196" t="s">
        <v>31</v>
      </c>
      <c r="B41" s="179" t="s">
        <v>52</v>
      </c>
      <c r="C41" s="180" t="s">
        <v>32</v>
      </c>
      <c r="D41" s="194">
        <v>3</v>
      </c>
      <c r="E41" s="182" t="b">
        <f>ROUND('T1 ANSP'!C18,$D$41)=ROUND('T1 ANSP'!C31,$D$41)</f>
        <v>1</v>
      </c>
      <c r="F41" s="182" t="b">
        <f>ROUND('T1 ANSP'!D18,$D$41)=ROUND('T1 ANSP'!D31,$D$41)</f>
        <v>1</v>
      </c>
      <c r="G41" s="182" t="b">
        <f>ROUND('T1 ANSP'!E18,$D$41)=ROUND('T1 ANSP'!E31,$D$41)</f>
        <v>1</v>
      </c>
      <c r="H41" s="182" t="b">
        <f>ROUND('T1 ANSP'!F18,$D$41)=ROUND('T1 ANSP'!F31,$D$41)</f>
        <v>1</v>
      </c>
      <c r="I41" s="182" t="b">
        <f>ROUND('T1 ANSP'!G18,$D$41)=ROUND('T1 ANSP'!G31,$D$41)</f>
        <v>1</v>
      </c>
      <c r="J41" s="182" t="b">
        <f>ROUND('T1 ANSP'!H18,$D$41)=ROUND('T1 ANSP'!H31,$D$41)</f>
        <v>1</v>
      </c>
      <c r="K41" s="182" t="b">
        <f>ROUND('T1 ANSP'!I18,$D$41)=ROUND('T1 ANSP'!I31,$D$41)</f>
        <v>1</v>
      </c>
      <c r="L41" s="182" t="b">
        <f>ROUND('T1 ANSP'!J18,$D$41)=ROUND('T1 ANSP'!J31,$D$41)</f>
        <v>1</v>
      </c>
      <c r="M41" s="182" t="b">
        <f>ROUND('T1 ANSP'!K18,$D$41)=ROUND('T1 ANSP'!K31,$D$41)</f>
        <v>1</v>
      </c>
      <c r="N41" s="182" t="b">
        <f>ROUND('T1 ANSP'!L18,$D$41)=ROUND('T1 ANSP'!L31,$D$41)</f>
        <v>1</v>
      </c>
      <c r="O41" s="182" t="b">
        <f>ROUND('T1 ANSP'!M18,$D$41)=ROUND('T1 ANSP'!M31,$D$41)</f>
        <v>1</v>
      </c>
      <c r="P41" s="182" t="b">
        <f>ROUND('T1 ANSP'!N18,$D$41)=ROUND('T1 ANSP'!N31,$D$41)</f>
        <v>1</v>
      </c>
      <c r="Q41" s="182" t="b">
        <f>ROUND('T1 ANSP'!O18,$D$41)=ROUND('T1 ANSP'!O31,$D$41)</f>
        <v>1</v>
      </c>
      <c r="R41" s="162"/>
      <c r="S41" s="182" t="b">
        <f>ROUND('T1 ANSP'!T18,$D$41)=ROUND('T1 ANSP'!T31,$D$41)</f>
        <v>1</v>
      </c>
      <c r="T41" s="182" t="b">
        <f>ROUND('T1 ANSP'!U18,$D$41)=ROUND('T1 ANSP'!U31,$D$41)</f>
        <v>1</v>
      </c>
      <c r="U41" s="182" t="b">
        <f>ROUND('T1 ANSP'!V18,$D$41)=ROUND('T1 ANSP'!V31,$D$41)</f>
        <v>0</v>
      </c>
    </row>
    <row r="42" spans="1:27" s="189" customFormat="1" ht="15" customHeight="1" outlineLevel="1">
      <c r="A42" s="197"/>
      <c r="B42" s="185"/>
      <c r="C42" s="186" t="s">
        <v>24</v>
      </c>
      <c r="D42" s="190"/>
      <c r="E42" s="860">
        <f>ROUND('T1 ANSP'!C18,$D$41)</f>
        <v>572692.66500000004</v>
      </c>
      <c r="F42" s="860">
        <f>ROUND('T1 ANSP'!D18,$D$41)</f>
        <v>635977.527</v>
      </c>
      <c r="G42" s="860">
        <f>ROUND('T1 ANSP'!E18,$D$41)</f>
        <v>583336.31799999997</v>
      </c>
      <c r="H42" s="860">
        <f>ROUND('T1 ANSP'!F18,$D$41)</f>
        <v>573075.10199999996</v>
      </c>
      <c r="I42" s="860">
        <f>ROUND('T1 ANSP'!G18,$D$41)</f>
        <v>577164.61800000002</v>
      </c>
      <c r="J42" s="860">
        <f>ROUND('T1 ANSP'!H18,$D$41)</f>
        <v>567866.76399999997</v>
      </c>
      <c r="K42" s="860">
        <f>ROUND('T1 ANSP'!I18,$D$41)</f>
        <v>602995.23400000005</v>
      </c>
      <c r="L42" s="860">
        <f>ROUND('T1 ANSP'!J18,$D$41)</f>
        <v>619030.27300000004</v>
      </c>
      <c r="M42" s="860">
        <f>ROUND('T1 ANSP'!K18,$D$41)</f>
        <v>689955.37800000003</v>
      </c>
      <c r="N42" s="860">
        <f>ROUND('T1 ANSP'!L18,$D$41)</f>
        <v>674270.83200000005</v>
      </c>
      <c r="O42" s="860">
        <f>ROUND('T1 ANSP'!M18,$D$41)</f>
        <v>688739.42299999995</v>
      </c>
      <c r="P42" s="860">
        <f>ROUND('T1 ANSP'!N18,$D$41)</f>
        <v>758911.57700000005</v>
      </c>
      <c r="Q42" s="860">
        <f>ROUND('T1 ANSP'!O18,$D$41)</f>
        <v>770018.8</v>
      </c>
      <c r="R42" s="162"/>
      <c r="S42" s="860">
        <f>ROUND('T1 ANSP'!T18,$D$41)</f>
        <v>681321.67500000005</v>
      </c>
      <c r="T42" s="860">
        <f>ROUND('T1 ANSP'!U18,$D$41)</f>
        <v>551130.21</v>
      </c>
      <c r="U42" s="860">
        <f>ROUND('T1 ANSP'!V18,$D$41)</f>
        <v>626180.16399999999</v>
      </c>
    </row>
    <row r="43" spans="1:27" s="189" customFormat="1" ht="15" customHeight="1" outlineLevel="1">
      <c r="A43" s="197"/>
      <c r="B43" s="185"/>
      <c r="C43" s="186" t="s">
        <v>29</v>
      </c>
      <c r="D43" s="190"/>
      <c r="E43" s="860">
        <f>ROUND('T1 ANSP'!C31,$D$41)</f>
        <v>572692.66500000004</v>
      </c>
      <c r="F43" s="860">
        <f>ROUND('T1 ANSP'!D31,$D$41)</f>
        <v>635977.527</v>
      </c>
      <c r="G43" s="860">
        <f>ROUND('T1 ANSP'!E31,$D$41)</f>
        <v>583336.31799999997</v>
      </c>
      <c r="H43" s="860">
        <f>ROUND('T1 ANSP'!F31,$D$41)</f>
        <v>573075.10199999996</v>
      </c>
      <c r="I43" s="860">
        <f>ROUND('T1 ANSP'!G31,$D$41)</f>
        <v>577164.61800000002</v>
      </c>
      <c r="J43" s="860">
        <f>ROUND('T1 ANSP'!H31,$D$41)</f>
        <v>567866.76399999997</v>
      </c>
      <c r="K43" s="860">
        <f>ROUND('T1 ANSP'!I31,$D$41)</f>
        <v>602995.23400000005</v>
      </c>
      <c r="L43" s="860">
        <f>ROUND('T1 ANSP'!J31,$D$41)</f>
        <v>619030.27300000004</v>
      </c>
      <c r="M43" s="860">
        <f>ROUND('T1 ANSP'!K31,$D$41)</f>
        <v>689955.37800000003</v>
      </c>
      <c r="N43" s="860">
        <f>ROUND('T1 ANSP'!L31,$D$41)</f>
        <v>674270.83200000005</v>
      </c>
      <c r="O43" s="860">
        <f>ROUND('T1 ANSP'!M31,$D$41)</f>
        <v>688739.42299999995</v>
      </c>
      <c r="P43" s="860">
        <f>ROUND('T1 ANSP'!N31,$D$41)</f>
        <v>758911.57700000005</v>
      </c>
      <c r="Q43" s="860">
        <f>ROUND('T1 ANSP'!O31,$D$41)</f>
        <v>770018.8</v>
      </c>
      <c r="R43" s="162"/>
      <c r="S43" s="860">
        <f>ROUND('T1 ANSP'!T31,$D$41)</f>
        <v>681321.67500000005</v>
      </c>
      <c r="T43" s="860">
        <f>ROUND('T1 ANSP'!U31,$D$41)</f>
        <v>551130.21</v>
      </c>
      <c r="U43" s="860">
        <f>ROUND('T1 ANSP'!V31,$D$41)</f>
        <v>626118.06599999999</v>
      </c>
    </row>
    <row r="44" spans="1:27" s="183" customFormat="1" ht="15" customHeight="1">
      <c r="A44" s="178" t="s">
        <v>53</v>
      </c>
      <c r="B44" s="861" t="s">
        <v>54</v>
      </c>
      <c r="C44" s="895" t="s">
        <v>55</v>
      </c>
      <c r="D44" s="863">
        <v>3</v>
      </c>
      <c r="M44" s="182" t="b">
        <f>ROUND('T1 ANSP'!K13,$D$44)&gt;0</f>
        <v>1</v>
      </c>
      <c r="N44" s="182" t="b">
        <f>ROUND('T1 ANSP'!L13,$D$44)&gt;0</f>
        <v>1</v>
      </c>
      <c r="O44" s="182" t="b">
        <f>ROUND('T1 ANSP'!M13,$D$44)&gt;0</f>
        <v>1</v>
      </c>
      <c r="P44" s="182" t="b">
        <f>ROUND('T1 ANSP'!N13,$D$44)&gt;0</f>
        <v>1</v>
      </c>
      <c r="Q44" s="182" t="b">
        <f>ROUND('T1 ANSP'!O13,$D$44)&gt;0</f>
        <v>1</v>
      </c>
      <c r="R44" s="162"/>
      <c r="S44" s="182" t="b">
        <f>ROUND('T1 ANSP'!T13,$D$44)&gt;0</f>
        <v>1</v>
      </c>
      <c r="T44" s="182" t="b">
        <f>ROUND('T1 ANSP'!U13,$D$44)&gt;0</f>
        <v>1</v>
      </c>
      <c r="U44" s="182" t="b">
        <f>ROUND('T1 ANSP'!V13,$D$44)&gt;0</f>
        <v>1</v>
      </c>
    </row>
    <row r="45" spans="1:27" s="189" customFormat="1" ht="15" customHeight="1" outlineLevel="1">
      <c r="A45" s="215"/>
      <c r="B45" s="864"/>
      <c r="C45" s="865" t="s">
        <v>56</v>
      </c>
      <c r="D45" s="866"/>
      <c r="M45" s="896">
        <f>ROUND('T1 ANSP'!K13,$D$44)</f>
        <v>83128.478000000003</v>
      </c>
      <c r="N45" s="896">
        <f>ROUND('T1 ANSP'!L13,$D$44)</f>
        <v>84398.385999999999</v>
      </c>
      <c r="O45" s="896">
        <f>ROUND('T1 ANSP'!M13,$D$44)</f>
        <v>85099.938999999998</v>
      </c>
      <c r="P45" s="896">
        <f>ROUND('T1 ANSP'!N13,$D$44)</f>
        <v>122606.258</v>
      </c>
      <c r="Q45" s="896">
        <f>ROUND('T1 ANSP'!O13,$D$44)</f>
        <v>118103.81</v>
      </c>
      <c r="R45" s="162"/>
      <c r="S45" s="896">
        <f>ROUND('T1 ANSP'!T13,$D$44)</f>
        <v>81239.569000000003</v>
      </c>
      <c r="T45" s="896">
        <f>ROUND('T1 ANSP'!U13,$D$44)</f>
        <v>78750.592999999993</v>
      </c>
      <c r="U45" s="896">
        <f>ROUND('T1 ANSP'!V13,$D$44)</f>
        <v>82839.558999999994</v>
      </c>
      <c r="V45" s="183"/>
      <c r="W45" s="183"/>
      <c r="X45" s="183"/>
      <c r="Y45" s="183"/>
      <c r="Z45" s="183"/>
      <c r="AA45" s="183"/>
    </row>
    <row r="46" spans="1:27" s="183" customFormat="1" ht="15" customHeight="1">
      <c r="A46" s="178" t="s">
        <v>37</v>
      </c>
      <c r="B46" s="179" t="s">
        <v>38</v>
      </c>
      <c r="C46" s="180" t="s">
        <v>39</v>
      </c>
      <c r="D46" s="181">
        <v>2</v>
      </c>
      <c r="F46" s="182" t="b">
        <f>ROUND('T1 ANSP'!C65*(1+'T1'!D64),$D$46)=ROUND('T1 ANSP'!D65,$D$46)</f>
        <v>1</v>
      </c>
      <c r="G46" s="182" t="b">
        <f>ROUND('T1 ANSP'!D65*(1+'T1'!E64),$D$46)=ROUND('T1 ANSP'!E65,$D$46)</f>
        <v>1</v>
      </c>
      <c r="H46" s="182" t="b">
        <f>ROUND('T1 ANSP'!E65*(1+'T1'!F64),$D$46)=ROUND('T1 ANSP'!F65,$D$46)</f>
        <v>1</v>
      </c>
      <c r="I46" s="182" t="b">
        <f>ROUND('T1 ANSP'!F65*(1+'T1'!G64),$D$46)=ROUND('T1 ANSP'!G65,$D$46)</f>
        <v>1</v>
      </c>
      <c r="J46" s="182" t="b">
        <f>ROUND('T1 ANSP'!G65*(1+'T1'!H64),$D$46)=ROUND('T1 ANSP'!H65,$D$46)</f>
        <v>1</v>
      </c>
      <c r="K46" s="182" t="b">
        <f>ROUND('T1 ANSP'!H65*(1+'T1'!I64),$D$46)=ROUND('T1 ANSP'!I65,$D$46)</f>
        <v>1</v>
      </c>
      <c r="L46" s="182" t="b">
        <f>ROUND('T1 ANSP'!I65*(1+'T1'!J64),$D$46)=ROUND('T1 ANSP'!J65,$D$46)</f>
        <v>1</v>
      </c>
      <c r="M46" s="182" t="b">
        <f>ROUND('T1 ANSP'!J65*(1+'T1'!K64),$D$46)=ROUND('T1 ANSP'!K65,$D$46)</f>
        <v>0</v>
      </c>
      <c r="N46" s="182" t="b">
        <f>ROUND('T1 ANSP'!K65*(1+'T1'!L64),$D$46)=ROUND('T1 ANSP'!L65,$D$46)</f>
        <v>1</v>
      </c>
      <c r="O46" s="182" t="b">
        <f>ROUND('T1 ANSP'!L65*(1+'T1'!M64),$D$46)=ROUND('T1 ANSP'!M65,$D$46)</f>
        <v>1</v>
      </c>
      <c r="P46" s="182" t="b">
        <f>ROUND('T1 ANSP'!M65*(1+'T1'!N64),$D$46)=ROUND('T1 ANSP'!N65,$D$46)</f>
        <v>0</v>
      </c>
      <c r="Q46" s="182" t="b">
        <f>ROUND('T1 ANSP'!N65*(1+'T1'!O64),$D$46)=ROUND('T1 ANSP'!O65,$D$46)</f>
        <v>1</v>
      </c>
      <c r="R46" s="162"/>
      <c r="S46" s="182" t="b">
        <f>ROUND('T1 ANSP'!J65*(1+'T1'!T64),$D$46)=ROUND('T1 ANSP'!T65,$D$46)</f>
        <v>1</v>
      </c>
      <c r="T46" s="182" t="b">
        <f>ROUND('T1 ANSP'!T65*(1+'T1'!U64),$D$46)=ROUND('T1 ANSP'!U65,$D$46)</f>
        <v>1</v>
      </c>
      <c r="U46" s="182" t="b">
        <f>ROUND('T1 ANSP'!U65*(1+'T1'!V64),$D$46)=ROUND('T1 ANSP'!V65,$D$46)</f>
        <v>1</v>
      </c>
    </row>
    <row r="47" spans="1:27" s="189" customFormat="1" ht="15" customHeight="1" outlineLevel="1">
      <c r="A47" s="184"/>
      <c r="B47" s="185"/>
      <c r="C47" s="186" t="s">
        <v>40</v>
      </c>
      <c r="D47" s="190"/>
      <c r="F47" s="214">
        <f>ROUND('T1 ANSP'!C65*(1+'T1'!D64),$D$46)</f>
        <v>95.27</v>
      </c>
      <c r="G47" s="214">
        <f>ROUND('T1 ANSP'!D65*(1+'T1'!E64),$D$46)</f>
        <v>96.69</v>
      </c>
      <c r="H47" s="214">
        <f>ROUND('T1 ANSP'!E65*(1+'T1'!F64),$D$46)</f>
        <v>96.69</v>
      </c>
      <c r="I47" s="214">
        <f>ROUND('T1 ANSP'!F65*(1+'T1'!G64),$D$46)</f>
        <v>97.37</v>
      </c>
      <c r="J47" s="214">
        <f>ROUND('T1 ANSP'!G65*(1+'T1'!H64),$D$46)</f>
        <v>100</v>
      </c>
      <c r="K47" s="214">
        <f>ROUND('T1 ANSP'!H65*(1+'T1'!I64),$D$46)</f>
        <v>102.5</v>
      </c>
      <c r="L47" s="214">
        <f>ROUND('T1 ANSP'!I65*(1+'T1'!J64),$D$46)</f>
        <v>104.35</v>
      </c>
      <c r="M47" s="214">
        <f>ROUND('T1 ANSP'!J65*(1+'T1'!K64),$D$46)</f>
        <v>106.43</v>
      </c>
      <c r="N47" s="214">
        <f>ROUND('T1 ANSP'!K65*(1+'T1'!L64),$D$46)</f>
        <v>108.57</v>
      </c>
      <c r="O47" s="214">
        <f>ROUND('T1 ANSP'!L65*(1+'T1'!M64),$D$46)</f>
        <v>110.74</v>
      </c>
      <c r="P47" s="214">
        <f>ROUND('T1 ANSP'!M65*(1+'T1'!N64),$D$46)</f>
        <v>117.54</v>
      </c>
      <c r="Q47" s="214">
        <f>ROUND('T1 ANSP'!N65*(1+'T1'!O64),$D$46)</f>
        <v>119.75</v>
      </c>
      <c r="R47" s="162"/>
      <c r="S47" s="214">
        <f>ROUND('T1 ANSP'!J65*(1+'T1'!T64),$D$46)</f>
        <v>105.28</v>
      </c>
      <c r="T47" s="214">
        <f>ROUND('T1 ANSP'!T65*(1+'T1'!U64),$D$46)</f>
        <v>108.02</v>
      </c>
      <c r="U47" s="214">
        <f>ROUND('T1 ANSP'!U65*(1+'T1'!V64),$D$46)</f>
        <v>117.85</v>
      </c>
    </row>
    <row r="48" spans="1:27" s="189" customFormat="1" ht="15" customHeight="1" outlineLevel="1">
      <c r="A48" s="184"/>
      <c r="B48" s="185"/>
      <c r="C48" s="186" t="s">
        <v>41</v>
      </c>
      <c r="D48" s="190"/>
      <c r="F48" s="214">
        <f>ROUND('T1 ANSP'!D65,$D$46)</f>
        <v>95.27</v>
      </c>
      <c r="G48" s="214">
        <f>ROUND('T1 ANSP'!E65,$D$46)</f>
        <v>96.69</v>
      </c>
      <c r="H48" s="214">
        <f>ROUND('T1 ANSP'!F65,$D$46)</f>
        <v>96.69</v>
      </c>
      <c r="I48" s="214">
        <f>ROUND('T1 ANSP'!G65,$D$46)</f>
        <v>97.37</v>
      </c>
      <c r="J48" s="214">
        <f>ROUND('T1 ANSP'!H65,$D$46)</f>
        <v>100</v>
      </c>
      <c r="K48" s="214">
        <f>ROUND('T1 ANSP'!I65,$D$46)</f>
        <v>102.5</v>
      </c>
      <c r="L48" s="214">
        <f>ROUND('T1 ANSP'!J65,$D$46)</f>
        <v>104.35</v>
      </c>
      <c r="M48" s="214">
        <f>ROUND('T1 ANSP'!K65,$D$46)</f>
        <v>106.44</v>
      </c>
      <c r="N48" s="214">
        <f>ROUND('T1 ANSP'!L65,$D$46)</f>
        <v>108.57</v>
      </c>
      <c r="O48" s="214">
        <f>ROUND('T1 ANSP'!M65,$D$46)</f>
        <v>110.74</v>
      </c>
      <c r="P48" s="214">
        <f>ROUND('T1 ANSP'!N65,$D$46)</f>
        <v>118.73</v>
      </c>
      <c r="Q48" s="214">
        <f>ROUND('T1 ANSP'!O65,$D$46)</f>
        <v>119.75</v>
      </c>
      <c r="R48" s="162"/>
      <c r="S48" s="214">
        <f>ROUND('T1 ANSP'!T65,$D$46)</f>
        <v>105.28</v>
      </c>
      <c r="T48" s="214">
        <f>ROUND('T1 ANSP'!U65,$D$46)</f>
        <v>108.02</v>
      </c>
      <c r="U48" s="214">
        <f>ROUND('T1 ANSP'!V65,$D$46)</f>
        <v>117.85</v>
      </c>
    </row>
    <row r="49" spans="1:21" s="183" customFormat="1" ht="15" customHeight="1">
      <c r="A49" s="178" t="s">
        <v>57</v>
      </c>
      <c r="B49" s="179" t="s">
        <v>58</v>
      </c>
      <c r="C49" s="180" t="s">
        <v>59</v>
      </c>
      <c r="D49" s="181">
        <v>3</v>
      </c>
      <c r="E49" s="182" t="b">
        <f>ROUND(((('T1 ANSP'!C61)/('T1 ANSP'!C65/100))),$D$49)=ROUND('T1 ANSP'!C66,$D$49)</f>
        <v>1</v>
      </c>
      <c r="F49" s="182" t="b">
        <f>ROUND(((('T1 ANSP'!D61)/('T1 ANSP'!D65/100))),$D$49)=ROUND('T1 ANSP'!D66,$D$49)</f>
        <v>1</v>
      </c>
      <c r="G49" s="182" t="b">
        <f>ROUND(((('T1 ANSP'!E61)/('T1 ANSP'!E65/100))),$D$49)=ROUND('T1 ANSP'!E66,$D$49)</f>
        <v>1</v>
      </c>
      <c r="H49" s="182" t="b">
        <f>ROUND(((('T1 ANSP'!F61)/('T1 ANSP'!F65/100))),$D$49)=ROUND('T1 ANSP'!F66,$D$49)</f>
        <v>1</v>
      </c>
      <c r="I49" s="182" t="b">
        <f>ROUND(((('T1 ANSP'!G61)/('T1 ANSP'!G65/100))),$D$49)=ROUND('T1 ANSP'!G66,$D$49)</f>
        <v>1</v>
      </c>
      <c r="J49" s="182" t="b">
        <f>ROUND(((('T1 ANSP'!H61)/('T1 ANSP'!H65/100))),$D$49)=ROUND('T1 ANSP'!H66,$D$49)</f>
        <v>1</v>
      </c>
      <c r="K49" s="182" t="b">
        <f>ROUND(((('T1 ANSP'!I61)/('T1 ANSP'!I65/100))),$D$49)=ROUND('T1 ANSP'!I66,$D$49)</f>
        <v>1</v>
      </c>
      <c r="L49" s="182" t="b">
        <f>ROUND(((('T1 ANSP'!J61)/('T1 ANSP'!J65/100))),$D$49)=ROUND('T1 ANSP'!J66,$D$49)</f>
        <v>1</v>
      </c>
      <c r="M49" s="182" t="b">
        <f>ROUND(((('T1 ANSP'!K61)/('T1 ANSP'!K65/100))),$D$49)=ROUND('T1 ANSP'!K66,$D$49)</f>
        <v>1</v>
      </c>
      <c r="N49" s="182" t="b">
        <f>ROUND(((('T1 ANSP'!L61)/('T1 ANSP'!L65/100))),$D$49)=ROUND('T1 ANSP'!L66,$D$49)</f>
        <v>1</v>
      </c>
      <c r="O49" s="182" t="b">
        <f>ROUND(((('T1 ANSP'!M61)/('T1 ANSP'!M65/100))),$D$49)=ROUND('T1 ANSP'!M66,$D$49)</f>
        <v>1</v>
      </c>
      <c r="P49" s="182" t="b">
        <f>ROUND(((('T1 ANSP'!N61)/('T1 ANSP'!N65/100))),$D$49)=ROUND('T1 ANSP'!N66,$D$49)</f>
        <v>1</v>
      </c>
      <c r="Q49" s="182" t="b">
        <f>ROUND(((('T1 ANSP'!O61)/('T1 ANSP'!O65/100))),$D$49)=ROUND('T1 ANSP'!O66,$D$49)</f>
        <v>1</v>
      </c>
      <c r="R49" s="162"/>
      <c r="S49" s="182" t="b">
        <f>ROUND(((('T1 ANSP'!T61)/('T1 ANSP'!T65/100))),$D$49)=ROUND('T1 ANSP'!T66,$D$49)</f>
        <v>1</v>
      </c>
      <c r="T49" s="182" t="b">
        <f>ROUND(((('T1 ANSP'!U61)/('T1 ANSP'!U65/100))),$D$49)=ROUND('T1 ANSP'!U66,$D$49)</f>
        <v>1</v>
      </c>
      <c r="U49" s="182" t="b">
        <f>ROUND(((('T1 ANSP'!V61)/('T1 ANSP'!V65/100))),$D$49)=ROUND('T1 ANSP'!V66,$D$49)</f>
        <v>1</v>
      </c>
    </row>
    <row r="50" spans="1:21" s="189" customFormat="1" ht="15" customHeight="1" outlineLevel="1">
      <c r="A50" s="184"/>
      <c r="B50" s="185"/>
      <c r="C50" s="186" t="s">
        <v>60</v>
      </c>
      <c r="D50" s="190"/>
      <c r="E50" s="860">
        <f>ROUND(((('T1 ANSP'!C61)/('T1 ANSP'!C65/100))),$D$49)</f>
        <v>616786.61199999996</v>
      </c>
      <c r="F50" s="860">
        <f>ROUND(((('T1 ANSP'!D61)/('T1 ANSP'!D65/100))),$D$49)</f>
        <v>667586.777</v>
      </c>
      <c r="G50" s="860">
        <f>ROUND(((('T1 ANSP'!E61)/('T1 ANSP'!E65/100))),$D$49)</f>
        <v>603280.00300000003</v>
      </c>
      <c r="H50" s="860">
        <f>ROUND(((('T1 ANSP'!F61)/('T1 ANSP'!F65/100))),$D$49)</f>
        <v>592667.96600000001</v>
      </c>
      <c r="I50" s="860">
        <f>ROUND(((('T1 ANSP'!G61)/('T1 ANSP'!G65/100))),$D$49)</f>
        <v>592748.06299999997</v>
      </c>
      <c r="J50" s="860">
        <f>ROUND(((('T1 ANSP'!H61)/('T1 ANSP'!H65/100))),$D$49)</f>
        <v>567866.76399999997</v>
      </c>
      <c r="K50" s="860">
        <f>ROUND(((('T1 ANSP'!I61)/('T1 ANSP'!I65/100))),$D$49)</f>
        <v>588288.03300000005</v>
      </c>
      <c r="L50" s="860">
        <f>ROUND(((('T1 ANSP'!J61)/('T1 ANSP'!J65/100))),$D$49)</f>
        <v>593253.41200000001</v>
      </c>
      <c r="M50" s="860">
        <f>ROUND(((('T1 ANSP'!K61)/('T1 ANSP'!K65/100))),$D$49)</f>
        <v>648192.05900000001</v>
      </c>
      <c r="N50" s="860">
        <f>ROUND(((('T1 ANSP'!L61)/('T1 ANSP'!L65/100))),$D$49)</f>
        <v>621036.18299999996</v>
      </c>
      <c r="O50" s="860">
        <f>ROUND(((('T1 ANSP'!M61)/('T1 ANSP'!M65/100))),$D$49)</f>
        <v>621923.97699999996</v>
      </c>
      <c r="P50" s="860">
        <f>ROUND(((('T1 ANSP'!N61)/('T1 ANSP'!N65/100))),$D$49)</f>
        <v>639169.57499999995</v>
      </c>
      <c r="Q50" s="860">
        <f>ROUND(((('T1 ANSP'!O61)/('T1 ANSP'!O65/100))),$D$49)</f>
        <v>643015.272</v>
      </c>
      <c r="R50" s="162"/>
      <c r="S50" s="860">
        <f>ROUND(((('T1 ANSP'!T61)/('T1 ANSP'!T65/100))),$D$49)</f>
        <v>647126.81499999994</v>
      </c>
      <c r="T50" s="860">
        <f>ROUND(((('T1 ANSP'!U61)/('T1 ANSP'!U65/100))),$D$49)</f>
        <v>510204.22100000002</v>
      </c>
      <c r="U50" s="860">
        <f>ROUND(((('T1 ANSP'!V61)/('T1 ANSP'!V65/100))),$D$49)</f>
        <v>531330.05799999996</v>
      </c>
    </row>
    <row r="51" spans="1:21" s="189" customFormat="1" ht="15" customHeight="1" outlineLevel="1">
      <c r="A51" s="184"/>
      <c r="B51" s="185"/>
      <c r="C51" s="186" t="s">
        <v>61</v>
      </c>
      <c r="D51" s="190"/>
      <c r="E51" s="860">
        <f>ROUND('T1 ANSP'!C66,$D$49)</f>
        <v>616786.61199999996</v>
      </c>
      <c r="F51" s="860">
        <f>ROUND('T1 ANSP'!D66,$D$49)</f>
        <v>667586.777</v>
      </c>
      <c r="G51" s="860">
        <f>ROUND('T1 ANSP'!E66,$D$49)</f>
        <v>603280.00300000003</v>
      </c>
      <c r="H51" s="860">
        <f>ROUND('T1 ANSP'!F66,$D$49)</f>
        <v>592667.96600000001</v>
      </c>
      <c r="I51" s="860">
        <f>ROUND('T1 ANSP'!G66,$D$49)</f>
        <v>592748.06299999997</v>
      </c>
      <c r="J51" s="860">
        <f>ROUND('T1 ANSP'!H66,$D$49)</f>
        <v>567866.76399999997</v>
      </c>
      <c r="K51" s="860">
        <f>ROUND('T1 ANSP'!I66,$D$49)</f>
        <v>588288.03300000005</v>
      </c>
      <c r="L51" s="860">
        <f>ROUND('T1 ANSP'!J66,$D$49)</f>
        <v>593253.41200000001</v>
      </c>
      <c r="M51" s="860">
        <f>ROUND('T1 ANSP'!K66,$D$49)</f>
        <v>648192.05900000001</v>
      </c>
      <c r="N51" s="860">
        <f>ROUND('T1 ANSP'!L66,$D$49)</f>
        <v>621036.18299999996</v>
      </c>
      <c r="O51" s="860">
        <f>ROUND('T1 ANSP'!M66,$D$49)</f>
        <v>621923.97699999996</v>
      </c>
      <c r="P51" s="860">
        <f>ROUND('T1 ANSP'!N66,$D$49)</f>
        <v>639169.57499999995</v>
      </c>
      <c r="Q51" s="860">
        <f>ROUND('T1 ANSP'!O66,$D$49)</f>
        <v>643015.272</v>
      </c>
      <c r="R51" s="162"/>
      <c r="S51" s="860">
        <f>ROUND('T1 ANSP'!T66,$D$49)</f>
        <v>647126.81499999994</v>
      </c>
      <c r="T51" s="860">
        <f>ROUND('T1 ANSP'!U66,$D$49)</f>
        <v>510204.22100000002</v>
      </c>
      <c r="U51" s="860">
        <f>ROUND('T1 ANSP'!V66,$D$49)</f>
        <v>531330.05799999996</v>
      </c>
    </row>
    <row r="52" spans="1:21" s="183" customFormat="1" ht="15" customHeight="1">
      <c r="A52" s="178" t="s">
        <v>62</v>
      </c>
      <c r="B52" s="179" t="s">
        <v>63</v>
      </c>
      <c r="C52" s="180" t="s">
        <v>64</v>
      </c>
      <c r="D52" s="190"/>
      <c r="E52" s="182" t="b">
        <f>'T1 ANSP'!C68='T1'!C68</f>
        <v>1</v>
      </c>
      <c r="F52" s="182" t="b">
        <f>'T1 ANSP'!D68='T1'!D68</f>
        <v>1</v>
      </c>
      <c r="G52" s="182" t="b">
        <f>'T1 ANSP'!E68='T1'!E68</f>
        <v>1</v>
      </c>
      <c r="H52" s="182" t="b">
        <f>'T1 ANSP'!F68='T1'!F68</f>
        <v>1</v>
      </c>
      <c r="I52" s="182" t="b">
        <f>'T1 ANSP'!G68='T1'!G68</f>
        <v>1</v>
      </c>
      <c r="J52" s="182" t="b">
        <f>'T1 ANSP'!H68='T1'!H68</f>
        <v>1</v>
      </c>
      <c r="K52" s="182" t="b">
        <f>'T1 ANSP'!I68='T1'!I68</f>
        <v>1</v>
      </c>
      <c r="L52" s="182" t="b">
        <f>'T1 ANSP'!J68='T1'!J68</f>
        <v>1</v>
      </c>
      <c r="M52" s="182" t="b">
        <f>'T1 ANSP'!K68='T1'!K68</f>
        <v>1</v>
      </c>
      <c r="N52" s="182" t="b">
        <f>'T1 ANSP'!L68='T1'!L68</f>
        <v>1</v>
      </c>
      <c r="O52" s="182" t="b">
        <f>'T1 ANSP'!M68='T1'!M68</f>
        <v>1</v>
      </c>
      <c r="P52" s="182" t="b">
        <f>'T1 ANSP'!N68='T1'!N68</f>
        <v>1</v>
      </c>
      <c r="Q52" s="182" t="b">
        <f>'T1 ANSP'!O68='T1'!O68</f>
        <v>1</v>
      </c>
      <c r="R52" s="162"/>
      <c r="S52" s="182" t="b">
        <f>'T1 ANSP'!T68='T1'!T68</f>
        <v>1</v>
      </c>
      <c r="T52" s="182" t="b">
        <f>'T1 ANSP'!U68='T1'!U68</f>
        <v>1</v>
      </c>
      <c r="U52" s="182" t="b">
        <f>'T1 ANSP'!V68='T1'!V68</f>
        <v>1</v>
      </c>
    </row>
    <row r="53" spans="1:21" s="189" customFormat="1" ht="15" customHeight="1" outlineLevel="1">
      <c r="A53" s="184"/>
      <c r="B53" s="185"/>
      <c r="C53" s="186" t="s">
        <v>65</v>
      </c>
      <c r="D53" s="190"/>
      <c r="E53" s="860">
        <f>'T1 ANSP'!C68</f>
        <v>9607.8779999999988</v>
      </c>
      <c r="F53" s="860">
        <f>'T1 ANSP'!D68</f>
        <v>9754.9330000000009</v>
      </c>
      <c r="G53" s="860">
        <f>'T1 ANSP'!E68</f>
        <v>9979.4030000000002</v>
      </c>
      <c r="H53" s="860">
        <f>'T1 ANSP'!F68</f>
        <v>10153.9</v>
      </c>
      <c r="I53" s="860">
        <f>'T1 ANSP'!G68</f>
        <v>10874.798000000001</v>
      </c>
      <c r="J53" s="860">
        <f>'T1 ANSP'!H68</f>
        <v>11767.620999999999</v>
      </c>
      <c r="K53" s="860">
        <f>'T1 ANSP'!I68</f>
        <v>12194.153</v>
      </c>
      <c r="L53" s="860">
        <f>'T1 ANSP'!J68</f>
        <v>12593.8988214</v>
      </c>
      <c r="M53" s="860">
        <f>'T1 ANSP'!K68</f>
        <v>12647.945</v>
      </c>
      <c r="N53" s="860">
        <f>'T1 ANSP'!L68</f>
        <v>12891</v>
      </c>
      <c r="O53" s="860">
        <f>'T1 ANSP'!M68</f>
        <v>13183</v>
      </c>
      <c r="P53" s="860">
        <f>'T1 ANSP'!N68</f>
        <v>11956</v>
      </c>
      <c r="Q53" s="860">
        <f>'T1 ANSP'!O68</f>
        <v>12930</v>
      </c>
      <c r="R53" s="162"/>
      <c r="S53" s="860">
        <f>'T1 ANSP'!T68</f>
        <v>5099.1790000000001</v>
      </c>
      <c r="T53" s="860">
        <f>'T1 ANSP'!U68</f>
        <v>5531.451</v>
      </c>
      <c r="U53" s="860">
        <f>'T1 ANSP'!V68</f>
        <v>10782.061</v>
      </c>
    </row>
    <row r="54" spans="1:21" s="189" customFormat="1" ht="15" customHeight="1" outlineLevel="1">
      <c r="A54" s="184"/>
      <c r="B54" s="185"/>
      <c r="C54" s="186" t="s">
        <v>66</v>
      </c>
      <c r="D54" s="190"/>
      <c r="E54" s="860">
        <f>'T1'!C68</f>
        <v>9607.8779999999988</v>
      </c>
      <c r="F54" s="860">
        <f>'T1'!D68</f>
        <v>9754.9330000000009</v>
      </c>
      <c r="G54" s="860">
        <f>'T1'!E68</f>
        <v>9979.4030000000002</v>
      </c>
      <c r="H54" s="860">
        <f>'T1'!F68</f>
        <v>10153.9</v>
      </c>
      <c r="I54" s="860">
        <f>'T1'!G68</f>
        <v>10874.798000000001</v>
      </c>
      <c r="J54" s="860">
        <f>'T1'!H68</f>
        <v>11767.620999999999</v>
      </c>
      <c r="K54" s="860">
        <f>'T1'!I68</f>
        <v>12194.153</v>
      </c>
      <c r="L54" s="860">
        <f>'T1'!J68</f>
        <v>12593.8988214</v>
      </c>
      <c r="M54" s="860">
        <f>'T1'!K68</f>
        <v>12647.945</v>
      </c>
      <c r="N54" s="860">
        <f>'T1'!L68</f>
        <v>12891</v>
      </c>
      <c r="O54" s="860">
        <f>'T1'!M68</f>
        <v>13183</v>
      </c>
      <c r="P54" s="860">
        <f>'T1'!N68</f>
        <v>11956</v>
      </c>
      <c r="Q54" s="860">
        <f>'T1'!O68</f>
        <v>12930</v>
      </c>
      <c r="R54" s="162"/>
      <c r="S54" s="860">
        <f>'T1'!T68</f>
        <v>5099.1790000000001</v>
      </c>
      <c r="T54" s="860">
        <f>'T1'!U68</f>
        <v>5531.451</v>
      </c>
      <c r="U54" s="860">
        <f>'T1'!V68</f>
        <v>10782.061</v>
      </c>
    </row>
    <row r="55" spans="1:21" s="183" customFormat="1" ht="15" customHeight="1">
      <c r="A55" s="178" t="s">
        <v>42</v>
      </c>
      <c r="B55" s="179" t="s">
        <v>43</v>
      </c>
      <c r="C55" s="180" t="s">
        <v>44</v>
      </c>
      <c r="D55" s="181">
        <v>2</v>
      </c>
      <c r="E55" s="182" t="b">
        <f>ROUND(('T1 ANSP'!C66/'T1 ANSP'!C68),$D$55)=ROUND('T1 ANSP'!C70,$D$55)</f>
        <v>1</v>
      </c>
      <c r="F55" s="182" t="b">
        <f>ROUND(('T1 ANSP'!D66/'T1 ANSP'!D68),$D$55)=ROUND('T1 ANSP'!D70,$D$55)</f>
        <v>1</v>
      </c>
      <c r="G55" s="182" t="b">
        <f>ROUND(('T1 ANSP'!E66/'T1 ANSP'!E68),$D$55)=ROUND('T1 ANSP'!E70,$D$55)</f>
        <v>1</v>
      </c>
      <c r="H55" s="182" t="b">
        <f>ROUND(('T1 ANSP'!F66/'T1 ANSP'!F68),$D$55)=ROUND('T1 ANSP'!F70,$D$55)</f>
        <v>1</v>
      </c>
      <c r="I55" s="182" t="b">
        <f>ROUND(('T1 ANSP'!G66/'T1 ANSP'!G68),$D$55)=ROUND('T1 ANSP'!G70,$D$55)</f>
        <v>1</v>
      </c>
      <c r="J55" s="182" t="b">
        <f>ROUND(('T1 ANSP'!H66/'T1 ANSP'!H68),$D$55)=ROUND('T1 ANSP'!H70,$D$55)</f>
        <v>1</v>
      </c>
      <c r="K55" s="182" t="b">
        <f>ROUND(('T1 ANSP'!I66/'T1 ANSP'!I68),$D$55)=ROUND('T1 ANSP'!I70,$D$55)</f>
        <v>1</v>
      </c>
      <c r="L55" s="182" t="b">
        <f>ROUND(('T1 ANSP'!J66/'T1 ANSP'!J68),$D$55)=ROUND('T1 ANSP'!J70,$D$55)</f>
        <v>1</v>
      </c>
      <c r="M55" s="182" t="b">
        <f>ROUND(('T1 ANSP'!K66/'T1 ANSP'!K68),$D$55)=ROUND('T1 ANSP'!K70,$D$55)</f>
        <v>1</v>
      </c>
      <c r="N55" s="182" t="b">
        <f>ROUND(('T1 ANSP'!L66/'T1 ANSP'!L68),$D$55)=ROUND('T1 ANSP'!L70,$D$55)</f>
        <v>1</v>
      </c>
      <c r="O55" s="182" t="b">
        <f>ROUND(('T1 ANSP'!M66/'T1 ANSP'!M68),$D$55)=ROUND('T1 ANSP'!M70,$D$55)</f>
        <v>1</v>
      </c>
      <c r="P55" s="182" t="b">
        <f>ROUND(('T1 ANSP'!N66/'T1 ANSP'!N68),$D$55)=ROUND('T1 ANSP'!N70,$D$55)</f>
        <v>1</v>
      </c>
      <c r="Q55" s="182" t="b">
        <f>ROUND(('T1 ANSP'!O66/'T1 ANSP'!O68),$D$55)=ROUND('T1 ANSP'!O70,$D$55)</f>
        <v>1</v>
      </c>
      <c r="R55" s="162"/>
      <c r="S55" s="182" t="b">
        <f>ROUND(('T1 ANSP'!T66/'T1 ANSP'!T68),$D$55)=ROUND('T1 ANSP'!T70,$D$55)</f>
        <v>1</v>
      </c>
      <c r="T55" s="182" t="b">
        <f>ROUND(('T1 ANSP'!U66/'T1 ANSP'!U68),$D$55)=ROUND('T1 ANSP'!U70,$D$55)</f>
        <v>1</v>
      </c>
      <c r="U55" s="182" t="b">
        <f>ROUND(('T1 ANSP'!V66/'T1 ANSP'!V68),$D$55)=ROUND('T1 ANSP'!V70,$D$55)</f>
        <v>1</v>
      </c>
    </row>
    <row r="56" spans="1:21" s="189" customFormat="1" ht="15" customHeight="1" outlineLevel="1">
      <c r="A56" s="184"/>
      <c r="B56" s="185"/>
      <c r="C56" s="186" t="s">
        <v>45</v>
      </c>
      <c r="D56" s="190"/>
      <c r="E56" s="214">
        <f>ROUND(('T1 ANSP'!C66/'T1 ANSP'!C68),$D$55)</f>
        <v>64.2</v>
      </c>
      <c r="F56" s="214">
        <f>ROUND(('T1 ANSP'!D66/'T1 ANSP'!D68),$D$55)</f>
        <v>68.44</v>
      </c>
      <c r="G56" s="214">
        <f>ROUND(('T1 ANSP'!E66/'T1 ANSP'!E68),$D$55)</f>
        <v>60.45</v>
      </c>
      <c r="H56" s="214">
        <f>ROUND(('T1 ANSP'!F66/'T1 ANSP'!F68),$D$55)</f>
        <v>58.37</v>
      </c>
      <c r="I56" s="214">
        <f>ROUND(('T1 ANSP'!G66/'T1 ANSP'!G68),$D$55)</f>
        <v>54.51</v>
      </c>
      <c r="J56" s="214">
        <f>ROUND(('T1 ANSP'!H66/'T1 ANSP'!H68),$D$55)</f>
        <v>48.26</v>
      </c>
      <c r="K56" s="214">
        <f>ROUND(('T1 ANSP'!I66/'T1 ANSP'!I68),$D$55)</f>
        <v>48.24</v>
      </c>
      <c r="L56" s="214">
        <f>ROUND(('T1 ANSP'!J66/'T1 ANSP'!J68),$D$55)</f>
        <v>47.11</v>
      </c>
      <c r="M56" s="214">
        <f>ROUND(('T1 ANSP'!K66/'T1 ANSP'!K68),$D$55)</f>
        <v>51.25</v>
      </c>
      <c r="N56" s="214">
        <f>ROUND(('T1 ANSP'!L66/'T1 ANSP'!L68),$D$55)</f>
        <v>48.18</v>
      </c>
      <c r="O56" s="214">
        <f>ROUND(('T1 ANSP'!M66/'T1 ANSP'!M68),$D$55)</f>
        <v>47.18</v>
      </c>
      <c r="P56" s="214">
        <f>ROUND(('T1 ANSP'!N66/'T1 ANSP'!N68),$D$55)</f>
        <v>53.46</v>
      </c>
      <c r="Q56" s="214">
        <f>ROUND(('T1 ANSP'!O66/'T1 ANSP'!O68),$D$55)</f>
        <v>49.73</v>
      </c>
      <c r="R56" s="162"/>
      <c r="S56" s="214">
        <f>ROUND(('T1 ANSP'!T66/'T1 ANSP'!T68),$D$55)</f>
        <v>126.91</v>
      </c>
      <c r="T56" s="214">
        <f>ROUND(('T1 ANSP'!U66/'T1 ANSP'!U68),$D$55)</f>
        <v>92.24</v>
      </c>
      <c r="U56" s="214">
        <f>ROUND(('T1 ANSP'!V66/'T1 ANSP'!V68),$D$55)</f>
        <v>49.28</v>
      </c>
    </row>
    <row r="57" spans="1:21" s="189" customFormat="1" ht="15" customHeight="1" outlineLevel="1">
      <c r="A57" s="184"/>
      <c r="B57" s="185"/>
      <c r="C57" s="186" t="s">
        <v>46</v>
      </c>
      <c r="D57" s="190"/>
      <c r="E57" s="214">
        <f>ROUND('T1 ANSP'!C70,$D$55)</f>
        <v>64.2</v>
      </c>
      <c r="F57" s="214">
        <f>ROUND('T1 ANSP'!D70,$D$55)</f>
        <v>68.44</v>
      </c>
      <c r="G57" s="214">
        <f>ROUND('T1 ANSP'!E70,$D$55)</f>
        <v>60.45</v>
      </c>
      <c r="H57" s="214">
        <f>ROUND('T1 ANSP'!F70,$D$55)</f>
        <v>58.37</v>
      </c>
      <c r="I57" s="214">
        <f>ROUND('T1 ANSP'!G70,$D$55)</f>
        <v>54.51</v>
      </c>
      <c r="J57" s="214">
        <f>ROUND('T1 ANSP'!H70,$D$55)</f>
        <v>48.26</v>
      </c>
      <c r="K57" s="214">
        <f>ROUND('T1 ANSP'!I70,$D$55)</f>
        <v>48.24</v>
      </c>
      <c r="L57" s="214">
        <f>ROUND('T1 ANSP'!J70,$D$55)</f>
        <v>47.11</v>
      </c>
      <c r="M57" s="214">
        <f>ROUND('T1 ANSP'!K70,$D$55)</f>
        <v>51.25</v>
      </c>
      <c r="N57" s="214">
        <f>ROUND('T1 ANSP'!L70,$D$55)</f>
        <v>48.18</v>
      </c>
      <c r="O57" s="214">
        <f>ROUND('T1 ANSP'!M70,$D$55)</f>
        <v>47.18</v>
      </c>
      <c r="P57" s="214">
        <f>ROUND('T1 ANSP'!N70,$D$55)</f>
        <v>53.46</v>
      </c>
      <c r="Q57" s="214">
        <f>ROUND('T1 ANSP'!O70,$D$55)</f>
        <v>49.73</v>
      </c>
      <c r="R57" s="162"/>
      <c r="S57" s="214">
        <f>ROUND('T1 ANSP'!T70,$D$55)</f>
        <v>126.91</v>
      </c>
      <c r="T57" s="214">
        <f>ROUND('T1 ANSP'!U70,$D$55)</f>
        <v>92.24</v>
      </c>
      <c r="U57" s="214">
        <f>ROUND('T1 ANSP'!V70,$D$55)</f>
        <v>49.28</v>
      </c>
    </row>
    <row r="58" spans="1:21" s="183" customFormat="1" ht="15" customHeight="1">
      <c r="A58" s="196" t="s">
        <v>67</v>
      </c>
      <c r="B58" s="179" t="s">
        <v>34</v>
      </c>
      <c r="C58" s="180" t="s">
        <v>68</v>
      </c>
      <c r="D58" s="190"/>
      <c r="E58" s="182" t="b">
        <f>'T1 ANSP'!C64='T1'!C64</f>
        <v>1</v>
      </c>
      <c r="F58" s="182" t="b">
        <f>'T1 ANSP'!D64='T1'!D64</f>
        <v>1</v>
      </c>
      <c r="G58" s="182" t="b">
        <f>'T1 ANSP'!E64='T1'!E64</f>
        <v>1</v>
      </c>
      <c r="H58" s="182" t="b">
        <f>'T1 ANSP'!F64='T1'!F64</f>
        <v>1</v>
      </c>
      <c r="I58" s="182" t="b">
        <f>'T1 ANSP'!G64='T1'!G64</f>
        <v>1</v>
      </c>
      <c r="J58" s="182" t="b">
        <f>'T1 ANSP'!H64='T1'!H64</f>
        <v>1</v>
      </c>
      <c r="K58" s="182" t="b">
        <f>'T1 ANSP'!I64='T1'!I64</f>
        <v>1</v>
      </c>
      <c r="L58" s="182" t="b">
        <f>'T1 ANSP'!J64='T1'!J64</f>
        <v>1</v>
      </c>
      <c r="M58" s="182" t="b">
        <f>'T1 ANSP'!K64='T1'!K64</f>
        <v>1</v>
      </c>
      <c r="N58" s="182" t="b">
        <f>'T1 ANSP'!L64='T1'!L64</f>
        <v>1</v>
      </c>
      <c r="O58" s="182" t="b">
        <f>'T1 ANSP'!M64='T1'!M64</f>
        <v>1</v>
      </c>
      <c r="P58" s="182" t="b">
        <f>'T1 ANSP'!N64='T1'!N64</f>
        <v>1</v>
      </c>
      <c r="Q58" s="182" t="b">
        <f>'T1 ANSP'!O64='T1'!O64</f>
        <v>1</v>
      </c>
      <c r="R58" s="162"/>
      <c r="S58" s="182" t="b">
        <f>'T1 ANSP'!T64='T1'!T64</f>
        <v>1</v>
      </c>
      <c r="T58" s="182" t="b">
        <f>'T1 ANSP'!U64='T1'!U64</f>
        <v>1</v>
      </c>
      <c r="U58" s="182" t="b">
        <f>'T1 ANSP'!V64='T1'!V64</f>
        <v>1</v>
      </c>
    </row>
    <row r="59" spans="1:21" s="189" customFormat="1" ht="15" customHeight="1" outlineLevel="1">
      <c r="A59" s="197"/>
      <c r="B59" s="185"/>
      <c r="C59" s="186" t="s">
        <v>69</v>
      </c>
      <c r="D59" s="190"/>
      <c r="E59" s="198">
        <f>'T1 ANSP'!C64</f>
        <v>2.8000000000000001E-2</v>
      </c>
      <c r="F59" s="198">
        <f>'T1 ANSP'!D64</f>
        <v>2.5999999999999999E-2</v>
      </c>
      <c r="G59" s="198">
        <f>'T1 ANSP'!E64</f>
        <v>1.4999999999999999E-2</v>
      </c>
      <c r="H59" s="198">
        <f>'T1 ANSP'!F64</f>
        <v>0</v>
      </c>
      <c r="I59" s="198">
        <f>'T1 ANSP'!G64</f>
        <v>7.0000000000000001E-3</v>
      </c>
      <c r="J59" s="198">
        <f>'T1 ANSP'!H64</f>
        <v>2.7E-2</v>
      </c>
      <c r="K59" s="198">
        <f>'T1 ANSP'!I64</f>
        <v>2.5000000000000001E-2</v>
      </c>
      <c r="L59" s="198">
        <f>'T1 ANSP'!J64</f>
        <v>1.7999999999999999E-2</v>
      </c>
      <c r="M59" s="198">
        <f>'T1 ANSP'!K64</f>
        <v>0.02</v>
      </c>
      <c r="N59" s="198">
        <f>'T1 ANSP'!L64</f>
        <v>0.02</v>
      </c>
      <c r="O59" s="198">
        <f>'T1 ANSP'!M64</f>
        <v>0.02</v>
      </c>
      <c r="P59" s="198">
        <f>'T1 ANSP'!N64</f>
        <v>6.1359439712091124E-2</v>
      </c>
      <c r="Q59" s="198">
        <f>'T1 ANSP'!O64</f>
        <v>8.5674714548986675E-3</v>
      </c>
      <c r="R59" s="162"/>
      <c r="S59" s="198">
        <f>'T1 ANSP'!T64</f>
        <v>8.9999999999999993E-3</v>
      </c>
      <c r="T59" s="198">
        <f>'T1 ANSP'!U64</f>
        <v>2.5999999999999999E-2</v>
      </c>
      <c r="U59" s="198">
        <f>'T1 ANSP'!V64</f>
        <v>9.0999999999999998E-2</v>
      </c>
    </row>
    <row r="60" spans="1:21" s="189" customFormat="1" ht="15" customHeight="1" outlineLevel="1">
      <c r="A60" s="197"/>
      <c r="B60" s="185"/>
      <c r="C60" s="186" t="s">
        <v>70</v>
      </c>
      <c r="D60" s="190"/>
      <c r="E60" s="198">
        <f>'T1'!C64</f>
        <v>2.8000000000000001E-2</v>
      </c>
      <c r="F60" s="198">
        <f>'T1'!D64</f>
        <v>2.5999999999999999E-2</v>
      </c>
      <c r="G60" s="198">
        <f>'T1'!E64</f>
        <v>1.4999999999999999E-2</v>
      </c>
      <c r="H60" s="198">
        <f>'T1'!F64</f>
        <v>0</v>
      </c>
      <c r="I60" s="198">
        <f>'T1'!G64</f>
        <v>7.0000000000000001E-3</v>
      </c>
      <c r="J60" s="198">
        <f>'T1'!H64</f>
        <v>2.7E-2</v>
      </c>
      <c r="K60" s="198">
        <f>'T1'!I64</f>
        <v>2.5000000000000001E-2</v>
      </c>
      <c r="L60" s="198">
        <f>'T1'!J64</f>
        <v>1.7999999999999999E-2</v>
      </c>
      <c r="M60" s="198">
        <f>'T1'!K64</f>
        <v>0.02</v>
      </c>
      <c r="N60" s="198">
        <f>'T1'!L64</f>
        <v>0.02</v>
      </c>
      <c r="O60" s="198">
        <f>'T1'!M64</f>
        <v>0.02</v>
      </c>
      <c r="P60" s="198">
        <f>'T1'!N64</f>
        <v>6.1359439712091124E-2</v>
      </c>
      <c r="Q60" s="198">
        <f>'T1'!O64</f>
        <v>8.5674714548986675E-3</v>
      </c>
      <c r="R60" s="162"/>
      <c r="S60" s="198">
        <f>'T1'!T64</f>
        <v>8.9999999999999993E-3</v>
      </c>
      <c r="T60" s="198">
        <f>'T1'!U64</f>
        <v>2.5999999999999999E-2</v>
      </c>
      <c r="U60" s="198">
        <f>'T1'!V64</f>
        <v>9.0999999999999998E-2</v>
      </c>
    </row>
    <row r="61" spans="1:21" s="183" customFormat="1" ht="15" customHeight="1">
      <c r="A61" s="196" t="s">
        <v>71</v>
      </c>
      <c r="B61" s="179" t="s">
        <v>38</v>
      </c>
      <c r="C61" s="180" t="s">
        <v>72</v>
      </c>
      <c r="D61" s="190"/>
      <c r="E61" s="182" t="b">
        <f>'T1 ANSP'!C65='T1'!C65</f>
        <v>1</v>
      </c>
      <c r="F61" s="182" t="b">
        <f>'T1 ANSP'!D65='T1'!D65</f>
        <v>1</v>
      </c>
      <c r="G61" s="182" t="b">
        <f>'T1 ANSP'!E65='T1'!E65</f>
        <v>1</v>
      </c>
      <c r="H61" s="182" t="b">
        <f>'T1 ANSP'!F65='T1'!F65</f>
        <v>1</v>
      </c>
      <c r="I61" s="182" t="b">
        <f>'T1 ANSP'!G65='T1'!G65</f>
        <v>1</v>
      </c>
      <c r="J61" s="182" t="b">
        <f>'T1 ANSP'!H65='T1'!H65</f>
        <v>1</v>
      </c>
      <c r="K61" s="182" t="b">
        <f>'T1 ANSP'!I65='T1'!I65</f>
        <v>1</v>
      </c>
      <c r="L61" s="182" t="b">
        <f>'T1 ANSP'!J65='T1'!J65</f>
        <v>1</v>
      </c>
      <c r="M61" s="182" t="b">
        <f>'T1 ANSP'!K65='T1'!K65</f>
        <v>1</v>
      </c>
      <c r="N61" s="182" t="b">
        <f>'T1 ANSP'!L65='T1'!L65</f>
        <v>1</v>
      </c>
      <c r="O61" s="182" t="b">
        <f>'T1 ANSP'!M65='T1'!M65</f>
        <v>1</v>
      </c>
      <c r="P61" s="182" t="b">
        <f>'T1 ANSP'!N65='T1'!N65</f>
        <v>1</v>
      </c>
      <c r="Q61" s="182" t="b">
        <f>'T1 ANSP'!O65='T1'!O65</f>
        <v>1</v>
      </c>
      <c r="R61" s="162"/>
      <c r="S61" s="182" t="b">
        <f>'T1 ANSP'!T65='T1'!T65</f>
        <v>1</v>
      </c>
      <c r="T61" s="182" t="b">
        <f>'T1 ANSP'!U65='T1'!U65</f>
        <v>1</v>
      </c>
      <c r="U61" s="182" t="b">
        <f>'T1 ANSP'!V65='T1'!V65</f>
        <v>1</v>
      </c>
    </row>
    <row r="62" spans="1:21" s="189" customFormat="1" ht="15" customHeight="1" outlineLevel="1">
      <c r="A62" s="199"/>
      <c r="B62" s="185"/>
      <c r="C62" s="186" t="s">
        <v>73</v>
      </c>
      <c r="D62" s="190"/>
      <c r="E62" s="214">
        <f>'T1 ANSP'!C65</f>
        <v>92.851020823042745</v>
      </c>
      <c r="F62" s="214">
        <f>'T1 ANSP'!D65</f>
        <v>95.265147364441859</v>
      </c>
      <c r="G62" s="214">
        <f>'T1 ANSP'!E65</f>
        <v>96.694124574908471</v>
      </c>
      <c r="H62" s="214">
        <f>'T1 ANSP'!F65</f>
        <v>96.694124574908471</v>
      </c>
      <c r="I62" s="214">
        <f>'T1 ANSP'!G65</f>
        <v>97.370983446932826</v>
      </c>
      <c r="J62" s="214">
        <f>'T1 ANSP'!H65</f>
        <v>100</v>
      </c>
      <c r="K62" s="214">
        <f>'T1 ANSP'!I65</f>
        <v>102.49999999999999</v>
      </c>
      <c r="L62" s="214">
        <f>'T1 ANSP'!J65</f>
        <v>104.34499999999998</v>
      </c>
      <c r="M62" s="214">
        <f>'T1 ANSP'!K65</f>
        <v>106.44304700754891</v>
      </c>
      <c r="N62" s="214">
        <f>'T1 ANSP'!L65</f>
        <v>108.5719079476999</v>
      </c>
      <c r="O62" s="214">
        <f>'T1 ANSP'!M65</f>
        <v>110.7433461066539</v>
      </c>
      <c r="P62" s="214">
        <f>'T1 ANSP'!N65</f>
        <v>118.73399586480322</v>
      </c>
      <c r="Q62" s="214">
        <f>'T1 ANSP'!O65</f>
        <v>119.75124598510098</v>
      </c>
      <c r="R62" s="162"/>
      <c r="S62" s="214">
        <f>'T1 ANSP'!T65</f>
        <v>105.28410499999997</v>
      </c>
      <c r="T62" s="214">
        <f>'T1 ANSP'!U65</f>
        <v>108.02149172999997</v>
      </c>
      <c r="U62" s="214">
        <f>'T1 ANSP'!V65</f>
        <v>117.85144747742996</v>
      </c>
    </row>
    <row r="63" spans="1:21" s="189" customFormat="1" ht="15" customHeight="1" outlineLevel="1">
      <c r="A63" s="199"/>
      <c r="B63" s="185"/>
      <c r="C63" s="186" t="s">
        <v>74</v>
      </c>
      <c r="D63" s="190"/>
      <c r="E63" s="214">
        <f>'T1'!C65</f>
        <v>92.851020823042745</v>
      </c>
      <c r="F63" s="214">
        <f>'T1'!D65</f>
        <v>95.265147364441859</v>
      </c>
      <c r="G63" s="214">
        <f>'T1'!E65</f>
        <v>96.694124574908471</v>
      </c>
      <c r="H63" s="214">
        <f>'T1'!F65</f>
        <v>96.694124574908471</v>
      </c>
      <c r="I63" s="214">
        <f>'T1'!G65</f>
        <v>97.370983446932826</v>
      </c>
      <c r="J63" s="214">
        <f>'T1'!H65</f>
        <v>100</v>
      </c>
      <c r="K63" s="214">
        <f>'T1'!I65</f>
        <v>102.49999999999999</v>
      </c>
      <c r="L63" s="214">
        <f>'T1'!J65</f>
        <v>104.34499999999998</v>
      </c>
      <c r="M63" s="214">
        <f>'T1'!K65</f>
        <v>106.44304700754891</v>
      </c>
      <c r="N63" s="214">
        <f>'T1'!L65</f>
        <v>108.5719079476999</v>
      </c>
      <c r="O63" s="214">
        <f>'T1'!M65</f>
        <v>110.7433461066539</v>
      </c>
      <c r="P63" s="214">
        <f>'T1'!N65</f>
        <v>118.73399586480322</v>
      </c>
      <c r="Q63" s="214">
        <f>'T1'!O65</f>
        <v>119.75124598510098</v>
      </c>
      <c r="R63" s="162"/>
      <c r="S63" s="214">
        <f>'T1'!T65</f>
        <v>105.28410499999997</v>
      </c>
      <c r="T63" s="214">
        <f>'T1'!U65</f>
        <v>108.02149172999997</v>
      </c>
      <c r="U63" s="214">
        <f>'T1'!V65</f>
        <v>117.85144747742996</v>
      </c>
    </row>
    <row r="64" spans="1:21" s="183" customFormat="1" ht="15" customHeight="1">
      <c r="A64" s="178" t="s">
        <v>75</v>
      </c>
      <c r="B64" s="179" t="s">
        <v>76</v>
      </c>
      <c r="C64" s="200" t="s">
        <v>77</v>
      </c>
      <c r="D64" s="181">
        <v>3</v>
      </c>
      <c r="E64" s="182" t="b">
        <f>IF('T1 ANSP'!C39&gt;0,(ROUND('T1 ANSP'!C41,$D$64)=ROUND('T1 ANSP'!C16/'T1 ANSP'!C39,$D$64)),"N/A")</f>
        <v>1</v>
      </c>
      <c r="F64" s="182" t="b">
        <f>IF('T1 ANSP'!D39&gt;0,(ROUND('T1 ANSP'!D41,$D$64)=ROUND('T1 ANSP'!D16/'T1 ANSP'!D39,$D$64)),"N/A")</f>
        <v>1</v>
      </c>
      <c r="G64" s="182" t="b">
        <f>IF('T1 ANSP'!E39&gt;0,(ROUND('T1 ANSP'!E41,$D$64)=ROUND('T1 ANSP'!E16/'T1 ANSP'!E39,$D$64)),"N/A")</f>
        <v>1</v>
      </c>
      <c r="H64" s="182" t="b">
        <f>IF('T1 ANSP'!F39&gt;0,(ROUND('T1 ANSP'!F41,$D$64)=ROUND('T1 ANSP'!F16/'T1 ANSP'!F39,$D$64)),"N/A")</f>
        <v>1</v>
      </c>
      <c r="I64" s="182" t="b">
        <f>IF('T1 ANSP'!G39&gt;0,(ROUND('T1 ANSP'!G41,$D$64)=ROUND('T1 ANSP'!G16/'T1 ANSP'!G39,$D$64)),"N/A")</f>
        <v>1</v>
      </c>
      <c r="J64" s="182" t="b">
        <f>IF('T1 ANSP'!H39&gt;0,(ROUND('T1 ANSP'!H41,$D$64)=ROUND('T1 ANSP'!H16/'T1 ANSP'!H39,$D$64)),"N/A")</f>
        <v>1</v>
      </c>
      <c r="K64" s="182" t="b">
        <f>IF('T1 ANSP'!I39&gt;0,(ROUND('T1 ANSP'!I41,$D$64)=ROUND('T1 ANSP'!I16/'T1 ANSP'!I39,$D$64)),"N/A")</f>
        <v>1</v>
      </c>
      <c r="L64" s="182" t="b">
        <f>IF('T1 ANSP'!J39&gt;0,(ROUND('T1 ANSP'!J41,$D$64)=ROUND('T1 ANSP'!J16/'T1 ANSP'!J39,$D$64)),"N/A")</f>
        <v>1</v>
      </c>
      <c r="M64" s="182" t="b">
        <f>IF('T1 ANSP'!K39&gt;0,(ROUND('T1 ANSP'!K41,$D$64)=ROUND('T1 ANSP'!K16/'T1 ANSP'!K39,$D$64)),"N/A")</f>
        <v>1</v>
      </c>
      <c r="N64" s="182" t="b">
        <f>IF('T1 ANSP'!L39&gt;0,(ROUND('T1 ANSP'!L41,$D$64)=ROUND('T1 ANSP'!L16/'T1 ANSP'!L39,$D$64)),"N/A")</f>
        <v>1</v>
      </c>
      <c r="O64" s="182" t="b">
        <f>IF('T1 ANSP'!M39&gt;0,(ROUND('T1 ANSP'!M41,$D$64)=ROUND('T1 ANSP'!M16/'T1 ANSP'!M39,$D$64)),"N/A")</f>
        <v>1</v>
      </c>
      <c r="P64" s="182" t="b">
        <f>IF('T1 ANSP'!N39&gt;0,(ROUND('T1 ANSP'!N41,$D$64)=ROUND('T1 ANSP'!N16/'T1 ANSP'!N39,$D$64)),"N/A")</f>
        <v>0</v>
      </c>
      <c r="Q64" s="182" t="b">
        <f>IF('T1 ANSP'!O39&gt;0,(ROUND('T1 ANSP'!O41,$D$64)=ROUND('T1 ANSP'!O16/'T1 ANSP'!O39,$D$64)),"N/A")</f>
        <v>0</v>
      </c>
      <c r="R64" s="162"/>
      <c r="S64" s="182" t="b">
        <f>IF('T1 ANSP'!T39&gt;0,(ROUND('T1 ANSP'!T41,$D$64)=ROUND('T1 ANSP'!T16/'T1 ANSP'!T39,$D$64)),"N/A")</f>
        <v>1</v>
      </c>
      <c r="T64" s="182" t="b">
        <f>IF('T1 ANSP'!U39&gt;0,(ROUND('T1 ANSP'!U41,$D$64)=ROUND('T1 ANSP'!U16/'T1 ANSP'!U39,$D$64)),"N/A")</f>
        <v>1</v>
      </c>
      <c r="U64" s="182" t="b">
        <f>IF('T1 ANSP'!V39&gt;0,(ROUND('T1 ANSP'!V41,$D$64)=ROUND('T1 ANSP'!V16/'T1 ANSP'!V39,$D$64)),"N/A")</f>
        <v>1</v>
      </c>
    </row>
    <row r="65" spans="1:21" s="189" customFormat="1" ht="15" customHeight="1" outlineLevel="1">
      <c r="A65" s="184"/>
      <c r="B65" s="185"/>
      <c r="C65" s="186" t="s">
        <v>78</v>
      </c>
      <c r="D65" s="190"/>
      <c r="E65" s="201">
        <f>IF('T1 ANSP'!C39&gt;0,(ROUND('T1 ANSP'!C41,$D$64)))</f>
        <v>6.8000000000000005E-2</v>
      </c>
      <c r="F65" s="201">
        <f>IF('T1 ANSP'!D39&gt;0,(ROUND('T1 ANSP'!D41,$D$64)))</f>
        <v>6.8000000000000005E-2</v>
      </c>
      <c r="G65" s="201">
        <f>IF('T1 ANSP'!E39&gt;0,(ROUND('T1 ANSP'!E41,$D$64)))</f>
        <v>6.8000000000000005E-2</v>
      </c>
      <c r="H65" s="201">
        <f>IF('T1 ANSP'!F39&gt;0,(ROUND('T1 ANSP'!F41,$D$64)))</f>
        <v>5.8999999999999997E-2</v>
      </c>
      <c r="I65" s="201">
        <f>IF('T1 ANSP'!G39&gt;0,(ROUND('T1 ANSP'!G41,$D$64)))</f>
        <v>5.8999999999999997E-2</v>
      </c>
      <c r="J65" s="201">
        <f>IF('T1 ANSP'!H39&gt;0,(ROUND('T1 ANSP'!H41,$D$64)))</f>
        <v>5.8999999999999997E-2</v>
      </c>
      <c r="K65" s="201">
        <f>IF('T1 ANSP'!I39&gt;0,(ROUND('T1 ANSP'!I41,$D$64)))</f>
        <v>5.8999999999999997E-2</v>
      </c>
      <c r="L65" s="201">
        <f>IF('T1 ANSP'!J39&gt;0,(ROUND('T1 ANSP'!J41,$D$64)))</f>
        <v>5.8999999999999997E-2</v>
      </c>
      <c r="M65" s="201">
        <f>IF('T1 ANSP'!K39&gt;0,(ROUND('T1 ANSP'!K41,$D$64)))</f>
        <v>3.5000000000000003E-2</v>
      </c>
      <c r="N65" s="201">
        <f>IF('T1 ANSP'!L39&gt;0,(ROUND('T1 ANSP'!L41,$D$64)))</f>
        <v>3.5000000000000003E-2</v>
      </c>
      <c r="O65" s="201">
        <f>IF('T1 ANSP'!M39&gt;0,(ROUND('T1 ANSP'!M41,$D$64)))</f>
        <v>3.5000000000000003E-2</v>
      </c>
      <c r="P65" s="201">
        <f>IF('T1 ANSP'!N39&gt;0,(ROUND('T1 ANSP'!N41,$D$64)))</f>
        <v>3.2000000000000001E-2</v>
      </c>
      <c r="Q65" s="201">
        <f>IF('T1 ANSP'!O39&gt;0,(ROUND('T1 ANSP'!O41,$D$64)))</f>
        <v>3.2000000000000001E-2</v>
      </c>
      <c r="R65" s="162"/>
      <c r="S65" s="201">
        <f>IF('T1 ANSP'!T39&gt;0,(ROUND('T1 ANSP'!T41,$D$64)))</f>
        <v>3.5000000000000003E-2</v>
      </c>
      <c r="T65" s="201">
        <f>IF('T1 ANSP'!U39&gt;0,(ROUND('T1 ANSP'!U41,$D$64)))</f>
        <v>3.5000000000000003E-2</v>
      </c>
      <c r="U65" s="201">
        <f>IF('T1 ANSP'!V39&gt;0,(ROUND('T1 ANSP'!V41,$D$64)))</f>
        <v>3.5000000000000003E-2</v>
      </c>
    </row>
    <row r="66" spans="1:21" s="189" customFormat="1" ht="15" customHeight="1" outlineLevel="1">
      <c r="A66" s="184"/>
      <c r="B66" s="185"/>
      <c r="C66" s="186" t="s">
        <v>79</v>
      </c>
      <c r="D66" s="190"/>
      <c r="E66" s="201">
        <f>ROUND('T1 ANSP'!C16/'T1 ANSP'!C39,$D$64)</f>
        <v>6.8000000000000005E-2</v>
      </c>
      <c r="F66" s="201">
        <f>ROUND('T1 ANSP'!D16/'T1 ANSP'!D39,$D$64)</f>
        <v>6.8000000000000005E-2</v>
      </c>
      <c r="G66" s="201">
        <f>ROUND('T1 ANSP'!E16/'T1 ANSP'!E39,$D$64)</f>
        <v>6.8000000000000005E-2</v>
      </c>
      <c r="H66" s="201">
        <f>ROUND('T1 ANSP'!F16/'T1 ANSP'!F39,$D$64)</f>
        <v>5.8999999999999997E-2</v>
      </c>
      <c r="I66" s="201">
        <f>ROUND('T1 ANSP'!G16/'T1 ANSP'!G39,$D$64)</f>
        <v>5.8999999999999997E-2</v>
      </c>
      <c r="J66" s="201">
        <f>ROUND('T1 ANSP'!H16/'T1 ANSP'!H39,$D$64)</f>
        <v>5.8999999999999997E-2</v>
      </c>
      <c r="K66" s="201">
        <f>ROUND('T1 ANSP'!I16/'T1 ANSP'!I39,$D$64)</f>
        <v>5.8999999999999997E-2</v>
      </c>
      <c r="L66" s="201">
        <f>ROUND('T1 ANSP'!J16/'T1 ANSP'!J39,$D$64)</f>
        <v>5.8999999999999997E-2</v>
      </c>
      <c r="M66" s="201">
        <f>ROUND('T1 ANSP'!K16/'T1 ANSP'!K39,$D$64)</f>
        <v>3.5000000000000003E-2</v>
      </c>
      <c r="N66" s="201">
        <f>ROUND('T1 ANSP'!L16/'T1 ANSP'!L39,$D$64)</f>
        <v>3.5000000000000003E-2</v>
      </c>
      <c r="O66" s="201">
        <f>ROUND('T1 ANSP'!M16/'T1 ANSP'!M39,$D$64)</f>
        <v>3.5000000000000003E-2</v>
      </c>
      <c r="P66" s="201">
        <f>ROUND('T1 ANSP'!N16/'T1 ANSP'!N39,$D$64)</f>
        <v>0.03</v>
      </c>
      <c r="Q66" s="201">
        <f>ROUND('T1 ANSP'!O16/'T1 ANSP'!O39,$D$64)</f>
        <v>3.1E-2</v>
      </c>
      <c r="R66" s="162"/>
      <c r="S66" s="201">
        <f>ROUND('T1 ANSP'!T16/'T1 ANSP'!T39,$D$64)</f>
        <v>3.5000000000000003E-2</v>
      </c>
      <c r="T66" s="201">
        <f>ROUND('T1 ANSP'!U16/'T1 ANSP'!U39,$D$64)</f>
        <v>3.5000000000000003E-2</v>
      </c>
      <c r="U66" s="201">
        <f>ROUND('T1 ANSP'!V16/'T1 ANSP'!V39,$D$64)</f>
        <v>3.5000000000000003E-2</v>
      </c>
    </row>
    <row r="67" spans="1:21" s="183" customFormat="1" ht="15" customHeight="1">
      <c r="A67" s="178" t="s">
        <v>80</v>
      </c>
      <c r="B67" s="179" t="s">
        <v>81</v>
      </c>
      <c r="C67" s="202" t="s">
        <v>82</v>
      </c>
      <c r="D67" s="181">
        <v>3</v>
      </c>
      <c r="E67" s="182" t="b">
        <f>IF(ISERROR(ROUND(('T1 ANSP'!C16-('T1 ANSP'!C39*'T1 ANSP'!C43))/(('T1 ANSP'!C39*'T1 ANSP'!C42)-('T1 ANSP'!C39*'T1 ANSP'!C43)),$D$67)),"N/A",ROUND(('T1 ANSP'!C16-('T1 ANSP'!C39*'T1 ANSP'!C43))/(('T1 ANSP'!C39*'T1 ANSP'!C42)-('T1 ANSP'!C39*'T1 ANSP'!C43)),$D$67))=ROUND('T1 ANSP'!C44,$D$67)</f>
        <v>1</v>
      </c>
      <c r="F67" s="182" t="b">
        <f>IF(ISERROR(ROUND(('T1 ANSP'!D16-('T1 ANSP'!D39*'T1 ANSP'!D43))/(('T1 ANSP'!D39*'T1 ANSP'!D42)-('T1 ANSP'!D39*'T1 ANSP'!D43)),$D$67)),"N/A",ROUND(('T1 ANSP'!D16-('T1 ANSP'!D39*'T1 ANSP'!D43))/(('T1 ANSP'!D39*'T1 ANSP'!D42)-('T1 ANSP'!D39*'T1 ANSP'!D43)),$D$67))=ROUND('T1 ANSP'!D44,$D$67)</f>
        <v>0</v>
      </c>
      <c r="G67" s="182" t="b">
        <f>IF(ISERROR(ROUND(('T1 ANSP'!E16-('T1 ANSP'!E39*'T1 ANSP'!E43))/(('T1 ANSP'!E39*'T1 ANSP'!E42)-('T1 ANSP'!E39*'T1 ANSP'!E43)),$D$67)),"N/A",ROUND(('T1 ANSP'!E16-('T1 ANSP'!E39*'T1 ANSP'!E43))/(('T1 ANSP'!E39*'T1 ANSP'!E42)-('T1 ANSP'!E39*'T1 ANSP'!E43)),$D$67))=ROUND('T1 ANSP'!E44,$D$67)</f>
        <v>1</v>
      </c>
      <c r="H67" s="182" t="b">
        <f>IF(ISERROR(ROUND(('T1 ANSP'!F16-('T1 ANSP'!F39*'T1 ANSP'!F43))/(('T1 ANSP'!F39*'T1 ANSP'!F42)-('T1 ANSP'!F39*'T1 ANSP'!F43)),$D$67)),"N/A",ROUND(('T1 ANSP'!F16-('T1 ANSP'!F39*'T1 ANSP'!F43))/(('T1 ANSP'!F39*'T1 ANSP'!F42)-('T1 ANSP'!F39*'T1 ANSP'!F43)),$D$67))=ROUND('T1 ANSP'!F44,$D$67)</f>
        <v>1</v>
      </c>
      <c r="I67" s="182" t="b">
        <f>IF(ISERROR(ROUND(('T1 ANSP'!G16-('T1 ANSP'!G39*'T1 ANSP'!G43))/(('T1 ANSP'!G39*'T1 ANSP'!G42)-('T1 ANSP'!G39*'T1 ANSP'!G43)),$D$67)),"N/A",ROUND(('T1 ANSP'!G16-('T1 ANSP'!G39*'T1 ANSP'!G43))/(('T1 ANSP'!G39*'T1 ANSP'!G42)-('T1 ANSP'!G39*'T1 ANSP'!G43)),$D$67))=ROUND('T1 ANSP'!G44,$D$67)</f>
        <v>1</v>
      </c>
      <c r="J67" s="182" t="b">
        <f>IF(ISERROR(ROUND(('T1 ANSP'!H16-('T1 ANSP'!H39*'T1 ANSP'!H43))/(('T1 ANSP'!H39*'T1 ANSP'!H42)-('T1 ANSP'!H39*'T1 ANSP'!H43)),$D$67)),"N/A",ROUND(('T1 ANSP'!H16-('T1 ANSP'!H39*'T1 ANSP'!H43))/(('T1 ANSP'!H39*'T1 ANSP'!H42)-('T1 ANSP'!H39*'T1 ANSP'!H43)),$D$67))=ROUND('T1 ANSP'!H44,$D$67)</f>
        <v>1</v>
      </c>
      <c r="K67" s="182" t="b">
        <f>IF(ISERROR(ROUND(('T1 ANSP'!I16-('T1 ANSP'!I39*'T1 ANSP'!I43))/(('T1 ANSP'!I39*'T1 ANSP'!I42)-('T1 ANSP'!I39*'T1 ANSP'!I43)),$D$67)),"N/A",ROUND(('T1 ANSP'!I16-('T1 ANSP'!I39*'T1 ANSP'!I43))/(('T1 ANSP'!I39*'T1 ANSP'!I42)-('T1 ANSP'!I39*'T1 ANSP'!I43)),$D$67))=ROUND('T1 ANSP'!I44,$D$67)</f>
        <v>1</v>
      </c>
      <c r="L67" s="182" t="b">
        <f>IF(ISERROR(ROUND(('T1 ANSP'!J16-('T1 ANSP'!J39*'T1 ANSP'!J43))/(('T1 ANSP'!J39*'T1 ANSP'!J42)-('T1 ANSP'!J39*'T1 ANSP'!J43)),$D$67)),"N/A",ROUND(('T1 ANSP'!J16-('T1 ANSP'!J39*'T1 ANSP'!J43))/(('T1 ANSP'!J39*'T1 ANSP'!J42)-('T1 ANSP'!J39*'T1 ANSP'!J43)),$D$67))=ROUND('T1 ANSP'!J44,$D$67)</f>
        <v>1</v>
      </c>
      <c r="M67" s="182" t="b">
        <f>IF(ISERROR(ROUND(('T1 ANSP'!K16-('T1 ANSP'!K39*'T1 ANSP'!K43))/(('T1 ANSP'!K39*'T1 ANSP'!K42)-('T1 ANSP'!K39*'T1 ANSP'!K43)),$D$67)),"N/A",ROUND(('T1 ANSP'!K16-('T1 ANSP'!K39*'T1 ANSP'!K43))/(('T1 ANSP'!K39*'T1 ANSP'!K42)-('T1 ANSP'!K39*'T1 ANSP'!K43)),$D$67))=ROUND('T1 ANSP'!K44,$D$67)</f>
        <v>1</v>
      </c>
      <c r="N67" s="182" t="b">
        <f>IF(ISERROR(ROUND(('T1 ANSP'!L16-('T1 ANSP'!L39*'T1 ANSP'!L43))/(('T1 ANSP'!L39*'T1 ANSP'!L42)-('T1 ANSP'!L39*'T1 ANSP'!L43)),$D$67)),"N/A",ROUND(('T1 ANSP'!L16-('T1 ANSP'!L39*'T1 ANSP'!L43))/(('T1 ANSP'!L39*'T1 ANSP'!L42)-('T1 ANSP'!L39*'T1 ANSP'!L43)),$D$67))=ROUND('T1 ANSP'!L44,$D$67)</f>
        <v>1</v>
      </c>
      <c r="O67" s="182" t="b">
        <f>IF(ISERROR(ROUND(('T1 ANSP'!M16-('T1 ANSP'!M39*'T1 ANSP'!M43))/(('T1 ANSP'!M39*'T1 ANSP'!M42)-('T1 ANSP'!M39*'T1 ANSP'!M43)),$D$67)),"N/A",ROUND(('T1 ANSP'!M16-('T1 ANSP'!M39*'T1 ANSP'!M43))/(('T1 ANSP'!M39*'T1 ANSP'!M42)-('T1 ANSP'!M39*'T1 ANSP'!M43)),$D$67))=ROUND('T1 ANSP'!M44,$D$67)</f>
        <v>1</v>
      </c>
      <c r="P67" s="182" t="b">
        <f>IF(ISERROR(ROUND(('T1 ANSP'!N16-('T1 ANSP'!N39*'T1 ANSP'!N43))/(('T1 ANSP'!N39*'T1 ANSP'!N42)-('T1 ANSP'!N39*'T1 ANSP'!N43)),$D$67)),"N/A",ROUND(('T1 ANSP'!N16-('T1 ANSP'!N39*'T1 ANSP'!N43))/(('T1 ANSP'!N39*'T1 ANSP'!N42)-('T1 ANSP'!N39*'T1 ANSP'!N43)),$D$67))=ROUND('T1 ANSP'!N44,$D$67)</f>
        <v>0</v>
      </c>
      <c r="Q67" s="182" t="b">
        <f>IF(ISERROR(ROUND(('T1 ANSP'!O16-('T1 ANSP'!O39*'T1 ANSP'!O43))/(('T1 ANSP'!O39*'T1 ANSP'!O42)-('T1 ANSP'!O39*'T1 ANSP'!O43)),$D$67)),"N/A",ROUND(('T1 ANSP'!O16-('T1 ANSP'!O39*'T1 ANSP'!O43))/(('T1 ANSP'!O39*'T1 ANSP'!O42)-('T1 ANSP'!O39*'T1 ANSP'!O43)),$D$67))=ROUND('T1 ANSP'!O44,$D$67)</f>
        <v>0</v>
      </c>
      <c r="R67" s="162"/>
      <c r="S67" s="182" t="b">
        <f>IF(ISERROR(ROUND(('T1 ANSP'!T16-('T1 ANSP'!T39*'T1 ANSP'!T43))/(('T1 ANSP'!T39*'T1 ANSP'!T42)-('T1 ANSP'!T39*'T1 ANSP'!T43)),$D$67)),"N/A",ROUND(('T1 ANSP'!T16-('T1 ANSP'!T39*'T1 ANSP'!T43))/(('T1 ANSP'!T39*'T1 ANSP'!T42)-('T1 ANSP'!T39*'T1 ANSP'!T43)),$D$67))=ROUND('T1 ANSP'!T44,$D$67)</f>
        <v>1</v>
      </c>
      <c r="T67" s="182" t="b">
        <f>IF(ISERROR(ROUND(('T1 ANSP'!U16-('T1 ANSP'!U39*'T1 ANSP'!U43))/(('T1 ANSP'!U39*'T1 ANSP'!U42)-('T1 ANSP'!U39*'T1 ANSP'!U43)),$D$67)),"N/A",ROUND(('T1 ANSP'!U16-('T1 ANSP'!U39*'T1 ANSP'!U43))/(('T1 ANSP'!U39*'T1 ANSP'!U42)-('T1 ANSP'!U39*'T1 ANSP'!U43)),$D$67))=ROUND('T1 ANSP'!U44,$D$67)</f>
        <v>1</v>
      </c>
      <c r="U67" s="182" t="b">
        <f>IF(ISERROR(ROUND(('T1 ANSP'!V16-('T1 ANSP'!V39*'T1 ANSP'!V43))/(('T1 ANSP'!V39*'T1 ANSP'!V42)-('T1 ANSP'!V39*'T1 ANSP'!V43)),$D$67)),"N/A",ROUND(('T1 ANSP'!V16-('T1 ANSP'!V39*'T1 ANSP'!V43))/(('T1 ANSP'!V39*'T1 ANSP'!V42)-('T1 ANSP'!V39*'T1 ANSP'!V43)),$D$67))=ROUND('T1 ANSP'!V44,$D$67)</f>
        <v>1</v>
      </c>
    </row>
    <row r="68" spans="1:21" s="189" customFormat="1" ht="15" customHeight="1" outlineLevel="1">
      <c r="A68" s="184"/>
      <c r="B68" s="185"/>
      <c r="C68" s="203" t="s">
        <v>83</v>
      </c>
      <c r="D68" s="190"/>
      <c r="E68" s="204">
        <f>IF(ISERROR(ROUND(('T1 ANSP'!C16-('T1 ANSP'!C39*'T1 ANSP'!C43))/(('T1 ANSP'!C39*'T1 ANSP'!C42)-('T1 ANSP'!C39*'T1 ANSP'!C43)),$D$67)),"N/A",ROUND(('T1 ANSP'!C16-('T1 ANSP'!C39*'T1 ANSP'!C43))/(('T1 ANSP'!C39*'T1 ANSP'!C42)-('T1 ANSP'!C39*'T1 ANSP'!C43)),$D$67))</f>
        <v>0.40200000000000002</v>
      </c>
      <c r="F68" s="204">
        <f>IF(ISERROR(ROUND(('T1 ANSP'!D16-('T1 ANSP'!D39*'T1 ANSP'!D43))/(('T1 ANSP'!D39*'T1 ANSP'!D42)-('T1 ANSP'!D39*'T1 ANSP'!D43)),$D$67)),"N/A",ROUND(('T1 ANSP'!D16-('T1 ANSP'!D39*'T1 ANSP'!D43))/(('T1 ANSP'!D39*'T1 ANSP'!D42)-('T1 ANSP'!D39*'T1 ANSP'!D43)),$D$67))</f>
        <v>0.39900000000000002</v>
      </c>
      <c r="G68" s="204">
        <f>IF(ISERROR(ROUND(('T1 ANSP'!E16-('T1 ANSP'!E39*'T1 ANSP'!E43))/(('T1 ANSP'!E39*'T1 ANSP'!E42)-('T1 ANSP'!E39*'T1 ANSP'!E43)),$D$67)),"N/A",ROUND(('T1 ANSP'!E16-('T1 ANSP'!E39*'T1 ANSP'!E43))/(('T1 ANSP'!E39*'T1 ANSP'!E42)-('T1 ANSP'!E39*'T1 ANSP'!E43)),$D$67))</f>
        <v>0.40100000000000002</v>
      </c>
      <c r="H68" s="204">
        <f>IF(ISERROR(ROUND(('T1 ANSP'!F16-('T1 ANSP'!F39*'T1 ANSP'!F43))/(('T1 ANSP'!F39*'T1 ANSP'!F42)-('T1 ANSP'!F39*'T1 ANSP'!F43)),$D$67)),"N/A",ROUND(('T1 ANSP'!F16-('T1 ANSP'!F39*'T1 ANSP'!F43))/(('T1 ANSP'!F39*'T1 ANSP'!F42)-('T1 ANSP'!F39*'T1 ANSP'!F43)),$D$67))</f>
        <v>0.4</v>
      </c>
      <c r="I68" s="204">
        <f>IF(ISERROR(ROUND(('T1 ANSP'!G16-('T1 ANSP'!G39*'T1 ANSP'!G43))/(('T1 ANSP'!G39*'T1 ANSP'!G42)-('T1 ANSP'!G39*'T1 ANSP'!G43)),$D$67)),"N/A",ROUND(('T1 ANSP'!G16-('T1 ANSP'!G39*'T1 ANSP'!G43))/(('T1 ANSP'!G39*'T1 ANSP'!G42)-('T1 ANSP'!G39*'T1 ANSP'!G43)),$D$67))</f>
        <v>0.4</v>
      </c>
      <c r="J68" s="204">
        <f>IF(ISERROR(ROUND(('T1 ANSP'!H16-('T1 ANSP'!H39*'T1 ANSP'!H43))/(('T1 ANSP'!H39*'T1 ANSP'!H42)-('T1 ANSP'!H39*'T1 ANSP'!H43)),$D$67)),"N/A",ROUND(('T1 ANSP'!H16-('T1 ANSP'!H39*'T1 ANSP'!H43))/(('T1 ANSP'!H39*'T1 ANSP'!H42)-('T1 ANSP'!H39*'T1 ANSP'!H43)),$D$67))</f>
        <v>0.4</v>
      </c>
      <c r="K68" s="204">
        <f>IF(ISERROR(ROUND(('T1 ANSP'!I16-('T1 ANSP'!I39*'T1 ANSP'!I43))/(('T1 ANSP'!I39*'T1 ANSP'!I42)-('T1 ANSP'!I39*'T1 ANSP'!I43)),$D$67)),"N/A",ROUND(('T1 ANSP'!I16-('T1 ANSP'!I39*'T1 ANSP'!I43))/(('T1 ANSP'!I39*'T1 ANSP'!I42)-('T1 ANSP'!I39*'T1 ANSP'!I43)),$D$67))</f>
        <v>0.4</v>
      </c>
      <c r="L68" s="204">
        <f>IF(ISERROR(ROUND(('T1 ANSP'!J16-('T1 ANSP'!J39*'T1 ANSP'!J43))/(('T1 ANSP'!J39*'T1 ANSP'!J42)-('T1 ANSP'!J39*'T1 ANSP'!J43)),$D$67)),"N/A",ROUND(('T1 ANSP'!J16-('T1 ANSP'!J39*'T1 ANSP'!J43))/(('T1 ANSP'!J39*'T1 ANSP'!J42)-('T1 ANSP'!J39*'T1 ANSP'!J43)),$D$67))</f>
        <v>0.4</v>
      </c>
      <c r="M68" s="204">
        <f>IF(ISERROR(ROUND(('T1 ANSP'!K16-('T1 ANSP'!K39*'T1 ANSP'!K43))/(('T1 ANSP'!K39*'T1 ANSP'!K42)-('T1 ANSP'!K39*'T1 ANSP'!K43)),$D$67)),"N/A",ROUND(('T1 ANSP'!K16-('T1 ANSP'!K39*'T1 ANSP'!K43))/(('T1 ANSP'!K39*'T1 ANSP'!K42)-('T1 ANSP'!K39*'T1 ANSP'!K43)),$D$67))</f>
        <v>0.7</v>
      </c>
      <c r="N68" s="204">
        <f>IF(ISERROR(ROUND(('T1 ANSP'!L16-('T1 ANSP'!L39*'T1 ANSP'!L43))/(('T1 ANSP'!L39*'T1 ANSP'!L42)-('T1 ANSP'!L39*'T1 ANSP'!L43)),$D$67)),"N/A",ROUND(('T1 ANSP'!L16-('T1 ANSP'!L39*'T1 ANSP'!L43))/(('T1 ANSP'!L39*'T1 ANSP'!L42)-('T1 ANSP'!L39*'T1 ANSP'!L43)),$D$67))</f>
        <v>0.7</v>
      </c>
      <c r="O68" s="204">
        <f>IF(ISERROR(ROUND(('T1 ANSP'!M16-('T1 ANSP'!M39*'T1 ANSP'!M43))/(('T1 ANSP'!M39*'T1 ANSP'!M42)-('T1 ANSP'!M39*'T1 ANSP'!M43)),$D$67)),"N/A",ROUND(('T1 ANSP'!M16-('T1 ANSP'!M39*'T1 ANSP'!M43))/(('T1 ANSP'!M39*'T1 ANSP'!M42)-('T1 ANSP'!M39*'T1 ANSP'!M43)),$D$67))</f>
        <v>0.7</v>
      </c>
      <c r="P68" s="204">
        <f>IF(ISERROR(ROUND(('T1 ANSP'!N16-('T1 ANSP'!N39*'T1 ANSP'!N43))/(('T1 ANSP'!N39*'T1 ANSP'!N42)-('T1 ANSP'!N39*'T1 ANSP'!N43)),$D$67)),"N/A",ROUND(('T1 ANSP'!N16-('T1 ANSP'!N39*'T1 ANSP'!N43))/(('T1 ANSP'!N39*'T1 ANSP'!N42)-('T1 ANSP'!N39*'T1 ANSP'!N43)),$D$67))</f>
        <v>0.64300000000000002</v>
      </c>
      <c r="Q68" s="204">
        <f>IF(ISERROR(ROUND(('T1 ANSP'!O16-('T1 ANSP'!O39*'T1 ANSP'!O43))/(('T1 ANSP'!O39*'T1 ANSP'!O42)-('T1 ANSP'!O39*'T1 ANSP'!O43)),$D$67)),"N/A",ROUND(('T1 ANSP'!O16-('T1 ANSP'!O39*'T1 ANSP'!O43))/(('T1 ANSP'!O39*'T1 ANSP'!O42)-('T1 ANSP'!O39*'T1 ANSP'!O43)),$D$67))</f>
        <v>0.64700000000000002</v>
      </c>
      <c r="R68" s="162"/>
      <c r="S68" s="204">
        <f>IF(ISERROR(ROUND(('T1 ANSP'!T16-('T1 ANSP'!T39*'T1 ANSP'!T43))/(('T1 ANSP'!T39*'T1 ANSP'!T42)-('T1 ANSP'!T39*'T1 ANSP'!T43)),$D$67)),"N/A",ROUND(('T1 ANSP'!T16-('T1 ANSP'!T39*'T1 ANSP'!T43))/(('T1 ANSP'!T39*'T1 ANSP'!T42)-('T1 ANSP'!T39*'T1 ANSP'!T43)),$D$67))</f>
        <v>0.7</v>
      </c>
      <c r="T68" s="204">
        <f>IF(ISERROR(ROUND(('T1 ANSP'!U16-('T1 ANSP'!U39*'T1 ANSP'!U43))/(('T1 ANSP'!U39*'T1 ANSP'!U42)-('T1 ANSP'!U39*'T1 ANSP'!U43)),$D$67)),"N/A",ROUND(('T1 ANSP'!U16-('T1 ANSP'!U39*'T1 ANSP'!U43))/(('T1 ANSP'!U39*'T1 ANSP'!U42)-('T1 ANSP'!U39*'T1 ANSP'!U43)),$D$67))</f>
        <v>0.7</v>
      </c>
      <c r="U68" s="204">
        <f>IF(ISERROR(ROUND(('T1 ANSP'!V16-('T1 ANSP'!V39*'T1 ANSP'!V43))/(('T1 ANSP'!V39*'T1 ANSP'!V42)-('T1 ANSP'!V39*'T1 ANSP'!V43)),$D$67)),"N/A",ROUND(('T1 ANSP'!V16-('T1 ANSP'!V39*'T1 ANSP'!V43))/(('T1 ANSP'!V39*'T1 ANSP'!V42)-('T1 ANSP'!V39*'T1 ANSP'!V43)),$D$67))</f>
        <v>0.7</v>
      </c>
    </row>
    <row r="69" spans="1:21" s="189" customFormat="1" ht="15" customHeight="1" outlineLevel="1">
      <c r="A69" s="184"/>
      <c r="B69" s="185"/>
      <c r="C69" s="203" t="s">
        <v>84</v>
      </c>
      <c r="D69" s="190"/>
      <c r="E69" s="216">
        <f>ROUND('T1 ANSP'!C44,$D$67)</f>
        <v>0.40200000000000002</v>
      </c>
      <c r="F69" s="216">
        <f>ROUND('T1 ANSP'!D44,$D$67)</f>
        <v>0.4</v>
      </c>
      <c r="G69" s="216">
        <f>ROUND('T1 ANSP'!E44,$D$67)</f>
        <v>0.40100000000000002</v>
      </c>
      <c r="H69" s="216">
        <f>ROUND('T1 ANSP'!F44,$D$67)</f>
        <v>0.4</v>
      </c>
      <c r="I69" s="216">
        <f>ROUND('T1 ANSP'!G44,$D$67)</f>
        <v>0.4</v>
      </c>
      <c r="J69" s="216">
        <f>ROUND('T1 ANSP'!H44,$D$67)</f>
        <v>0.4</v>
      </c>
      <c r="K69" s="216">
        <f>ROUND('T1 ANSP'!I44,$D$67)</f>
        <v>0.4</v>
      </c>
      <c r="L69" s="216">
        <f>ROUND('T1 ANSP'!J44,$D$67)</f>
        <v>0.4</v>
      </c>
      <c r="M69" s="216">
        <f>ROUND('T1 ANSP'!K44,$D$67)</f>
        <v>0.7</v>
      </c>
      <c r="N69" s="216">
        <f>ROUND('T1 ANSP'!L44,$D$67)</f>
        <v>0.7</v>
      </c>
      <c r="O69" s="216">
        <f>ROUND('T1 ANSP'!M44,$D$67)</f>
        <v>0.7</v>
      </c>
      <c r="P69" s="216">
        <f>ROUND('T1 ANSP'!N44,$D$67)</f>
        <v>0.66</v>
      </c>
      <c r="Q69" s="216">
        <f>ROUND('T1 ANSP'!O44,$D$67)</f>
        <v>0.66</v>
      </c>
      <c r="R69" s="162"/>
      <c r="S69" s="216">
        <f>ROUND('T1 ANSP'!T44,$D$67)</f>
        <v>0.7</v>
      </c>
      <c r="T69" s="216">
        <f>ROUND('T1 ANSP'!U44,$D$67)</f>
        <v>0.7</v>
      </c>
      <c r="U69" s="216">
        <f>ROUND('T1 ANSP'!V44,$D$67)</f>
        <v>0.7</v>
      </c>
    </row>
    <row r="70" spans="1:21" s="183" customFormat="1" ht="15" customHeight="1">
      <c r="A70" s="178" t="s">
        <v>85</v>
      </c>
      <c r="B70" s="179" t="s">
        <v>86</v>
      </c>
      <c r="C70" s="180" t="s">
        <v>87</v>
      </c>
      <c r="D70" s="181">
        <v>3</v>
      </c>
      <c r="E70" s="182" t="b">
        <f>ROUND(SUM('T1 ANSP'!C36:C38),$D$70)=ROUND('T1 ANSP'!C39,$D$70)</f>
        <v>1</v>
      </c>
      <c r="F70" s="182" t="b">
        <f>ROUND(SUM('T1 ANSP'!D36:D38),$D$70)=ROUND('T1 ANSP'!D39,$D$70)</f>
        <v>1</v>
      </c>
      <c r="G70" s="182" t="b">
        <f>ROUND(SUM('T1 ANSP'!E36:E38),$D$70)=ROUND('T1 ANSP'!E39,$D$70)</f>
        <v>1</v>
      </c>
      <c r="H70" s="182" t="b">
        <f>ROUND(SUM('T1 ANSP'!F36:F38),$D$70)=ROUND('T1 ANSP'!F39,$D$70)</f>
        <v>1</v>
      </c>
      <c r="I70" s="182" t="b">
        <f>ROUND(SUM('T1 ANSP'!G36:G38),$D$70)=ROUND('T1 ANSP'!G39,$D$70)</f>
        <v>1</v>
      </c>
      <c r="J70" s="182" t="b">
        <f>ROUND(SUM('T1 ANSP'!H36:H38),$D$70)=ROUND('T1 ANSP'!H39,$D$70)</f>
        <v>1</v>
      </c>
      <c r="K70" s="182" t="b">
        <f>ROUND(SUM('T1 ANSP'!I36:I38),$D$70)=ROUND('T1 ANSP'!I39,$D$70)</f>
        <v>1</v>
      </c>
      <c r="L70" s="182" t="b">
        <f>ROUND(SUM('T1 ANSP'!J36:J38),$D$70)=ROUND('T1 ANSP'!J39,$D$70)</f>
        <v>1</v>
      </c>
      <c r="M70" s="182" t="b">
        <f>ROUND(SUM('T1 ANSP'!K36:K38),$D$70)=ROUND('T1 ANSP'!K39,$D$70)</f>
        <v>1</v>
      </c>
      <c r="N70" s="182" t="b">
        <f>ROUND(SUM('T1 ANSP'!L36:L38),$D$70)=ROUND('T1 ANSP'!L39,$D$70)</f>
        <v>1</v>
      </c>
      <c r="O70" s="182" t="b">
        <f>ROUND(SUM('T1 ANSP'!M36:M38),$D$70)=ROUND('T1 ANSP'!M39,$D$70)</f>
        <v>1</v>
      </c>
      <c r="P70" s="182" t="b">
        <f>ROUND(SUM('T1 ANSP'!N36:N38),$D$70)=ROUND('T1 ANSP'!N39,$D$70)</f>
        <v>0</v>
      </c>
      <c r="Q70" s="182" t="b">
        <f>ROUND(SUM('T1 ANSP'!O36:O38),$D$70)=ROUND('T1 ANSP'!O39,$D$70)</f>
        <v>0</v>
      </c>
      <c r="R70" s="162"/>
      <c r="S70" s="182" t="b">
        <f>ROUND(SUM('T1 ANSP'!T36:T38),$D$70)=ROUND('T1 ANSP'!T39,$D$70)</f>
        <v>1</v>
      </c>
      <c r="T70" s="182" t="b">
        <f>ROUND(SUM('T1 ANSP'!U36:U38),$D$70)=ROUND('T1 ANSP'!U39,$D$70)</f>
        <v>1</v>
      </c>
      <c r="U70" s="182" t="b">
        <f>ROUND(SUM('T1 ANSP'!V36:V38),$D$70)=ROUND('T1 ANSP'!V39,$D$70)</f>
        <v>0</v>
      </c>
    </row>
    <row r="71" spans="1:21" s="189" customFormat="1" ht="15" customHeight="1" outlineLevel="1">
      <c r="A71" s="184"/>
      <c r="B71" s="185"/>
      <c r="C71" s="186" t="s">
        <v>88</v>
      </c>
      <c r="D71" s="190"/>
      <c r="E71" s="860">
        <f>ROUND(SUM('T1 ANSP'!C36:C38),$D$70)</f>
        <v>1005299.905</v>
      </c>
      <c r="F71" s="860">
        <f>ROUND(SUM('T1 ANSP'!D36:D38),$D$70)</f>
        <v>1007679.07</v>
      </c>
      <c r="G71" s="860">
        <f>ROUND(SUM('T1 ANSP'!E36:E38),$D$70)</f>
        <v>992116.11499999999</v>
      </c>
      <c r="H71" s="860">
        <f>ROUND(SUM('T1 ANSP'!F36:F38),$D$70)</f>
        <v>968261.12100000004</v>
      </c>
      <c r="I71" s="860">
        <f>ROUND(SUM('T1 ANSP'!G36:G38),$D$70)</f>
        <v>897775.071</v>
      </c>
      <c r="J71" s="860">
        <f>ROUND(SUM('T1 ANSP'!H36:H38),$D$70)</f>
        <v>842598.33499999996</v>
      </c>
      <c r="K71" s="860">
        <f>ROUND(SUM('T1 ANSP'!I36:I38),$D$70)</f>
        <v>830401.35600000003</v>
      </c>
      <c r="L71" s="860">
        <f>ROUND(SUM('T1 ANSP'!J36:J38),$D$70)</f>
        <v>823026.93299999996</v>
      </c>
      <c r="M71" s="860">
        <f>ROUND(SUM('T1 ANSP'!K36:K38),$D$70)</f>
        <v>871008.10900000005</v>
      </c>
      <c r="N71" s="860">
        <f>ROUND(SUM('T1 ANSP'!L36:L38),$D$70)</f>
        <v>982612.96600000001</v>
      </c>
      <c r="O71" s="860">
        <f>ROUND(SUM('T1 ANSP'!M36:M38),$D$70)</f>
        <v>1061885.956</v>
      </c>
      <c r="P71" s="860">
        <f>ROUND(SUM('T1 ANSP'!N36:N38),$D$70)</f>
        <v>1616233.422</v>
      </c>
      <c r="Q71" s="860">
        <f>ROUND(SUM('T1 ANSP'!O36:O38),$D$70)</f>
        <v>1526816.541</v>
      </c>
      <c r="R71" s="162"/>
      <c r="S71" s="860">
        <f>ROUND(SUM('T1 ANSP'!T36:T38),$D$70)</f>
        <v>933193.99600000004</v>
      </c>
      <c r="T71" s="860">
        <f>ROUND(SUM('T1 ANSP'!U36:U38),$D$70)</f>
        <v>1137645.682</v>
      </c>
      <c r="U71" s="860">
        <f>ROUND(SUM('T1 ANSP'!V36:V38),$D$70)</f>
        <v>1346888.2209999999</v>
      </c>
    </row>
    <row r="72" spans="1:21" s="189" customFormat="1" ht="15" customHeight="1" outlineLevel="1">
      <c r="A72" s="184"/>
      <c r="B72" s="185"/>
      <c r="C72" s="186" t="s">
        <v>89</v>
      </c>
      <c r="D72" s="190"/>
      <c r="E72" s="860">
        <f>ROUND('T1 ANSP'!C39,$D$70)</f>
        <v>1005299.905</v>
      </c>
      <c r="F72" s="860">
        <f>ROUND('T1 ANSP'!D39,$D$70)</f>
        <v>1007679.07</v>
      </c>
      <c r="G72" s="860">
        <f>ROUND('T1 ANSP'!E39,$D$70)</f>
        <v>992116.11499999999</v>
      </c>
      <c r="H72" s="860">
        <f>ROUND('T1 ANSP'!F39,$D$70)</f>
        <v>968261.12100000004</v>
      </c>
      <c r="I72" s="860">
        <f>ROUND('T1 ANSP'!G39,$D$70)</f>
        <v>897775.071</v>
      </c>
      <c r="J72" s="860">
        <f>ROUND('T1 ANSP'!H39,$D$70)</f>
        <v>842598.33499999996</v>
      </c>
      <c r="K72" s="860">
        <f>ROUND('T1 ANSP'!I39,$D$70)</f>
        <v>830401.35600000003</v>
      </c>
      <c r="L72" s="860">
        <f>ROUND('T1 ANSP'!J39,$D$70)</f>
        <v>823026.93299999996</v>
      </c>
      <c r="M72" s="860">
        <f>ROUND('T1 ANSP'!K39,$D$70)</f>
        <v>871008.10900000005</v>
      </c>
      <c r="N72" s="860">
        <f>ROUND('T1 ANSP'!L39,$D$70)</f>
        <v>982612.96600000001</v>
      </c>
      <c r="O72" s="860">
        <f>ROUND('T1 ANSP'!M39,$D$70)</f>
        <v>1061885.956</v>
      </c>
      <c r="P72" s="860">
        <f>ROUND('T1 ANSP'!N39,$D$70)</f>
        <v>1900804.524</v>
      </c>
      <c r="Q72" s="860">
        <f>ROUND('T1 ANSP'!O39,$D$70)</f>
        <v>1780323.6510000001</v>
      </c>
      <c r="R72" s="162"/>
      <c r="S72" s="860">
        <f>ROUND('T1 ANSP'!T39,$D$70)</f>
        <v>933193.99600000004</v>
      </c>
      <c r="T72" s="860">
        <f>ROUND('T1 ANSP'!U39,$D$70)</f>
        <v>1137645.682</v>
      </c>
      <c r="U72" s="860">
        <f>ROUND('T1 ANSP'!V39,$D$70)</f>
        <v>1348419.54</v>
      </c>
    </row>
    <row r="73" spans="1:21" s="183" customFormat="1" ht="15" customHeight="1">
      <c r="A73" s="178" t="s">
        <v>90</v>
      </c>
      <c r="B73" s="179" t="s">
        <v>86</v>
      </c>
      <c r="C73" s="202" t="s">
        <v>91</v>
      </c>
      <c r="D73" s="181">
        <v>3</v>
      </c>
      <c r="E73" s="182" t="b">
        <f>IF(ROUND('T1 ANSP'!C39,$D$73)=0,ROUND('T1 ANSP'!C16,$D$73)=0,TRUE)</f>
        <v>1</v>
      </c>
      <c r="F73" s="182" t="b">
        <f>IF(ROUND('T1 ANSP'!D39,$D$73)=0,ROUND('T1 ANSP'!D16,$D$73)=0,TRUE)</f>
        <v>1</v>
      </c>
      <c r="G73" s="182" t="b">
        <f>IF(ROUND('T1 ANSP'!E39,$D$73)=0,ROUND('T1 ANSP'!E16,$D$73)=0,TRUE)</f>
        <v>1</v>
      </c>
      <c r="H73" s="182" t="b">
        <f>IF(ROUND('T1 ANSP'!F39,$D$73)=0,ROUND('T1 ANSP'!F16,$D$73)=0,TRUE)</f>
        <v>1</v>
      </c>
      <c r="I73" s="182" t="b">
        <f>IF(ROUND('T1 ANSP'!G39,$D$73)=0,ROUND('T1 ANSP'!G16,$D$73)=0,TRUE)</f>
        <v>1</v>
      </c>
      <c r="J73" s="182" t="b">
        <f>IF(ROUND('T1 ANSP'!H39,$D$73)=0,ROUND('T1 ANSP'!H16,$D$73)=0,TRUE)</f>
        <v>1</v>
      </c>
      <c r="K73" s="182" t="b">
        <f>IF(ROUND('T1 ANSP'!I39,$D$73)=0,ROUND('T1 ANSP'!I16,$D$73)=0,TRUE)</f>
        <v>1</v>
      </c>
      <c r="L73" s="182" t="b">
        <f>IF(ROUND('T1 ANSP'!J39,$D$73)=0,ROUND('T1 ANSP'!J16,$D$73)=0,TRUE)</f>
        <v>1</v>
      </c>
      <c r="M73" s="182" t="b">
        <f>IF(ROUND('T1 ANSP'!K39,$D$73)=0,ROUND('T1 ANSP'!K16,$D$73)=0,TRUE)</f>
        <v>1</v>
      </c>
      <c r="N73" s="182" t="b">
        <f>IF(ROUND('T1 ANSP'!L39,$D$73)=0,ROUND('T1 ANSP'!L16,$D$73)=0,TRUE)</f>
        <v>1</v>
      </c>
      <c r="O73" s="182" t="b">
        <f>IF(ROUND('T1 ANSP'!M39,$D$73)=0,ROUND('T1 ANSP'!M16,$D$73)=0,TRUE)</f>
        <v>1</v>
      </c>
      <c r="P73" s="182" t="b">
        <f>IF(ROUND('T1 ANSP'!N39,$D$73)=0,ROUND('T1 ANSP'!N16,$D$73)=0,TRUE)</f>
        <v>1</v>
      </c>
      <c r="Q73" s="182" t="b">
        <f>IF(ROUND('T1 ANSP'!O39,$D$73)=0,ROUND('T1 ANSP'!O16,$D$73)=0,TRUE)</f>
        <v>1</v>
      </c>
      <c r="R73" s="162"/>
      <c r="S73" s="182" t="b">
        <f>IF(ROUND('T1 ANSP'!T39,$D$73)=0,ROUND('T1 ANSP'!T16,$D$73)=0,TRUE)</f>
        <v>1</v>
      </c>
      <c r="T73" s="182" t="b">
        <f>IF(ROUND('T1 ANSP'!U39,$D$73)=0,ROUND('T1 ANSP'!U16,$D$73)=0,TRUE)</f>
        <v>1</v>
      </c>
      <c r="U73" s="182" t="b">
        <f>IF(ROUND('T1 ANSP'!V39,$D$73)=0,ROUND('T1 ANSP'!V16,$D$73)=0,TRUE)</f>
        <v>1</v>
      </c>
    </row>
    <row r="74" spans="1:21" s="189" customFormat="1" ht="15" customHeight="1" outlineLevel="1">
      <c r="A74" s="184"/>
      <c r="B74" s="185"/>
      <c r="C74" s="186" t="s">
        <v>89</v>
      </c>
      <c r="D74" s="190"/>
      <c r="E74" s="860">
        <f>ROUND('T1 ANSP'!C39,$D$73)</f>
        <v>1005299.905</v>
      </c>
      <c r="F74" s="860">
        <f>ROUND('T1 ANSP'!D39,$D$73)</f>
        <v>1007679.07</v>
      </c>
      <c r="G74" s="860">
        <f>ROUND('T1 ANSP'!E39,$D$73)</f>
        <v>992116.11499999999</v>
      </c>
      <c r="H74" s="860">
        <f>ROUND('T1 ANSP'!F39,$D$73)</f>
        <v>968261.12100000004</v>
      </c>
      <c r="I74" s="860">
        <f>ROUND('T1 ANSP'!G39,$D$73)</f>
        <v>897775.071</v>
      </c>
      <c r="J74" s="860">
        <f>ROUND('T1 ANSP'!H39,$D$73)</f>
        <v>842598.33499999996</v>
      </c>
      <c r="K74" s="860">
        <f>ROUND('T1 ANSP'!I39,$D$73)</f>
        <v>830401.35600000003</v>
      </c>
      <c r="L74" s="860">
        <f>ROUND('T1 ANSP'!J39,$D$73)</f>
        <v>823026.93299999996</v>
      </c>
      <c r="M74" s="860">
        <f>ROUND('T1 ANSP'!K39,$D$73)</f>
        <v>871008.10900000005</v>
      </c>
      <c r="N74" s="860">
        <f>ROUND('T1 ANSP'!L39,$D$73)</f>
        <v>982612.96600000001</v>
      </c>
      <c r="O74" s="860">
        <f>ROUND('T1 ANSP'!M39,$D$73)</f>
        <v>1061885.956</v>
      </c>
      <c r="P74" s="860">
        <f>ROUND('T1 ANSP'!N39,$D$73)</f>
        <v>1900804.524</v>
      </c>
      <c r="Q74" s="860">
        <f>ROUND('T1 ANSP'!O39,$D$73)</f>
        <v>1780323.6510000001</v>
      </c>
      <c r="R74" s="162"/>
      <c r="S74" s="860">
        <f>ROUND('T1 ANSP'!T39,$D$73)</f>
        <v>933193.99600000004</v>
      </c>
      <c r="T74" s="860">
        <f>ROUND('T1 ANSP'!U39,$D$73)</f>
        <v>1137645.682</v>
      </c>
      <c r="U74" s="860">
        <f>ROUND('T1 ANSP'!V39,$D$73)</f>
        <v>1348419.54</v>
      </c>
    </row>
    <row r="75" spans="1:21" s="189" customFormat="1" ht="15" customHeight="1" outlineLevel="1">
      <c r="A75" s="184"/>
      <c r="B75" s="185"/>
      <c r="C75" s="186" t="s">
        <v>92</v>
      </c>
      <c r="D75" s="190"/>
      <c r="E75" s="860">
        <f>ROUND('T1 ANSP'!C16,$D$73)</f>
        <v>68159.334000000003</v>
      </c>
      <c r="F75" s="860">
        <f>ROUND('T1 ANSP'!D16,$D$73)</f>
        <v>68119.104999999996</v>
      </c>
      <c r="G75" s="860">
        <f>ROUND('T1 ANSP'!E16,$D$73)</f>
        <v>67166.260999999999</v>
      </c>
      <c r="H75" s="860">
        <f>ROUND('T1 ANSP'!F16,$D$73)</f>
        <v>56740.101999999999</v>
      </c>
      <c r="I75" s="860">
        <f>ROUND('T1 ANSP'!G16,$D$73)</f>
        <v>52609.618999999999</v>
      </c>
      <c r="J75" s="860">
        <f>ROUND('T1 ANSP'!H16,$D$73)</f>
        <v>49376.262000000002</v>
      </c>
      <c r="K75" s="860">
        <f>ROUND('T1 ANSP'!I16,$D$73)</f>
        <v>48661.519</v>
      </c>
      <c r="L75" s="860">
        <f>ROUND('T1 ANSP'!J16,$D$73)</f>
        <v>48229.377999999997</v>
      </c>
      <c r="M75" s="860">
        <f>ROUND('T1 ANSP'!K16,$D$73)</f>
        <v>30311.081999999999</v>
      </c>
      <c r="N75" s="860">
        <f>ROUND('T1 ANSP'!L16,$D$73)</f>
        <v>34194.930999999997</v>
      </c>
      <c r="O75" s="860">
        <f>ROUND('T1 ANSP'!M16,$D$73)</f>
        <v>36953.631000000001</v>
      </c>
      <c r="P75" s="860">
        <f>ROUND('T1 ANSP'!N16,$D$73)</f>
        <v>57804.142999999996</v>
      </c>
      <c r="Q75" s="860">
        <f>ROUND('T1 ANSP'!O16,$D$73)</f>
        <v>54545.131999999998</v>
      </c>
      <c r="R75" s="162"/>
      <c r="S75" s="860">
        <f>ROUND('T1 ANSP'!T16,$D$73)</f>
        <v>32475.151000000002</v>
      </c>
      <c r="T75" s="860">
        <f>ROUND('T1 ANSP'!U16,$D$73)</f>
        <v>39590.07</v>
      </c>
      <c r="U75" s="860">
        <f>ROUND('T1 ANSP'!V16,$D$73)</f>
        <v>46925</v>
      </c>
    </row>
    <row r="76" spans="1:21" s="183" customFormat="1" ht="15" customHeight="1">
      <c r="A76" s="178" t="s">
        <v>93</v>
      </c>
      <c r="B76" s="861" t="s">
        <v>94</v>
      </c>
      <c r="C76" s="862" t="s">
        <v>95</v>
      </c>
      <c r="D76" s="863">
        <v>3</v>
      </c>
      <c r="M76" s="182" t="b">
        <f>IF('T1 ANSP'!K15=0,"N/A",ROUND('T1 ANSP'!K50,$D$76)=ROUND('T1 ANSP'!K15,$D$76))</f>
        <v>1</v>
      </c>
      <c r="N76" s="182" t="b">
        <f>IF('T1 ANSP'!L15=0,"N/A",ROUND('T1 ANSP'!L50,$D$76)=ROUND('T1 ANSP'!L15,$D$76))</f>
        <v>1</v>
      </c>
      <c r="O76" s="182" t="b">
        <f>IF('T1 ANSP'!M15=0,"N/A",ROUND('T1 ANSP'!M50,$D$76)=ROUND('T1 ANSP'!M15,$D$76))</f>
        <v>1</v>
      </c>
      <c r="P76" s="182" t="b">
        <f>IF('T1 ANSP'!N15=0,"N/A",ROUND('T1 ANSP'!N50,$D$76)=ROUND('T1 ANSP'!N15,$D$76))</f>
        <v>1</v>
      </c>
      <c r="Q76" s="182" t="b">
        <f>IF('T1 ANSP'!O15=0,"N/A",ROUND('T1 ANSP'!O50,$D$76)=ROUND('T1 ANSP'!O15,$D$76))</f>
        <v>1</v>
      </c>
      <c r="R76" s="162"/>
      <c r="S76" s="182" t="b">
        <f>IF('T1 ANSP'!T15=0,"N/A",ROUND('T1 ANSP'!T50,$D$76)=ROUND('T1 ANSP'!T15,$D$76))</f>
        <v>1</v>
      </c>
      <c r="T76" s="182" t="b">
        <f>IF('T1 ANSP'!U15=0,"N/A",ROUND('T1 ANSP'!U50,$D$76)=ROUND('T1 ANSP'!U15,$D$76))</f>
        <v>1</v>
      </c>
      <c r="U76" s="182" t="b">
        <f>IF('T1 ANSP'!V15=0,"N/A",ROUND('T1 ANSP'!V50,$D$76)=ROUND('T1 ANSP'!V15,$D$76))</f>
        <v>1</v>
      </c>
    </row>
    <row r="77" spans="1:21" s="189" customFormat="1" ht="15" customHeight="1" outlineLevel="1">
      <c r="A77" s="184"/>
      <c r="B77" s="864"/>
      <c r="C77" s="865" t="s">
        <v>96</v>
      </c>
      <c r="D77" s="866"/>
      <c r="E77" s="183"/>
      <c r="F77" s="183"/>
      <c r="G77" s="183"/>
      <c r="H77" s="183"/>
      <c r="I77" s="183"/>
      <c r="M77" s="867">
        <f>IF('T1 ANSP'!K15=0,"N/A",ROUND('T1 ANSP'!K50,$D$76))</f>
        <v>170372.82199999999</v>
      </c>
      <c r="N77" s="867">
        <f>IF('T1 ANSP'!L15=0,"N/A",ROUND('T1 ANSP'!L50,$D$76))</f>
        <v>142455.77900000001</v>
      </c>
      <c r="O77" s="867">
        <f>IF('T1 ANSP'!M15=0,"N/A",ROUND('T1 ANSP'!M50,$D$76))</f>
        <v>127877.649</v>
      </c>
      <c r="P77" s="867">
        <f>IF('T1 ANSP'!N15=0,"N/A",ROUND('T1 ANSP'!N50,$D$76))</f>
        <v>133277.91099999999</v>
      </c>
      <c r="Q77" s="867">
        <f>IF('T1 ANSP'!O15=0,"N/A",ROUND('T1 ANSP'!O50,$D$76))</f>
        <v>144272.761</v>
      </c>
      <c r="R77" s="162"/>
      <c r="S77" s="867">
        <f>IF('T1 ANSP'!T15=0,"N/A",ROUND('T1 ANSP'!T50,$D$76))</f>
        <v>170677.016</v>
      </c>
      <c r="T77" s="867">
        <f>IF('T1 ANSP'!U15=0,"N/A",ROUND('T1 ANSP'!U50,$D$76))</f>
        <v>142628.60200000001</v>
      </c>
      <c r="U77" s="867">
        <f>IF('T1 ANSP'!V15=0,"N/A",ROUND('T1 ANSP'!V50,$D$76))</f>
        <v>139840.16399999999</v>
      </c>
    </row>
    <row r="78" spans="1:21" s="189" customFormat="1" ht="15" customHeight="1" outlineLevel="1">
      <c r="A78" s="184"/>
      <c r="B78" s="864"/>
      <c r="C78" s="865" t="s">
        <v>97</v>
      </c>
      <c r="D78" s="866"/>
      <c r="E78" s="183"/>
      <c r="F78" s="183"/>
      <c r="G78" s="183"/>
      <c r="H78" s="183"/>
      <c r="I78" s="183"/>
      <c r="M78" s="867">
        <f>IF('T1 ANSP'!K15=0,"N/A",ROUND('T1 ANSP'!K15,$D$76))</f>
        <v>170372.82199999999</v>
      </c>
      <c r="N78" s="867">
        <f>IF('T1 ANSP'!L15=0,"N/A",ROUND('T1 ANSP'!L15,$D$76))</f>
        <v>142455.77900000001</v>
      </c>
      <c r="O78" s="867">
        <f>IF('T1 ANSP'!M15=0,"N/A",ROUND('T1 ANSP'!M15,$D$76))</f>
        <v>127877.649</v>
      </c>
      <c r="P78" s="867">
        <f>IF('T1 ANSP'!N15=0,"N/A",ROUND('T1 ANSP'!N15,$D$76))</f>
        <v>133277.91099999999</v>
      </c>
      <c r="Q78" s="867">
        <f>IF('T1 ANSP'!O15=0,"N/A",ROUND('T1 ANSP'!O15,$D$76))</f>
        <v>144272.761</v>
      </c>
      <c r="R78" s="162"/>
      <c r="S78" s="867">
        <f>IF('T1 ANSP'!T15=0,"N/A",ROUND('T1 ANSP'!T15,$D$76))</f>
        <v>170677.016</v>
      </c>
      <c r="T78" s="867">
        <f>IF('T1 ANSP'!U15=0,"N/A",ROUND('T1 ANSP'!U15,$D$76))</f>
        <v>142628.60200000001</v>
      </c>
      <c r="U78" s="867">
        <f>IF('T1 ANSP'!V15=0,"N/A",ROUND('T1 ANSP'!V15,$D$76))</f>
        <v>139840.16399999999</v>
      </c>
    </row>
    <row r="79" spans="1:21" s="183" customFormat="1" ht="15" customHeight="1">
      <c r="A79" s="178" t="s">
        <v>98</v>
      </c>
      <c r="B79" s="861" t="s">
        <v>99</v>
      </c>
      <c r="C79" s="862" t="s">
        <v>100</v>
      </c>
      <c r="D79" s="863">
        <v>3</v>
      </c>
      <c r="M79" s="868" t="b">
        <f>IF('T1 ANSP'!K16=0,"N/A",ROUND('T1 ANSP'!K51,$D$79)=ROUND('T1 ANSP'!K36*'T1 ANSP'!K41,$D$79))</f>
        <v>0</v>
      </c>
      <c r="N79" s="868" t="b">
        <f>IF('T1 ANSP'!L16=0,"N/A",ROUND('T1 ANSP'!L51,$D$79)=ROUND('T1 ANSP'!L36*'T1 ANSP'!L41,$D$79))</f>
        <v>0</v>
      </c>
      <c r="O79" s="868" t="b">
        <f>IF('T1 ANSP'!M16=0,"N/A",ROUND('T1 ANSP'!M51,$D$79)=ROUND('T1 ANSP'!M36*'T1 ANSP'!M41,$D$79))</f>
        <v>0</v>
      </c>
      <c r="P79" s="868" t="b">
        <f>IF('T1 ANSP'!N16=0,"N/A",ROUND('T1 ANSP'!N51,$D$79)=ROUND('T1 ANSP'!N36*'T1 ANSP'!N41,$D$79))</f>
        <v>0</v>
      </c>
      <c r="Q79" s="868" t="b">
        <f>IF('T1 ANSP'!O16=0,"N/A",ROUND('T1 ANSP'!O51,$D$79)=ROUND('T1 ANSP'!O36*'T1 ANSP'!O41,$D$79))</f>
        <v>0</v>
      </c>
      <c r="R79" s="162"/>
      <c r="S79" s="868" t="b">
        <f>IF('T1 ANSP'!T16=0,"N/A",ROUND('T1 ANSP'!T51,$D$79)=ROUND('T1 ANSP'!T36*'T1 ANSP'!T41,$D$79))</f>
        <v>0</v>
      </c>
      <c r="T79" s="868" t="b">
        <f>IF('T1 ANSP'!U16=0,"N/A",ROUND('T1 ANSP'!U51,$D$79)=ROUND('T1 ANSP'!U36*'T1 ANSP'!U41,$D$79))</f>
        <v>0</v>
      </c>
      <c r="U79" s="868" t="b">
        <f>IF('T1 ANSP'!V16=0,"N/A",ROUND('T1 ANSP'!V51,$D$79)=ROUND('T1 ANSP'!V36*'T1 ANSP'!V41,$D$79))</f>
        <v>0</v>
      </c>
    </row>
    <row r="80" spans="1:21" s="189" customFormat="1" ht="15" customHeight="1" outlineLevel="1">
      <c r="A80" s="184"/>
      <c r="B80" s="864"/>
      <c r="C80" s="865" t="s">
        <v>101</v>
      </c>
      <c r="D80" s="866"/>
      <c r="E80" s="183"/>
      <c r="F80" s="183"/>
      <c r="G80" s="183"/>
      <c r="H80" s="183"/>
      <c r="I80" s="183"/>
      <c r="M80" s="867">
        <f>IF('T1 ANSP'!K16=0,"N/A",ROUND('T1 ANSP'!K51,$D$79))</f>
        <v>30311.081999999999</v>
      </c>
      <c r="N80" s="867">
        <f>IF('T1 ANSP'!L16=0,"N/A",ROUND('T1 ANSP'!L51,$D$79))</f>
        <v>34194.930999999997</v>
      </c>
      <c r="O80" s="867">
        <f>IF('T1 ANSP'!M16=0,"N/A",ROUND('T1 ANSP'!M51,$D$79))</f>
        <v>36953.631000000001</v>
      </c>
      <c r="P80" s="867">
        <f>IF('T1 ANSP'!N16=0,"N/A",ROUND('T1 ANSP'!N51,$D$79))</f>
        <v>57804.142999999996</v>
      </c>
      <c r="Q80" s="867">
        <f>IF('T1 ANSP'!O16=0,"N/A",ROUND('T1 ANSP'!O51,$D$79))</f>
        <v>54545.131999999998</v>
      </c>
      <c r="R80" s="162"/>
      <c r="S80" s="867">
        <f>IF('T1 ANSP'!T16=0,"N/A",ROUND('T1 ANSP'!T51,$D$79))</f>
        <v>32475.151000000002</v>
      </c>
      <c r="T80" s="867">
        <f>IF('T1 ANSP'!U16=0,"N/A",ROUND('T1 ANSP'!U51,$D$79))</f>
        <v>39590.07</v>
      </c>
      <c r="U80" s="867">
        <f>IF('T1 ANSP'!V16=0,"N/A",ROUND('T1 ANSP'!V51,$D$79))</f>
        <v>46925</v>
      </c>
    </row>
    <row r="81" spans="1:27" s="189" customFormat="1" ht="15" customHeight="1" outlineLevel="1">
      <c r="A81" s="184"/>
      <c r="B81" s="864"/>
      <c r="C81" s="865" t="s">
        <v>102</v>
      </c>
      <c r="D81" s="866"/>
      <c r="E81" s="183"/>
      <c r="F81" s="183"/>
      <c r="G81" s="183"/>
      <c r="H81" s="183"/>
      <c r="I81" s="183"/>
      <c r="M81" s="867">
        <f>IF('T1 ANSP'!K16=0,"N/A",ROUND('T1 ANSP'!K36*'T1 ANSP'!K41,$D$79))</f>
        <v>34865.485000000001</v>
      </c>
      <c r="N81" s="867">
        <f>IF('T1 ANSP'!L16=0,"N/A",ROUND('T1 ANSP'!L36*'T1 ANSP'!L41,$D$79))</f>
        <v>35866.894</v>
      </c>
      <c r="O81" s="867">
        <f>IF('T1 ANSP'!M16=0,"N/A",ROUND('T1 ANSP'!M36*'T1 ANSP'!M41,$D$79))</f>
        <v>34478.173000000003</v>
      </c>
      <c r="P81" s="867">
        <f>IF('T1 ANSP'!N16=0,"N/A",ROUND('T1 ANSP'!N36*'T1 ANSP'!N41,$D$79))</f>
        <v>33848.212</v>
      </c>
      <c r="Q81" s="867">
        <f>IF('T1 ANSP'!O16=0,"N/A",ROUND('T1 ANSP'!O36*'T1 ANSP'!O41,$D$79))</f>
        <v>34096.959000000003</v>
      </c>
      <c r="R81" s="162"/>
      <c r="S81" s="867">
        <f>IF('T1 ANSP'!T16=0,"N/A",ROUND('T1 ANSP'!T36*'T1 ANSP'!T41,$D$79))</f>
        <v>30166.753000000001</v>
      </c>
      <c r="T81" s="867">
        <f>IF('T1 ANSP'!U16=0,"N/A",ROUND('T1 ANSP'!U36*'T1 ANSP'!U41,$D$79))</f>
        <v>31522.731</v>
      </c>
      <c r="U81" s="867">
        <f>IF('T1 ANSP'!V16=0,"N/A",ROUND('T1 ANSP'!V36*'T1 ANSP'!V41,$D$79))</f>
        <v>31652.462</v>
      </c>
    </row>
    <row r="82" spans="1:27" s="193" customFormat="1" ht="18">
      <c r="A82" s="172" t="s">
        <v>13</v>
      </c>
      <c r="B82" s="173" t="s">
        <v>14</v>
      </c>
      <c r="C82" s="174" t="s">
        <v>103</v>
      </c>
      <c r="D82" s="191"/>
      <c r="E82" s="192"/>
      <c r="F82" s="192"/>
      <c r="G82" s="192"/>
      <c r="H82" s="192"/>
      <c r="I82" s="192"/>
      <c r="J82" s="192"/>
      <c r="K82" s="192"/>
      <c r="L82" s="192"/>
      <c r="M82" s="192"/>
      <c r="N82" s="192"/>
      <c r="O82" s="192"/>
      <c r="P82" s="192"/>
      <c r="Q82" s="192"/>
      <c r="R82" s="162"/>
      <c r="S82" s="192"/>
      <c r="T82" s="192"/>
      <c r="U82" s="192"/>
    </row>
    <row r="83" spans="1:27" s="205" customFormat="1" ht="15" customHeight="1">
      <c r="A83" s="178" t="s">
        <v>21</v>
      </c>
      <c r="B83" s="179" t="s">
        <v>22</v>
      </c>
      <c r="C83" s="180" t="s">
        <v>23</v>
      </c>
      <c r="D83" s="194">
        <v>3</v>
      </c>
      <c r="E83" s="182" t="b">
        <f>ROUND('T1 MET'!C18,$D$83)=ROUND(('T1 MET'!C12+SUM('T1 MET'!C14:C17)),$D$83)</f>
        <v>1</v>
      </c>
      <c r="F83" s="182" t="b">
        <f>ROUND('T1 MET'!D18,$D$83)=ROUND(('T1 MET'!D12+SUM('T1 MET'!D14:D17)),$D$83)</f>
        <v>1</v>
      </c>
      <c r="G83" s="182" t="b">
        <f>ROUND('T1 MET'!E18,$D$83)=ROUND(('T1 MET'!E12+SUM('T1 MET'!E14:E17)),$D$83)</f>
        <v>1</v>
      </c>
      <c r="H83" s="182" t="b">
        <f>ROUND('T1 MET'!F18,$D$83)=ROUND(('T1 MET'!F12+SUM('T1 MET'!F14:F17)),$D$83)</f>
        <v>1</v>
      </c>
      <c r="I83" s="182" t="b">
        <f>ROUND('T1 MET'!G18,$D$83)=ROUND(('T1 MET'!G12+SUM('T1 MET'!G14:G17)),$D$83)</f>
        <v>1</v>
      </c>
      <c r="J83" s="182" t="b">
        <f>ROUND('T1 MET'!H18,$D$83)=ROUND(('T1 MET'!H12+SUM('T1 MET'!H14:H17)),$D$83)</f>
        <v>1</v>
      </c>
      <c r="K83" s="182" t="b">
        <f>ROUND('T1 MET'!I18,$D$83)=ROUND(('T1 MET'!I12+SUM('T1 MET'!I14:I17)),$D$83)</f>
        <v>1</v>
      </c>
      <c r="L83" s="182" t="b">
        <f>ROUND('T1 MET'!J18,$D$83)=ROUND(('T1 MET'!J12+SUM('T1 MET'!J14:J17)),$D$83)</f>
        <v>1</v>
      </c>
      <c r="M83" s="182" t="b">
        <f>ROUND('T1 MET'!K18,$D$83)=ROUND(('T1 MET'!K12+SUM('T1 MET'!K14:K17)),$D$83)</f>
        <v>1</v>
      </c>
      <c r="N83" s="182" t="b">
        <f>ROUND('T1 MET'!L18,$D$83)=ROUND(('T1 MET'!L12+SUM('T1 MET'!L14:L17)),$D$83)</f>
        <v>1</v>
      </c>
      <c r="O83" s="182" t="b">
        <f>ROUND('T1 MET'!M18,$D$83)=ROUND(('T1 MET'!M12+SUM('T1 MET'!M14:M17)),$D$83)</f>
        <v>1</v>
      </c>
      <c r="P83" s="182" t="b">
        <f>ROUND('T1 MET'!N18,$D$83)=ROUND(('T1 MET'!N12+SUM('T1 MET'!N14:N17)),$D$83)</f>
        <v>1</v>
      </c>
      <c r="Q83" s="182" t="b">
        <f>ROUND('T1 MET'!O18,$D$83)=ROUND(('T1 MET'!O12+SUM('T1 MET'!O14:O17)),$D$83)</f>
        <v>1</v>
      </c>
      <c r="R83" s="162"/>
      <c r="S83" s="182" t="b">
        <f>ROUND('T1 MET'!T18,$D$83)=ROUND(('T1 MET'!T12+SUM('T1 MET'!T14:T17)),$D$83)</f>
        <v>1</v>
      </c>
      <c r="T83" s="182" t="b">
        <f>ROUND('T1 MET'!U18,$D$83)=ROUND(('T1 MET'!U12+SUM('T1 MET'!U14:U17)),$D$83)</f>
        <v>1</v>
      </c>
      <c r="U83" s="182" t="b">
        <f>ROUND('T1 MET'!V18,$D$83)=ROUND(('T1 MET'!V12+SUM('T1 MET'!V14:V17)),$D$83)</f>
        <v>1</v>
      </c>
    </row>
    <row r="84" spans="1:27" s="205" customFormat="1" ht="15" customHeight="1" outlineLevel="1">
      <c r="A84" s="184"/>
      <c r="B84" s="195"/>
      <c r="C84" s="186" t="s">
        <v>24</v>
      </c>
      <c r="D84" s="190"/>
      <c r="E84" s="860">
        <f>ROUND('T1 MET'!C18,$D$83)</f>
        <v>29130</v>
      </c>
      <c r="F84" s="860">
        <f>ROUND('T1 MET'!D18,$D$83)</f>
        <v>28718</v>
      </c>
      <c r="G84" s="860">
        <f>ROUND('T1 MET'!E18,$D$83)</f>
        <v>28213</v>
      </c>
      <c r="H84" s="860">
        <f>ROUND('T1 MET'!F18,$D$83)</f>
        <v>28438</v>
      </c>
      <c r="I84" s="860">
        <f>ROUND('T1 MET'!G18,$D$83)</f>
        <v>27852.3</v>
      </c>
      <c r="J84" s="860">
        <f>ROUND('T1 MET'!H18,$D$83)</f>
        <v>26446</v>
      </c>
      <c r="K84" s="860">
        <f>ROUND('T1 MET'!I18,$D$83)</f>
        <v>27081.343000000001</v>
      </c>
      <c r="L84" s="860">
        <f>ROUND('T1 MET'!J18,$D$83)</f>
        <v>27756.395</v>
      </c>
      <c r="M84" s="860">
        <f>ROUND('T1 MET'!K18,$D$83)</f>
        <v>30937.955000000002</v>
      </c>
      <c r="N84" s="860">
        <f>ROUND('T1 MET'!L18,$D$83)</f>
        <v>30193.923999999999</v>
      </c>
      <c r="O84" s="860">
        <f>ROUND('T1 MET'!M18,$D$83)</f>
        <v>31631.805</v>
      </c>
      <c r="P84" s="860">
        <f>ROUND('T1 MET'!N18,$D$83)</f>
        <v>34979.993999999999</v>
      </c>
      <c r="Q84" s="860">
        <f>ROUND('T1 MET'!O18,$D$83)</f>
        <v>39154.635000000002</v>
      </c>
      <c r="R84" s="162"/>
      <c r="S84" s="860">
        <f>ROUND('T1 MET'!T18,$D$83)</f>
        <v>28865.468000000001</v>
      </c>
      <c r="T84" s="860">
        <f>ROUND('T1 MET'!U18,$D$83)</f>
        <v>29269.24</v>
      </c>
      <c r="U84" s="860">
        <f>ROUND('T1 MET'!V18,$D$83)</f>
        <v>30009.013999999999</v>
      </c>
    </row>
    <row r="85" spans="1:27" s="205" customFormat="1" ht="15" customHeight="1" outlineLevel="1">
      <c r="A85" s="184"/>
      <c r="B85" s="185"/>
      <c r="C85" s="186" t="s">
        <v>25</v>
      </c>
      <c r="D85" s="190"/>
      <c r="E85" s="860">
        <f>ROUND(('T1 MET'!C12+SUM('T1 MET'!C14:C17)),$D$83)</f>
        <v>29130</v>
      </c>
      <c r="F85" s="860">
        <f>ROUND(('T1 MET'!D12+SUM('T1 MET'!D14:D17)),$D$83)</f>
        <v>28718</v>
      </c>
      <c r="G85" s="860">
        <f>ROUND(('T1 MET'!E12+SUM('T1 MET'!E14:E17)),$D$83)</f>
        <v>28213</v>
      </c>
      <c r="H85" s="860">
        <f>ROUND(('T1 MET'!F12+SUM('T1 MET'!F14:F17)),$D$83)</f>
        <v>28438</v>
      </c>
      <c r="I85" s="860">
        <f>ROUND(('T1 MET'!G12+SUM('T1 MET'!G14:G17)),$D$83)</f>
        <v>27852.3</v>
      </c>
      <c r="J85" s="860">
        <f>ROUND(('T1 MET'!H12+SUM('T1 MET'!H14:H17)),$D$83)</f>
        <v>26446</v>
      </c>
      <c r="K85" s="860">
        <f>ROUND(('T1 MET'!I12+SUM('T1 MET'!I14:I17)),$D$83)</f>
        <v>27081.343000000001</v>
      </c>
      <c r="L85" s="860">
        <f>ROUND(('T1 MET'!J12+SUM('T1 MET'!J14:J17)),$D$83)</f>
        <v>27756.395</v>
      </c>
      <c r="M85" s="860">
        <f>ROUND(('T1 MET'!K12+SUM('T1 MET'!K14:K17)),$D$83)</f>
        <v>30937.955000000002</v>
      </c>
      <c r="N85" s="860">
        <f>ROUND(('T1 MET'!L12+SUM('T1 MET'!L14:L17)),$D$83)</f>
        <v>30193.923999999999</v>
      </c>
      <c r="O85" s="860">
        <f>ROUND(('T1 MET'!M12+SUM('T1 MET'!M14:M17)),$D$83)</f>
        <v>31631.805</v>
      </c>
      <c r="P85" s="860">
        <f>ROUND(('T1 MET'!N12+SUM('T1 MET'!N14:N17)),$D$83)</f>
        <v>34979.993999999999</v>
      </c>
      <c r="Q85" s="860">
        <f>ROUND(('T1 MET'!O12+SUM('T1 MET'!O14:O17)),$D$83)</f>
        <v>39154.635000000002</v>
      </c>
      <c r="R85" s="162"/>
      <c r="S85" s="860">
        <f>ROUND(('T1 MET'!T12+SUM('T1 MET'!T14:T17)),$D$83)</f>
        <v>28865.468000000001</v>
      </c>
      <c r="T85" s="860">
        <f>ROUND(('T1 MET'!U12+SUM('T1 MET'!U14:U17)),$D$83)</f>
        <v>29269.24</v>
      </c>
      <c r="U85" s="860">
        <f>ROUND(('T1 MET'!V12+SUM('T1 MET'!V14:V17)),$D$83)</f>
        <v>30009.013999999999</v>
      </c>
    </row>
    <row r="86" spans="1:27" s="205" customFormat="1" ht="15" customHeight="1">
      <c r="A86" s="178" t="s">
        <v>26</v>
      </c>
      <c r="B86" s="179" t="s">
        <v>27</v>
      </c>
      <c r="C86" s="180" t="s">
        <v>28</v>
      </c>
      <c r="D86" s="194">
        <v>3</v>
      </c>
      <c r="E86" s="182" t="b">
        <f>ROUND('T1 MET'!C31,$D$86)=ROUND(SUM('T1 MET'!C22:C30),$D$86)</f>
        <v>1</v>
      </c>
      <c r="F86" s="182" t="b">
        <f>ROUND('T1 MET'!D31,$D$86)=ROUND(SUM('T1 MET'!D22:D30),$D$86)</f>
        <v>1</v>
      </c>
      <c r="G86" s="182" t="b">
        <f>ROUND('T1 MET'!E31,$D$86)=ROUND(SUM('T1 MET'!E22:E30),$D$86)</f>
        <v>1</v>
      </c>
      <c r="H86" s="182" t="b">
        <f>ROUND('T1 MET'!F31,$D$86)=ROUND(SUM('T1 MET'!F22:F30),$D$86)</f>
        <v>1</v>
      </c>
      <c r="I86" s="182" t="b">
        <f>ROUND('T1 MET'!G31,$D$86)=ROUND(SUM('T1 MET'!G22:G30),$D$86)</f>
        <v>1</v>
      </c>
      <c r="J86" s="182" t="b">
        <f>ROUND('T1 MET'!H31,$D$86)=ROUND(SUM('T1 MET'!H22:H30),$D$86)</f>
        <v>1</v>
      </c>
      <c r="K86" s="182" t="b">
        <f>ROUND('T1 MET'!I31,$D$86)=ROUND(SUM('T1 MET'!I22:I30),$D$86)</f>
        <v>1</v>
      </c>
      <c r="L86" s="182" t="b">
        <f>ROUND('T1 MET'!J31,$D$86)=ROUND(SUM('T1 MET'!J22:J30),$D$86)</f>
        <v>1</v>
      </c>
      <c r="M86" s="182" t="b">
        <f>ROUND('T1 MET'!K31,$D$86)=ROUND(SUM('T1 MET'!K22:K30),$D$86)</f>
        <v>1</v>
      </c>
      <c r="N86" s="182" t="b">
        <f>ROUND('T1 MET'!L31,$D$86)=ROUND(SUM('T1 MET'!L22:L30),$D$86)</f>
        <v>1</v>
      </c>
      <c r="O86" s="182" t="b">
        <f>ROUND('T1 MET'!M31,$D$86)=ROUND(SUM('T1 MET'!M22:M30),$D$86)</f>
        <v>1</v>
      </c>
      <c r="P86" s="182" t="b">
        <f>ROUND('T1 MET'!N31,$D$86)=ROUND(SUM('T1 MET'!N22:N30),$D$86)</f>
        <v>1</v>
      </c>
      <c r="Q86" s="182" t="b">
        <f>ROUND('T1 MET'!O31,$D$86)=ROUND(SUM('T1 MET'!O22:O30),$D$86)</f>
        <v>1</v>
      </c>
      <c r="R86" s="162"/>
      <c r="S86" s="182" t="b">
        <f>ROUND('T1 MET'!T31,$D$86)=ROUND(SUM('T1 MET'!T22:T30),$D$86)</f>
        <v>1</v>
      </c>
      <c r="T86" s="182" t="b">
        <f>ROUND('T1 MET'!U31,$D$86)=ROUND(SUM('T1 MET'!U22:U30),$D$86)</f>
        <v>1</v>
      </c>
      <c r="U86" s="182" t="b">
        <f>ROUND('T1 MET'!V31,$D$86)=ROUND(SUM('T1 MET'!V22:V30),$D$86)</f>
        <v>1</v>
      </c>
    </row>
    <row r="87" spans="1:27" s="205" customFormat="1" ht="15" customHeight="1" outlineLevel="1">
      <c r="A87" s="184"/>
      <c r="B87" s="185"/>
      <c r="C87" s="186" t="s">
        <v>29</v>
      </c>
      <c r="D87" s="190"/>
      <c r="E87" s="860">
        <f>ROUND('T1 MET'!C31,$D$86)</f>
        <v>29130</v>
      </c>
      <c r="F87" s="860">
        <f>ROUND('T1 MET'!D31,$D$86)</f>
        <v>28718</v>
      </c>
      <c r="G87" s="860">
        <f>ROUND('T1 MET'!E31,$D$86)</f>
        <v>28213</v>
      </c>
      <c r="H87" s="860">
        <f>ROUND('T1 MET'!F31,$D$86)</f>
        <v>28438</v>
      </c>
      <c r="I87" s="860">
        <f>ROUND('T1 MET'!G31,$D$86)</f>
        <v>27852.3</v>
      </c>
      <c r="J87" s="860">
        <f>ROUND('T1 MET'!H31,$D$86)</f>
        <v>26446</v>
      </c>
      <c r="K87" s="860">
        <f>ROUND('T1 MET'!I31,$D$86)</f>
        <v>27081.343000000001</v>
      </c>
      <c r="L87" s="860">
        <f>ROUND('T1 MET'!J31,$D$86)</f>
        <v>27756.395</v>
      </c>
      <c r="M87" s="860">
        <f>ROUND('T1 MET'!K31,$D$86)</f>
        <v>30937.955000000002</v>
      </c>
      <c r="N87" s="860">
        <f>ROUND('T1 MET'!L31,$D$86)</f>
        <v>30193.923999999999</v>
      </c>
      <c r="O87" s="860">
        <f>ROUND('T1 MET'!M31,$D$86)</f>
        <v>31631.805</v>
      </c>
      <c r="P87" s="860">
        <f>ROUND('T1 MET'!N31,$D$86)</f>
        <v>34979.993999999999</v>
      </c>
      <c r="Q87" s="860">
        <f>ROUND('T1 MET'!O31,$D$86)</f>
        <v>39154.635000000002</v>
      </c>
      <c r="R87" s="162"/>
      <c r="S87" s="860">
        <f>ROUND('T1 MET'!T31,$D$86)</f>
        <v>28865.468000000001</v>
      </c>
      <c r="T87" s="860">
        <f>ROUND('T1 MET'!U31,$D$86)</f>
        <v>29269.24</v>
      </c>
      <c r="U87" s="860">
        <f>ROUND('T1 MET'!V31,$D$86)</f>
        <v>30009.013999999999</v>
      </c>
    </row>
    <row r="88" spans="1:27" s="205" customFormat="1" ht="15" customHeight="1" outlineLevel="1">
      <c r="A88" s="184"/>
      <c r="B88" s="185"/>
      <c r="C88" s="186" t="s">
        <v>30</v>
      </c>
      <c r="D88" s="190"/>
      <c r="E88" s="860">
        <f>ROUND(SUM('T1 MET'!C22:C30),$D$86)</f>
        <v>29130</v>
      </c>
      <c r="F88" s="860">
        <f>ROUND(SUM('T1 MET'!D22:D30),$D$86)</f>
        <v>28718</v>
      </c>
      <c r="G88" s="860">
        <f>ROUND(SUM('T1 MET'!E22:E30),$D$86)</f>
        <v>28213</v>
      </c>
      <c r="H88" s="860">
        <f>ROUND(SUM('T1 MET'!F22:F30),$D$86)</f>
        <v>28438</v>
      </c>
      <c r="I88" s="860">
        <f>ROUND(SUM('T1 MET'!G22:G30),$D$86)</f>
        <v>27852.3</v>
      </c>
      <c r="J88" s="860">
        <f>ROUND(SUM('T1 MET'!H22:H30),$D$86)</f>
        <v>26446</v>
      </c>
      <c r="K88" s="860">
        <f>ROUND(SUM('T1 MET'!I22:I30),$D$86)</f>
        <v>27081.343000000001</v>
      </c>
      <c r="L88" s="860">
        <f>ROUND(SUM('T1 MET'!J22:J30),$D$86)</f>
        <v>27756.395</v>
      </c>
      <c r="M88" s="860">
        <f>ROUND(SUM('T1 MET'!K22:K30),$D$86)</f>
        <v>30937.955000000002</v>
      </c>
      <c r="N88" s="860">
        <f>ROUND(SUM('T1 MET'!L22:L30),$D$86)</f>
        <v>30193.923999999999</v>
      </c>
      <c r="O88" s="860">
        <f>ROUND(SUM('T1 MET'!M22:M30),$D$86)</f>
        <v>31631.805</v>
      </c>
      <c r="P88" s="860">
        <f>ROUND(SUM('T1 MET'!N22:N30),$D$86)</f>
        <v>34979.993999999999</v>
      </c>
      <c r="Q88" s="860">
        <f>ROUND(SUM('T1 MET'!O22:O30),$D$86)</f>
        <v>39154.635000000002</v>
      </c>
      <c r="R88" s="162"/>
      <c r="S88" s="860">
        <f>ROUND(SUM('T1 MET'!T22:T30),$D$86)</f>
        <v>28865.468000000001</v>
      </c>
      <c r="T88" s="860">
        <f>ROUND(SUM('T1 MET'!U22:U30),$D$86)</f>
        <v>29269.24</v>
      </c>
      <c r="U88" s="860">
        <f>ROUND(SUM('T1 MET'!V22:V30),$D$86)</f>
        <v>30009.013999999999</v>
      </c>
    </row>
    <row r="89" spans="1:27" s="205" customFormat="1" ht="15" customHeight="1">
      <c r="A89" s="196" t="s">
        <v>31</v>
      </c>
      <c r="B89" s="179" t="s">
        <v>52</v>
      </c>
      <c r="C89" s="180" t="s">
        <v>32</v>
      </c>
      <c r="D89" s="194">
        <v>3</v>
      </c>
      <c r="E89" s="182" t="b">
        <f>ROUND('T1 MET'!C18,$D$89)=ROUND('T1 MET'!C31,$D$89)</f>
        <v>1</v>
      </c>
      <c r="F89" s="182" t="b">
        <f>ROUND('T1 MET'!D18,$D$89)=ROUND('T1 MET'!D31,$D$89)</f>
        <v>1</v>
      </c>
      <c r="G89" s="182" t="b">
        <f>ROUND('T1 MET'!E18,$D$89)=ROUND('T1 MET'!E31,$D$89)</f>
        <v>1</v>
      </c>
      <c r="H89" s="182" t="b">
        <f>ROUND('T1 MET'!F18,$D$89)=ROUND('T1 MET'!F31,$D$89)</f>
        <v>1</v>
      </c>
      <c r="I89" s="182" t="b">
        <f>ROUND('T1 MET'!G18,$D$89)=ROUND('T1 MET'!G31,$D$89)</f>
        <v>1</v>
      </c>
      <c r="J89" s="182" t="b">
        <f>ROUND('T1 MET'!H18,$D$89)=ROUND('T1 MET'!H31,$D$89)</f>
        <v>1</v>
      </c>
      <c r="K89" s="182" t="b">
        <f>ROUND('T1 MET'!I18,$D$89)=ROUND('T1 MET'!I31,$D$89)</f>
        <v>1</v>
      </c>
      <c r="L89" s="182" t="b">
        <f>ROUND('T1 MET'!J18,$D$89)=ROUND('T1 MET'!J31,$D$89)</f>
        <v>1</v>
      </c>
      <c r="M89" s="182" t="b">
        <f>ROUND('T1 MET'!K18,$D$89)=ROUND('T1 MET'!K31,$D$89)</f>
        <v>1</v>
      </c>
      <c r="N89" s="182" t="b">
        <f>ROUND('T1 MET'!L18,$D$89)=ROUND('T1 MET'!L31,$D$89)</f>
        <v>1</v>
      </c>
      <c r="O89" s="182" t="b">
        <f>ROUND('T1 MET'!M18,$D$89)=ROUND('T1 MET'!M31,$D$89)</f>
        <v>1</v>
      </c>
      <c r="P89" s="182" t="b">
        <f>ROUND('T1 MET'!N18,$D$89)=ROUND('T1 MET'!N31,$D$89)</f>
        <v>1</v>
      </c>
      <c r="Q89" s="182" t="b">
        <f>ROUND('T1 MET'!O18,$D$89)=ROUND('T1 MET'!O31,$D$89)</f>
        <v>1</v>
      </c>
      <c r="R89" s="162"/>
      <c r="S89" s="182" t="b">
        <f>ROUND('T1 MET'!T18,$D$89)=ROUND('T1 MET'!T31,$D$89)</f>
        <v>1</v>
      </c>
      <c r="T89" s="182" t="b">
        <f>ROUND('T1 MET'!U18,$D$89)=ROUND('T1 MET'!U31,$D$89)</f>
        <v>1</v>
      </c>
      <c r="U89" s="182" t="b">
        <f>ROUND('T1 MET'!V18,$D$89)=ROUND('T1 MET'!V31,$D$89)</f>
        <v>1</v>
      </c>
    </row>
    <row r="90" spans="1:27" s="205" customFormat="1" ht="15" customHeight="1" outlineLevel="1">
      <c r="A90" s="197"/>
      <c r="B90" s="185"/>
      <c r="C90" s="186" t="s">
        <v>24</v>
      </c>
      <c r="D90" s="190"/>
      <c r="E90" s="860">
        <f>ROUND('T1 MET'!C18,$D$89)</f>
        <v>29130</v>
      </c>
      <c r="F90" s="860">
        <f>ROUND('T1 MET'!D18,$D$89)</f>
        <v>28718</v>
      </c>
      <c r="G90" s="860">
        <f>ROUND('T1 MET'!E18,$D$89)</f>
        <v>28213</v>
      </c>
      <c r="H90" s="860">
        <f>ROUND('T1 MET'!F18,$D$89)</f>
        <v>28438</v>
      </c>
      <c r="I90" s="860">
        <f>ROUND('T1 MET'!G18,$D$89)</f>
        <v>27852.3</v>
      </c>
      <c r="J90" s="860">
        <f>ROUND('T1 MET'!H18,$D$89)</f>
        <v>26446</v>
      </c>
      <c r="K90" s="860">
        <f>ROUND('T1 MET'!I18,$D$89)</f>
        <v>27081.343000000001</v>
      </c>
      <c r="L90" s="860">
        <f>ROUND('T1 MET'!J18,$D$89)</f>
        <v>27756.395</v>
      </c>
      <c r="M90" s="860">
        <f>ROUND('T1 MET'!K18,$D$89)</f>
        <v>30937.955000000002</v>
      </c>
      <c r="N90" s="860">
        <f>ROUND('T1 MET'!L18,$D$89)</f>
        <v>30193.923999999999</v>
      </c>
      <c r="O90" s="860">
        <f>ROUND('T1 MET'!M18,$D$89)</f>
        <v>31631.805</v>
      </c>
      <c r="P90" s="860">
        <f>ROUND('T1 MET'!N18,$D$89)</f>
        <v>34979.993999999999</v>
      </c>
      <c r="Q90" s="860">
        <f>ROUND('T1 MET'!O18,$D$89)</f>
        <v>39154.635000000002</v>
      </c>
      <c r="R90" s="162"/>
      <c r="S90" s="860">
        <f>ROUND('T1 MET'!T18,$D$89)</f>
        <v>28865.468000000001</v>
      </c>
      <c r="T90" s="860">
        <f>ROUND('T1 MET'!U18,$D$89)</f>
        <v>29269.24</v>
      </c>
      <c r="U90" s="860">
        <f>ROUND('T1 MET'!V18,$D$89)</f>
        <v>30009.013999999999</v>
      </c>
    </row>
    <row r="91" spans="1:27" s="205" customFormat="1" ht="15" customHeight="1" outlineLevel="1">
      <c r="A91" s="197"/>
      <c r="B91" s="185"/>
      <c r="C91" s="186" t="s">
        <v>29</v>
      </c>
      <c r="D91" s="190"/>
      <c r="E91" s="860">
        <f>ROUND('T1 MET'!C31,$D$89)</f>
        <v>29130</v>
      </c>
      <c r="F91" s="860">
        <f>ROUND('T1 MET'!D31,$D$89)</f>
        <v>28718</v>
      </c>
      <c r="G91" s="860">
        <f>ROUND('T1 MET'!E31,$D$89)</f>
        <v>28213</v>
      </c>
      <c r="H91" s="860">
        <f>ROUND('T1 MET'!F31,$D$89)</f>
        <v>28438</v>
      </c>
      <c r="I91" s="860">
        <f>ROUND('T1 MET'!G31,$D$89)</f>
        <v>27852.3</v>
      </c>
      <c r="J91" s="860">
        <f>ROUND('T1 MET'!H31,$D$89)</f>
        <v>26446</v>
      </c>
      <c r="K91" s="860">
        <f>ROUND('T1 MET'!I31,$D$89)</f>
        <v>27081.343000000001</v>
      </c>
      <c r="L91" s="860">
        <f>ROUND('T1 MET'!J31,$D$89)</f>
        <v>27756.395</v>
      </c>
      <c r="M91" s="860">
        <f>ROUND('T1 MET'!K31,$D$89)</f>
        <v>30937.955000000002</v>
      </c>
      <c r="N91" s="860">
        <f>ROUND('T1 MET'!L31,$D$89)</f>
        <v>30193.923999999999</v>
      </c>
      <c r="O91" s="860">
        <f>ROUND('T1 MET'!M31,$D$89)</f>
        <v>31631.805</v>
      </c>
      <c r="P91" s="860">
        <f>ROUND('T1 MET'!N31,$D$89)</f>
        <v>34979.993999999999</v>
      </c>
      <c r="Q91" s="860">
        <f>ROUND('T1 MET'!O31,$D$89)</f>
        <v>39154.635000000002</v>
      </c>
      <c r="R91" s="162"/>
      <c r="S91" s="860">
        <f>ROUND('T1 MET'!T31,$D$89)</f>
        <v>28865.468000000001</v>
      </c>
      <c r="T91" s="860">
        <f>ROUND('T1 MET'!U31,$D$89)</f>
        <v>29269.24</v>
      </c>
      <c r="U91" s="860">
        <f>ROUND('T1 MET'!V31,$D$89)</f>
        <v>30009.013999999999</v>
      </c>
    </row>
    <row r="92" spans="1:27" s="183" customFormat="1" ht="15" customHeight="1">
      <c r="A92" s="178" t="s">
        <v>53</v>
      </c>
      <c r="B92" s="861" t="s">
        <v>54</v>
      </c>
      <c r="C92" s="895" t="s">
        <v>55</v>
      </c>
      <c r="D92" s="863">
        <v>3</v>
      </c>
      <c r="M92" s="182" t="b">
        <f>ROUND('T1 MET'!K13,$D$92)&gt;0</f>
        <v>1</v>
      </c>
      <c r="N92" s="182" t="b">
        <f>ROUND('T1 MET'!L13,$D$92)&gt;0</f>
        <v>1</v>
      </c>
      <c r="O92" s="182" t="b">
        <f>ROUND('T1 MET'!M13,$D$92)&gt;0</f>
        <v>1</v>
      </c>
      <c r="P92" s="182" t="b">
        <f>ROUND('T1 MET'!N13,$D$92)&gt;0</f>
        <v>1</v>
      </c>
      <c r="Q92" s="182" t="b">
        <f>ROUND('T1 MET'!O13,$D$92)&gt;0</f>
        <v>1</v>
      </c>
      <c r="R92" s="162"/>
      <c r="S92" s="182" t="b">
        <f>ROUND('T1 MET'!T13,$D$92)&gt;0</f>
        <v>1</v>
      </c>
      <c r="T92" s="182" t="b">
        <f>ROUND('T1 MET'!U13,$D$92)&gt;0</f>
        <v>1</v>
      </c>
      <c r="U92" s="182" t="b">
        <f>ROUND('T1 MET'!V13,$D$92)&gt;0</f>
        <v>1</v>
      </c>
    </row>
    <row r="93" spans="1:27" s="189" customFormat="1" ht="15" customHeight="1" outlineLevel="1">
      <c r="A93" s="215"/>
      <c r="B93" s="864"/>
      <c r="C93" s="865" t="s">
        <v>56</v>
      </c>
      <c r="D93" s="866"/>
      <c r="M93" s="896">
        <f>ROUND('T1 MET'!K13,$D$92)</f>
        <v>2896.6089999999999</v>
      </c>
      <c r="N93" s="896">
        <f>ROUND('T1 MET'!L13,$D$92)</f>
        <v>2925.5749999999998</v>
      </c>
      <c r="O93" s="896">
        <f>ROUND('T1 MET'!M13,$D$92)</f>
        <v>2954.8310000000001</v>
      </c>
      <c r="P93" s="896">
        <f>ROUND('T1 MET'!N13,$D$92)</f>
        <v>3486.2289999999998</v>
      </c>
      <c r="Q93" s="896">
        <f>ROUND('T1 MET'!O13,$D$92)</f>
        <v>3529.2049999999999</v>
      </c>
      <c r="R93" s="162"/>
      <c r="S93" s="896">
        <f>ROUND('T1 MET'!T13,$D$92)</f>
        <v>2896.6089999999999</v>
      </c>
      <c r="T93" s="896">
        <f>ROUND('T1 MET'!U13,$D$92)</f>
        <v>2693.6010000000001</v>
      </c>
      <c r="U93" s="896">
        <f>ROUND('T1 MET'!V13,$D$92)</f>
        <v>2879.3090000000002</v>
      </c>
      <c r="V93" s="183"/>
      <c r="W93" s="183"/>
      <c r="X93" s="183"/>
      <c r="Y93" s="183"/>
      <c r="Z93" s="183"/>
      <c r="AA93" s="183"/>
    </row>
    <row r="94" spans="1:27" s="205" customFormat="1" ht="15" customHeight="1">
      <c r="A94" s="178" t="s">
        <v>37</v>
      </c>
      <c r="B94" s="179" t="s">
        <v>38</v>
      </c>
      <c r="C94" s="180" t="s">
        <v>39</v>
      </c>
      <c r="D94" s="181">
        <v>2</v>
      </c>
      <c r="E94" s="189"/>
      <c r="F94" s="182" t="b">
        <f>ROUND('T1 MET'!C65*(1+'T1'!D64),$D$94)=ROUND('T1 MET'!D65,$D$94)</f>
        <v>1</v>
      </c>
      <c r="G94" s="182" t="b">
        <f>ROUND('T1 MET'!D65*(1+'T1'!E64),$D$94)=ROUND('T1 MET'!E65,$D$94)</f>
        <v>1</v>
      </c>
      <c r="H94" s="182" t="b">
        <f>ROUND('T1 MET'!E65*(1+'T1'!F64),$D$94)=ROUND('T1 MET'!F65,$D$94)</f>
        <v>1</v>
      </c>
      <c r="I94" s="182" t="b">
        <f>ROUND('T1 MET'!F65*(1+'T1'!G64),$D$94)=ROUND('T1 MET'!G65,$D$94)</f>
        <v>1</v>
      </c>
      <c r="J94" s="182" t="b">
        <f>ROUND('T1 MET'!G65*(1+'T1'!H64),$D$94)=ROUND('T1 MET'!H65,$D$94)</f>
        <v>1</v>
      </c>
      <c r="K94" s="182" t="b">
        <f>ROUND('T1 MET'!H65*(1+'T1'!I64),$D$94)=ROUND('T1 MET'!I65,$D$94)</f>
        <v>1</v>
      </c>
      <c r="L94" s="182" t="b">
        <f>ROUND('T1 MET'!I65*(1+'T1'!J64),$D$94)=ROUND('T1 MET'!J65,$D$94)</f>
        <v>1</v>
      </c>
      <c r="M94" s="182" t="b">
        <f>ROUND('T1 MET'!J65*(1+'T1'!K64),$D$94)=ROUND('T1 MET'!K65,$D$94)</f>
        <v>0</v>
      </c>
      <c r="N94" s="182" t="b">
        <f>ROUND('T1 MET'!K65*(1+'T1'!L64),$D$94)=ROUND('T1 MET'!L65,$D$94)</f>
        <v>1</v>
      </c>
      <c r="O94" s="182" t="b">
        <f>ROUND('T1 MET'!L65*(1+'T1'!M64),$D$94)=ROUND('T1 MET'!M65,$D$94)</f>
        <v>1</v>
      </c>
      <c r="P94" s="182" t="b">
        <f>ROUND('T1 MET'!M65*(1+'T1'!N64),$D$94)=ROUND('T1 MET'!N65,$D$94)</f>
        <v>0</v>
      </c>
      <c r="Q94" s="182" t="b">
        <f>ROUND('T1 MET'!N65*(1+'T1'!O64),$D$94)=ROUND('T1 MET'!O65,$D$94)</f>
        <v>1</v>
      </c>
      <c r="R94" s="162"/>
      <c r="S94" s="182" t="b">
        <f>ROUND('T1 MET'!J65*(1+'T1'!T64),$D$94)=ROUND('T1 MET'!T65,$D$94)</f>
        <v>1</v>
      </c>
      <c r="T94" s="182" t="b">
        <f>ROUND('T1 MET'!T65*(1+'T1'!U64),$D$94)=ROUND('T1 MET'!U65,$D$94)</f>
        <v>1</v>
      </c>
      <c r="U94" s="182" t="b">
        <f>ROUND('T1 MET'!U65*(1+'T1'!V64),$D$94)=ROUND('T1 MET'!V65,$D$94)</f>
        <v>1</v>
      </c>
    </row>
    <row r="95" spans="1:27" s="205" customFormat="1" ht="15" customHeight="1" outlineLevel="1">
      <c r="A95" s="184"/>
      <c r="B95" s="185"/>
      <c r="C95" s="186" t="s">
        <v>40</v>
      </c>
      <c r="D95" s="190"/>
      <c r="E95" s="189"/>
      <c r="F95" s="214">
        <f>ROUND('T1 MET'!C65*(1+'T1'!D64),$D$94)</f>
        <v>95.27</v>
      </c>
      <c r="G95" s="214">
        <f>ROUND('T1 MET'!D65*(1+'T1'!E64),$D$94)</f>
        <v>96.69</v>
      </c>
      <c r="H95" s="214">
        <f>ROUND('T1 MET'!E65*(1+'T1'!F64),$D$94)</f>
        <v>96.69</v>
      </c>
      <c r="I95" s="214">
        <f>ROUND('T1 MET'!F65*(1+'T1'!G64),$D$94)</f>
        <v>97.37</v>
      </c>
      <c r="J95" s="214">
        <f>ROUND('T1 MET'!G65*(1+'T1'!H64),$D$94)</f>
        <v>100</v>
      </c>
      <c r="K95" s="214">
        <f>ROUND('T1 MET'!H65*(1+'T1'!I64),$D$94)</f>
        <v>102.5</v>
      </c>
      <c r="L95" s="214">
        <f>ROUND('T1 MET'!I65*(1+'T1'!J64),$D$94)</f>
        <v>104.35</v>
      </c>
      <c r="M95" s="214">
        <f>ROUND('T1 MET'!J65*(1+'T1'!K64),$D$94)</f>
        <v>106.43</v>
      </c>
      <c r="N95" s="214">
        <f>ROUND('T1 MET'!K65*(1+'T1'!L64),$D$94)</f>
        <v>108.57</v>
      </c>
      <c r="O95" s="214">
        <f>ROUND('T1 MET'!L65*(1+'T1'!M64),$D$94)</f>
        <v>110.74</v>
      </c>
      <c r="P95" s="214">
        <f>ROUND('T1 MET'!M65*(1+'T1'!N64),$D$94)</f>
        <v>117.54</v>
      </c>
      <c r="Q95" s="214">
        <f>ROUND('T1 MET'!N65*(1+'T1'!O64),$D$94)</f>
        <v>119.75</v>
      </c>
      <c r="R95" s="162"/>
      <c r="S95" s="214">
        <f>ROUND('T1 MET'!J65*(1+'T1'!T64),$D$94)</f>
        <v>105.28</v>
      </c>
      <c r="T95" s="214">
        <f>ROUND('T1 MET'!T65*(1+'T1'!U64),$D$94)</f>
        <v>108.02</v>
      </c>
      <c r="U95" s="214">
        <f>ROUND('T1 MET'!U65*(1+'T1'!V64),$D$94)</f>
        <v>117.85</v>
      </c>
    </row>
    <row r="96" spans="1:27" s="205" customFormat="1" ht="15" customHeight="1" outlineLevel="1">
      <c r="A96" s="184"/>
      <c r="B96" s="185"/>
      <c r="C96" s="186" t="s">
        <v>41</v>
      </c>
      <c r="D96" s="190"/>
      <c r="E96" s="189"/>
      <c r="F96" s="214">
        <f>ROUND('T1 MET'!D65,$D$94)</f>
        <v>95.27</v>
      </c>
      <c r="G96" s="214">
        <f>ROUND('T1 MET'!E65,$D$94)</f>
        <v>96.69</v>
      </c>
      <c r="H96" s="214">
        <f>ROUND('T1 MET'!F65,$D$94)</f>
        <v>96.69</v>
      </c>
      <c r="I96" s="214">
        <f>ROUND('T1 MET'!G65,$D$94)</f>
        <v>97.37</v>
      </c>
      <c r="J96" s="214">
        <f>ROUND('T1 MET'!H65,$D$94)</f>
        <v>100</v>
      </c>
      <c r="K96" s="214">
        <f>ROUND('T1 MET'!I65,$D$94)</f>
        <v>102.5</v>
      </c>
      <c r="L96" s="214">
        <f>ROUND('T1 MET'!J65,$D$94)</f>
        <v>104.35</v>
      </c>
      <c r="M96" s="214">
        <f>ROUND('T1 MET'!K65,$D$94)</f>
        <v>106.44</v>
      </c>
      <c r="N96" s="214">
        <f>ROUND('T1 MET'!L65,$D$94)</f>
        <v>108.57</v>
      </c>
      <c r="O96" s="214">
        <f>ROUND('T1 MET'!M65,$D$94)</f>
        <v>110.74</v>
      </c>
      <c r="P96" s="214">
        <f>ROUND('T1 MET'!N65,$D$94)</f>
        <v>118.73</v>
      </c>
      <c r="Q96" s="214">
        <f>ROUND('T1 MET'!O65,$D$94)</f>
        <v>119.75</v>
      </c>
      <c r="R96" s="162"/>
      <c r="S96" s="214">
        <f>ROUND('T1 MET'!T65,$D$94)</f>
        <v>105.28</v>
      </c>
      <c r="T96" s="214">
        <f>ROUND('T1 MET'!U65,$D$94)</f>
        <v>108.02</v>
      </c>
      <c r="U96" s="214">
        <f>ROUND('T1 MET'!V65,$D$94)</f>
        <v>117.85</v>
      </c>
    </row>
    <row r="97" spans="1:21" s="205" customFormat="1" ht="15" customHeight="1">
      <c r="A97" s="178" t="s">
        <v>104</v>
      </c>
      <c r="B97" s="179" t="s">
        <v>58</v>
      </c>
      <c r="C97" s="180" t="s">
        <v>105</v>
      </c>
      <c r="D97" s="181">
        <v>3</v>
      </c>
      <c r="E97" s="182" t="b">
        <f>ROUND(((('T1 MET'!C61-'T1 MET'!C15-'T1 MET'!C16)/('T1 MET'!C65/100))+('T1 MET'!C15+'T1 MET'!C16)),$D$97)=ROUND('T1 MET'!C66,$D$97)</f>
        <v>0</v>
      </c>
      <c r="F97" s="182" t="b">
        <f>ROUND(((('T1 MET'!D61-'T1 MET'!D15-'T1 MET'!D16)/('T1 MET'!D65/100))+('T1 MET'!D15+'T1 MET'!D16)),$D$97)=ROUND('T1 MET'!D66,$D$97)</f>
        <v>0</v>
      </c>
      <c r="G97" s="182" t="b">
        <f>ROUND(((('T1 MET'!E61-'T1 MET'!E15-'T1 MET'!E16)/('T1 MET'!E65/100))+('T1 MET'!E15+'T1 MET'!E16)),$D$97)=ROUND('T1 MET'!E66,$D$97)</f>
        <v>0</v>
      </c>
      <c r="H97" s="182" t="b">
        <f>ROUND(((('T1 MET'!F61-'T1 MET'!F15-'T1 MET'!F16)/('T1 MET'!F65/100))+('T1 MET'!F15+'T1 MET'!F16)),$D$97)=ROUND('T1 MET'!F66,$D$97)</f>
        <v>0</v>
      </c>
      <c r="I97" s="182" t="b">
        <f>ROUND(((('T1 MET'!G61-'T1 MET'!G15-'T1 MET'!G16)/('T1 MET'!G65/100))+('T1 MET'!G15+'T1 MET'!G16)),$D$97)=ROUND('T1 MET'!G66,$D$97)</f>
        <v>0</v>
      </c>
      <c r="J97" s="182" t="b">
        <f>ROUND(((('T1 MET'!H61-'T1 MET'!H15-'T1 MET'!H16)/('T1 MET'!H65/100))+('T1 MET'!H15+'T1 MET'!H16)),$D$97)=ROUND('T1 MET'!H66,$D$97)</f>
        <v>1</v>
      </c>
      <c r="K97" s="182" t="b">
        <f>ROUND(((('T1 MET'!I61-'T1 MET'!I15-'T1 MET'!I16)/('T1 MET'!I65/100))+('T1 MET'!I15+'T1 MET'!I16)),$D$97)=ROUND('T1 MET'!I66,$D$97)</f>
        <v>0</v>
      </c>
      <c r="L97" s="182" t="b">
        <f>ROUND(((('T1 MET'!J61-'T1 MET'!J15-'T1 MET'!J16)/('T1 MET'!J65/100))+('T1 MET'!J15+'T1 MET'!J16)),$D$97)=ROUND('T1 MET'!J66,$D$97)</f>
        <v>0</v>
      </c>
      <c r="M97" s="182" t="b">
        <f>ROUND(((('T1 MET'!K61-'T1 MET'!K15-'T1 MET'!K16)/('T1 MET'!K65/100))+('T1 MET'!K15+'T1 MET'!K16)),$D$97)=ROUND('T1 MET'!K66,$D$97)</f>
        <v>0</v>
      </c>
      <c r="N97" s="182" t="b">
        <f>ROUND(((('T1 MET'!L61-'T1 MET'!L15-'T1 MET'!L16)/('T1 MET'!L65/100))+('T1 MET'!L15+'T1 MET'!L16)),$D$97)=ROUND('T1 MET'!L66,$D$97)</f>
        <v>0</v>
      </c>
      <c r="O97" s="182" t="b">
        <f>ROUND(((('T1 MET'!M61-'T1 MET'!M15-'T1 MET'!M16)/('T1 MET'!M65/100))+('T1 MET'!M15+'T1 MET'!M16)),$D$97)=ROUND('T1 MET'!M66,$D$97)</f>
        <v>0</v>
      </c>
      <c r="P97" s="182" t="b">
        <f>ROUND(((('T1 MET'!N61-'T1 MET'!N15-'T1 MET'!N16)/('T1 MET'!N65/100))+('T1 MET'!N15+'T1 MET'!N16)),$D$97)=ROUND('T1 MET'!N66,$D$97)</f>
        <v>0</v>
      </c>
      <c r="Q97" s="182" t="b">
        <f>ROUND(((('T1 MET'!O61-'T1 MET'!O15-'T1 MET'!O16)/('T1 MET'!O65/100))+('T1 MET'!O15+'T1 MET'!O16)),$D$97)=ROUND('T1 MET'!O66,$D$97)</f>
        <v>0</v>
      </c>
      <c r="R97" s="162"/>
      <c r="S97" s="182" t="b">
        <f>ROUND(((('T1 MET'!T61-'T1 MET'!T15-'T1 MET'!T16)/('T1 MET'!T65/100))+('T1 MET'!T15+'T1 MET'!T16)),$D$97)=ROUND('T1 MET'!T66,$D$97)</f>
        <v>0</v>
      </c>
      <c r="T97" s="182" t="b">
        <f>ROUND(((('T1 MET'!U61-'T1 MET'!U15-'T1 MET'!U16)/('T1 MET'!U65/100))+('T1 MET'!U15+'T1 MET'!U16)),$D$97)=ROUND('T1 MET'!U66,$D$97)</f>
        <v>0</v>
      </c>
      <c r="U97" s="182" t="b">
        <f>ROUND(((('T1 MET'!V61-'T1 MET'!V15-'T1 MET'!V16)/('T1 MET'!V65/100))+('T1 MET'!V15+'T1 MET'!V16)),$D$97)=ROUND('T1 MET'!V66,$D$97)</f>
        <v>0</v>
      </c>
    </row>
    <row r="98" spans="1:21" s="205" customFormat="1" ht="15" customHeight="1" outlineLevel="1">
      <c r="A98" s="184"/>
      <c r="B98" s="185"/>
      <c r="C98" s="186" t="s">
        <v>60</v>
      </c>
      <c r="D98" s="190"/>
      <c r="E98" s="860">
        <f>ROUND(((('T1 MET'!C61-'T1 MET'!C15-'T1 MET'!C16)/('T1 MET'!C65/100))+('T1 MET'!C15+'T1 MET'!C16)),$D$97)</f>
        <v>31064.861000000001</v>
      </c>
      <c r="F98" s="860">
        <f>ROUND(((('T1 MET'!D61-'T1 MET'!D15-'T1 MET'!D16)/('T1 MET'!D65/100))+('T1 MET'!D15+'T1 MET'!D16)),$D$97)</f>
        <v>29946.53</v>
      </c>
      <c r="G98" s="860">
        <f>ROUND(((('T1 MET'!E61-'T1 MET'!E15-'T1 MET'!E16)/('T1 MET'!E65/100))+('T1 MET'!E15+'T1 MET'!E16)),$D$97)</f>
        <v>29040.817999999999</v>
      </c>
      <c r="H98" s="860">
        <f>ROUND(((('T1 MET'!F61-'T1 MET'!F15-'T1 MET'!F16)/('T1 MET'!F65/100))+('T1 MET'!F15+'T1 MET'!F16)),$D$97)</f>
        <v>29202.124</v>
      </c>
      <c r="I98" s="860">
        <f>ROUND(((('T1 MET'!G61-'T1 MET'!G15-'T1 MET'!G16)/('T1 MET'!G65/100))+('T1 MET'!G15+'T1 MET'!G16)),$D$97)</f>
        <v>28439.936000000002</v>
      </c>
      <c r="J98" s="860">
        <f>ROUND(((('T1 MET'!H61-'T1 MET'!H15-'T1 MET'!H16)/('T1 MET'!H65/100))+('T1 MET'!H15+'T1 MET'!H16)),$D$97)</f>
        <v>26446</v>
      </c>
      <c r="K98" s="860">
        <f>ROUND(((('T1 MET'!I61-'T1 MET'!I15-'T1 MET'!I16)/('T1 MET'!I65/100))+('T1 MET'!I15+'T1 MET'!I16)),$D$97)</f>
        <v>26569.31</v>
      </c>
      <c r="L98" s="860">
        <f>ROUND(((('T1 MET'!J61-'T1 MET'!J15-'T1 MET'!J16)/('T1 MET'!J65/100))+('T1 MET'!J15+'T1 MET'!J16)),$D$97)</f>
        <v>26854.108</v>
      </c>
      <c r="M98" s="860">
        <f>ROUND(((('T1 MET'!K61-'T1 MET'!K15-'T1 MET'!K16)/('T1 MET'!K65/100))+('T1 MET'!K15+'T1 MET'!K16)),$D$97)</f>
        <v>29427.536</v>
      </c>
      <c r="N98" s="860">
        <f>ROUND(((('T1 MET'!L61-'T1 MET'!L15-'T1 MET'!L16)/('T1 MET'!L65/100))+('T1 MET'!L15+'T1 MET'!L16)),$D$97)</f>
        <v>28282.589</v>
      </c>
      <c r="O98" s="860">
        <f>ROUND(((('T1 MET'!M61-'T1 MET'!M15-'T1 MET'!M16)/('T1 MET'!M65/100))+('T1 MET'!M15+'T1 MET'!M16)),$D$97)</f>
        <v>29252.034</v>
      </c>
      <c r="P98" s="860">
        <f>ROUND(((('T1 MET'!N61-'T1 MET'!N15-'T1 MET'!N16)/('T1 MET'!N65/100))+('T1 MET'!N15+'T1 MET'!N16)),$D$97)</f>
        <v>30573.384999999998</v>
      </c>
      <c r="Q98" s="860">
        <f>ROUND(((('T1 MET'!O61-'T1 MET'!O15-'T1 MET'!O16)/('T1 MET'!O65/100))+('T1 MET'!O15+'T1 MET'!O16)),$D$97)</f>
        <v>34376.423000000003</v>
      </c>
      <c r="R98" s="162"/>
      <c r="S98" s="860">
        <f>ROUND(((('T1 MET'!T61-'T1 MET'!T15-'T1 MET'!T16)/('T1 MET'!T65/100))+('T1 MET'!T15+'T1 MET'!T16)),$D$97)</f>
        <v>27717.116000000002</v>
      </c>
      <c r="T98" s="860">
        <f>ROUND(((('T1 MET'!U61-'T1 MET'!U15-'T1 MET'!U16)/('T1 MET'!U65/100))+('T1 MET'!U15+'T1 MET'!U16)),$D$97)</f>
        <v>27473.771000000001</v>
      </c>
      <c r="U98" s="860">
        <f>ROUND(((('T1 MET'!V61-'T1 MET'!V15-'T1 MET'!V16)/('T1 MET'!V65/100))+('T1 MET'!V15+'T1 MET'!V16)),$D$97)</f>
        <v>26343.405999999999</v>
      </c>
    </row>
    <row r="99" spans="1:21" s="205" customFormat="1" ht="15" customHeight="1" outlineLevel="1">
      <c r="A99" s="184"/>
      <c r="B99" s="185"/>
      <c r="C99" s="186" t="s">
        <v>61</v>
      </c>
      <c r="D99" s="190"/>
      <c r="E99" s="860">
        <f>ROUND('T1 MET'!C66,$D$97)</f>
        <v>31372.838</v>
      </c>
      <c r="F99" s="860">
        <f>ROUND('T1 MET'!D66,$D$97)</f>
        <v>30145.337</v>
      </c>
      <c r="G99" s="860">
        <f>ROUND('T1 MET'!E66,$D$97)</f>
        <v>29177.574000000001</v>
      </c>
      <c r="H99" s="860">
        <f>ROUND('T1 MET'!F66,$D$97)</f>
        <v>29410.267</v>
      </c>
      <c r="I99" s="860">
        <f>ROUND('T1 MET'!G66,$D$97)</f>
        <v>28604.312000000002</v>
      </c>
      <c r="J99" s="860">
        <f>ROUND('T1 MET'!H66,$D$97)</f>
        <v>26446</v>
      </c>
      <c r="K99" s="860">
        <f>ROUND('T1 MET'!I66,$D$97)</f>
        <v>26420.822</v>
      </c>
      <c r="L99" s="860">
        <f>ROUND('T1 MET'!J66,$D$97)</f>
        <v>26600.598999999998</v>
      </c>
      <c r="M99" s="860">
        <f>ROUND('T1 MET'!K66,$D$97)</f>
        <v>29065.266</v>
      </c>
      <c r="N99" s="860">
        <f>ROUND('T1 MET'!L66,$D$97)</f>
        <v>27810.07</v>
      </c>
      <c r="O99" s="860">
        <f>ROUND('T1 MET'!M66,$D$97)</f>
        <v>28563.165000000001</v>
      </c>
      <c r="P99" s="860">
        <f>ROUND('T1 MET'!N66,$D$97)</f>
        <v>29460.808000000001</v>
      </c>
      <c r="Q99" s="860">
        <f>ROUND('T1 MET'!O66,$D$97)</f>
        <v>32696.641</v>
      </c>
      <c r="R99" s="162"/>
      <c r="S99" s="860">
        <f>ROUND('T1 MET'!T66,$D$97)</f>
        <v>27416.739000000001</v>
      </c>
      <c r="T99" s="860">
        <f>ROUND('T1 MET'!U66,$D$97)</f>
        <v>27095.756000000001</v>
      </c>
      <c r="U99" s="860">
        <f>ROUND('T1 MET'!V66,$D$97)</f>
        <v>25463.423999999999</v>
      </c>
    </row>
    <row r="100" spans="1:21" s="205" customFormat="1" ht="15" customHeight="1">
      <c r="A100" s="178" t="s">
        <v>62</v>
      </c>
      <c r="B100" s="179" t="s">
        <v>63</v>
      </c>
      <c r="C100" s="180" t="s">
        <v>64</v>
      </c>
      <c r="D100" s="190"/>
      <c r="E100" s="182" t="b">
        <f>'T1 MET'!C68='T1'!C68</f>
        <v>1</v>
      </c>
      <c r="F100" s="182" t="b">
        <f>'T1 MET'!D68='T1'!D68</f>
        <v>1</v>
      </c>
      <c r="G100" s="182" t="b">
        <f>'T1 MET'!E68='T1'!E68</f>
        <v>1</v>
      </c>
      <c r="H100" s="182" t="b">
        <f>'T1 MET'!F68='T1'!F68</f>
        <v>1</v>
      </c>
      <c r="I100" s="182" t="b">
        <f>'T1 MET'!G68='T1'!G68</f>
        <v>1</v>
      </c>
      <c r="J100" s="182" t="b">
        <f>'T1 MET'!H68='T1'!H68</f>
        <v>1</v>
      </c>
      <c r="K100" s="182" t="b">
        <f>'T1 MET'!I68='T1'!I68</f>
        <v>1</v>
      </c>
      <c r="L100" s="182" t="b">
        <f>'T1 MET'!J68='T1'!J68</f>
        <v>1</v>
      </c>
      <c r="M100" s="182" t="b">
        <f>'T1 MET'!K68='T1'!K68</f>
        <v>1</v>
      </c>
      <c r="N100" s="182" t="b">
        <f>'T1 MET'!L68='T1'!L68</f>
        <v>1</v>
      </c>
      <c r="O100" s="182" t="b">
        <f>'T1 MET'!M68='T1'!M68</f>
        <v>1</v>
      </c>
      <c r="P100" s="182" t="b">
        <f>'T1 MET'!N68='T1'!N68</f>
        <v>1</v>
      </c>
      <c r="Q100" s="182" t="b">
        <f>'T1 MET'!O68='T1'!O68</f>
        <v>1</v>
      </c>
      <c r="R100" s="162"/>
      <c r="S100" s="182" t="b">
        <f>'T1 MET'!T68='T1'!T68</f>
        <v>1</v>
      </c>
      <c r="T100" s="182" t="b">
        <f>'T1 MET'!U68='T1'!U68</f>
        <v>1</v>
      </c>
      <c r="U100" s="182" t="b">
        <f>'T1 MET'!V68='T1'!V68</f>
        <v>1</v>
      </c>
    </row>
    <row r="101" spans="1:21" s="205" customFormat="1" ht="15" customHeight="1" outlineLevel="1">
      <c r="A101" s="184"/>
      <c r="B101" s="185"/>
      <c r="C101" s="186" t="s">
        <v>106</v>
      </c>
      <c r="D101" s="190"/>
      <c r="E101" s="860">
        <f>'T1 MET'!C68</f>
        <v>9607.8779999999988</v>
      </c>
      <c r="F101" s="860">
        <f>'T1 MET'!D68</f>
        <v>9754.9330000000009</v>
      </c>
      <c r="G101" s="860">
        <f>'T1 MET'!E68</f>
        <v>9979.4030000000002</v>
      </c>
      <c r="H101" s="860">
        <f>'T1 MET'!F68</f>
        <v>10153.9</v>
      </c>
      <c r="I101" s="860">
        <f>'T1 MET'!G68</f>
        <v>10874.798000000001</v>
      </c>
      <c r="J101" s="860">
        <f>'T1 MET'!H68</f>
        <v>11767.620999999999</v>
      </c>
      <c r="K101" s="860">
        <f>'T1 MET'!I68</f>
        <v>12194.153</v>
      </c>
      <c r="L101" s="860">
        <f>'T1 MET'!J68</f>
        <v>12593.8988214</v>
      </c>
      <c r="M101" s="860">
        <f>'T1 MET'!K68</f>
        <v>12647.945</v>
      </c>
      <c r="N101" s="860">
        <f>'T1 MET'!L68</f>
        <v>12891</v>
      </c>
      <c r="O101" s="860">
        <f>'T1 MET'!M68</f>
        <v>13183</v>
      </c>
      <c r="P101" s="860">
        <f>'T1 MET'!N68</f>
        <v>11956</v>
      </c>
      <c r="Q101" s="860">
        <f>'T1 MET'!O68</f>
        <v>12930</v>
      </c>
      <c r="R101" s="162"/>
      <c r="S101" s="860">
        <f>'T1 MET'!T68</f>
        <v>5099.1790000000001</v>
      </c>
      <c r="T101" s="860">
        <f>'T1 MET'!U68</f>
        <v>5531.451</v>
      </c>
      <c r="U101" s="860">
        <f>'T1 MET'!V68</f>
        <v>10782.061</v>
      </c>
    </row>
    <row r="102" spans="1:21" s="205" customFormat="1" ht="15" customHeight="1" outlineLevel="1">
      <c r="A102" s="184"/>
      <c r="B102" s="185"/>
      <c r="C102" s="186" t="s">
        <v>66</v>
      </c>
      <c r="D102" s="190"/>
      <c r="E102" s="860">
        <f>'T1'!C68</f>
        <v>9607.8779999999988</v>
      </c>
      <c r="F102" s="860">
        <f>'T1'!D68</f>
        <v>9754.9330000000009</v>
      </c>
      <c r="G102" s="860">
        <f>'T1'!E68</f>
        <v>9979.4030000000002</v>
      </c>
      <c r="H102" s="860">
        <f>'T1'!F68</f>
        <v>10153.9</v>
      </c>
      <c r="I102" s="860">
        <f>'T1'!G68</f>
        <v>10874.798000000001</v>
      </c>
      <c r="J102" s="860">
        <f>'T1'!H68</f>
        <v>11767.620999999999</v>
      </c>
      <c r="K102" s="860">
        <f>'T1'!I68</f>
        <v>12194.153</v>
      </c>
      <c r="L102" s="860">
        <f>'T1'!J68</f>
        <v>12593.8988214</v>
      </c>
      <c r="M102" s="860">
        <f>'T1'!K68</f>
        <v>12647.945</v>
      </c>
      <c r="N102" s="860">
        <f>'T1'!L68</f>
        <v>12891</v>
      </c>
      <c r="O102" s="860">
        <f>'T1'!M68</f>
        <v>13183</v>
      </c>
      <c r="P102" s="860">
        <f>'T1'!N68</f>
        <v>11956</v>
      </c>
      <c r="Q102" s="860">
        <f>'T1'!O68</f>
        <v>12930</v>
      </c>
      <c r="R102" s="162"/>
      <c r="S102" s="860">
        <f>'T1'!T68</f>
        <v>5099.1790000000001</v>
      </c>
      <c r="T102" s="860">
        <f>'T1'!U68</f>
        <v>5531.451</v>
      </c>
      <c r="U102" s="860">
        <f>'T1'!V68</f>
        <v>10782.061</v>
      </c>
    </row>
    <row r="103" spans="1:21" s="205" customFormat="1" ht="15" customHeight="1">
      <c r="A103" s="178" t="s">
        <v>42</v>
      </c>
      <c r="B103" s="179" t="s">
        <v>43</v>
      </c>
      <c r="C103" s="180" t="s">
        <v>44</v>
      </c>
      <c r="D103" s="181">
        <v>2</v>
      </c>
      <c r="E103" s="182" t="b">
        <f>ROUND(('T1 MET'!C66/'T1 MET'!C68),$D$103)=ROUND('T1 MET'!C70,$D$103)</f>
        <v>1</v>
      </c>
      <c r="F103" s="182" t="b">
        <f>ROUND(('T1 MET'!D66/'T1 MET'!D68),$D$103)=ROUND('T1 MET'!D70,$D$103)</f>
        <v>1</v>
      </c>
      <c r="G103" s="182" t="b">
        <f>ROUND(('T1 MET'!E66/'T1 MET'!E68),$D$103)=ROUND('T1 MET'!E70,$D$103)</f>
        <v>1</v>
      </c>
      <c r="H103" s="182" t="b">
        <f>ROUND(('T1 MET'!F66/'T1 MET'!F68),$D$103)=ROUND('T1 MET'!F70,$D$103)</f>
        <v>1</v>
      </c>
      <c r="I103" s="182" t="b">
        <f>ROUND(('T1 MET'!G66/'T1 MET'!G68),$D$103)=ROUND('T1 MET'!G70,$D$103)</f>
        <v>1</v>
      </c>
      <c r="J103" s="182" t="b">
        <f>ROUND(('T1 MET'!H66/'T1 MET'!H68),$D$103)=ROUND('T1 MET'!H70,$D$103)</f>
        <v>1</v>
      </c>
      <c r="K103" s="182" t="b">
        <f>ROUND(('T1 MET'!I66/'T1 MET'!I68),$D$103)=ROUND('T1 MET'!I70,$D$103)</f>
        <v>1</v>
      </c>
      <c r="L103" s="182" t="b">
        <f>ROUND(('T1 MET'!J66/'T1 MET'!J68),$D$103)=ROUND('T1 MET'!J70,$D$103)</f>
        <v>1</v>
      </c>
      <c r="M103" s="182" t="b">
        <f>ROUND(('T1 MET'!K66/'T1 MET'!K68),$D$103)=ROUND('T1 MET'!K70,$D$103)</f>
        <v>1</v>
      </c>
      <c r="N103" s="182" t="b">
        <f>ROUND(('T1 MET'!L66/'T1 MET'!L68),$D$103)=ROUND('T1 MET'!L70,$D$103)</f>
        <v>1</v>
      </c>
      <c r="O103" s="182" t="b">
        <f>ROUND(('T1 MET'!M66/'T1 MET'!M68),$D$103)=ROUND('T1 MET'!M70,$D$103)</f>
        <v>1</v>
      </c>
      <c r="P103" s="182" t="b">
        <f>ROUND(('T1 MET'!N66/'T1 MET'!N68),$D$103)=ROUND('T1 MET'!N70,$D$103)</f>
        <v>1</v>
      </c>
      <c r="Q103" s="182" t="b">
        <f>ROUND(('T1 MET'!O66/'T1 MET'!O68),$D$103)=ROUND('T1 MET'!O70,$D$103)</f>
        <v>1</v>
      </c>
      <c r="R103" s="162"/>
      <c r="S103" s="182" t="b">
        <f>ROUND(('T1 MET'!T66/'T1 MET'!T68),$D$103)=ROUND('T1 MET'!T70,$D$103)</f>
        <v>1</v>
      </c>
      <c r="T103" s="182" t="b">
        <f>ROUND(('T1 MET'!U66/'T1 MET'!U68),$D$103)=ROUND('T1 MET'!U70,$D$103)</f>
        <v>1</v>
      </c>
      <c r="U103" s="182" t="b">
        <f>ROUND(('T1 MET'!V66/'T1 MET'!V68),$D$103)=ROUND('T1 MET'!V70,$D$103)</f>
        <v>1</v>
      </c>
    </row>
    <row r="104" spans="1:21" s="205" customFormat="1" ht="15" customHeight="1" outlineLevel="1">
      <c r="A104" s="184"/>
      <c r="B104" s="185"/>
      <c r="C104" s="186" t="s">
        <v>45</v>
      </c>
      <c r="D104" s="190"/>
      <c r="E104" s="214">
        <f>ROUND(('T1 MET'!C66/'T1 MET'!C68),$D$103)</f>
        <v>3.27</v>
      </c>
      <c r="F104" s="214">
        <f>ROUND(('T1 MET'!D66/'T1 MET'!D68),$D$103)</f>
        <v>3.09</v>
      </c>
      <c r="G104" s="214">
        <f>ROUND(('T1 MET'!E66/'T1 MET'!E68),$D$103)</f>
        <v>2.92</v>
      </c>
      <c r="H104" s="214">
        <f>ROUND(('T1 MET'!F66/'T1 MET'!F68),$D$103)</f>
        <v>2.9</v>
      </c>
      <c r="I104" s="214">
        <f>ROUND(('T1 MET'!G66/'T1 MET'!G68),$D$103)</f>
        <v>2.63</v>
      </c>
      <c r="J104" s="214">
        <f>ROUND(('T1 MET'!H66/'T1 MET'!H68),$D$103)</f>
        <v>2.25</v>
      </c>
      <c r="K104" s="214">
        <f>ROUND(('T1 MET'!I66/'T1 MET'!I68),$D$103)</f>
        <v>2.17</v>
      </c>
      <c r="L104" s="214">
        <f>ROUND(('T1 MET'!J66/'T1 MET'!J68),$D$103)</f>
        <v>2.11</v>
      </c>
      <c r="M104" s="214">
        <f>ROUND(('T1 MET'!K66/'T1 MET'!K68),$D$103)</f>
        <v>2.2999999999999998</v>
      </c>
      <c r="N104" s="214">
        <f>ROUND(('T1 MET'!L66/'T1 MET'!L68),$D$103)</f>
        <v>2.16</v>
      </c>
      <c r="O104" s="214">
        <f>ROUND(('T1 MET'!M66/'T1 MET'!M68),$D$103)</f>
        <v>2.17</v>
      </c>
      <c r="P104" s="214">
        <f>ROUND(('T1 MET'!N66/'T1 MET'!N68),$D$103)</f>
        <v>2.46</v>
      </c>
      <c r="Q104" s="214">
        <f>ROUND(('T1 MET'!O66/'T1 MET'!O68),$D$103)</f>
        <v>2.5299999999999998</v>
      </c>
      <c r="R104" s="162"/>
      <c r="S104" s="214">
        <f>ROUND(('T1 MET'!T66/'T1 MET'!T68),$D$103)</f>
        <v>5.38</v>
      </c>
      <c r="T104" s="214">
        <f>ROUND(('T1 MET'!U66/'T1 MET'!U68),$D$103)</f>
        <v>4.9000000000000004</v>
      </c>
      <c r="U104" s="214">
        <f>ROUND(('T1 MET'!V66/'T1 MET'!V68),$D$103)</f>
        <v>2.36</v>
      </c>
    </row>
    <row r="105" spans="1:21" s="205" customFormat="1" ht="15" customHeight="1" outlineLevel="1">
      <c r="A105" s="184"/>
      <c r="B105" s="185"/>
      <c r="C105" s="186" t="s">
        <v>46</v>
      </c>
      <c r="D105" s="190"/>
      <c r="E105" s="214">
        <f>ROUND('T1 MET'!C70,$D$103)</f>
        <v>3.27</v>
      </c>
      <c r="F105" s="214">
        <f>ROUND('T1 MET'!D70,$D$103)</f>
        <v>3.09</v>
      </c>
      <c r="G105" s="214">
        <f>ROUND('T1 MET'!E70,$D$103)</f>
        <v>2.92</v>
      </c>
      <c r="H105" s="214">
        <f>ROUND('T1 MET'!F70,$D$103)</f>
        <v>2.9</v>
      </c>
      <c r="I105" s="214">
        <f>ROUND('T1 MET'!G70,$D$103)</f>
        <v>2.63</v>
      </c>
      <c r="J105" s="214">
        <f>ROUND('T1 MET'!H70,$D$103)</f>
        <v>2.25</v>
      </c>
      <c r="K105" s="214">
        <f>ROUND('T1 MET'!I70,$D$103)</f>
        <v>2.17</v>
      </c>
      <c r="L105" s="214">
        <f>ROUND('T1 MET'!J70,$D$103)</f>
        <v>2.11</v>
      </c>
      <c r="M105" s="214">
        <f>ROUND('T1 MET'!K70,$D$103)</f>
        <v>2.2999999999999998</v>
      </c>
      <c r="N105" s="214">
        <f>ROUND('T1 MET'!L70,$D$103)</f>
        <v>2.16</v>
      </c>
      <c r="O105" s="214">
        <f>ROUND('T1 MET'!M70,$D$103)</f>
        <v>2.17</v>
      </c>
      <c r="P105" s="214">
        <f>ROUND('T1 MET'!N70,$D$103)</f>
        <v>2.46</v>
      </c>
      <c r="Q105" s="214">
        <f>ROUND('T1 MET'!O70,$D$103)</f>
        <v>2.5299999999999998</v>
      </c>
      <c r="R105" s="162"/>
      <c r="S105" s="214">
        <f>ROUND('T1 MET'!T70,$D$103)</f>
        <v>5.38</v>
      </c>
      <c r="T105" s="214">
        <f>ROUND('T1 MET'!U70,$D$103)</f>
        <v>4.9000000000000004</v>
      </c>
      <c r="U105" s="214">
        <f>ROUND('T1 MET'!V70,$D$103)</f>
        <v>2.36</v>
      </c>
    </row>
    <row r="106" spans="1:21" s="205" customFormat="1" ht="15" customHeight="1">
      <c r="A106" s="196" t="s">
        <v>67</v>
      </c>
      <c r="B106" s="179" t="s">
        <v>34</v>
      </c>
      <c r="C106" s="180" t="s">
        <v>68</v>
      </c>
      <c r="D106" s="190"/>
      <c r="E106" s="182" t="b">
        <f>'T1 MET'!C64='T1'!C64</f>
        <v>1</v>
      </c>
      <c r="F106" s="182" t="b">
        <f>'T1 MET'!D64='T1'!D64</f>
        <v>1</v>
      </c>
      <c r="G106" s="182" t="b">
        <f>'T1 MET'!E64='T1'!E64</f>
        <v>1</v>
      </c>
      <c r="H106" s="182" t="b">
        <f>'T1 MET'!F64='T1'!F64</f>
        <v>1</v>
      </c>
      <c r="I106" s="182" t="b">
        <f>'T1 MET'!G64='T1'!G64</f>
        <v>1</v>
      </c>
      <c r="J106" s="182" t="b">
        <f>'T1 MET'!H64='T1'!H64</f>
        <v>1</v>
      </c>
      <c r="K106" s="182" t="b">
        <f>'T1 MET'!I64='T1'!I64</f>
        <v>1</v>
      </c>
      <c r="L106" s="182" t="b">
        <f>'T1 MET'!J64='T1'!J64</f>
        <v>1</v>
      </c>
      <c r="M106" s="182" t="b">
        <f>'T1 MET'!K64='T1'!K64</f>
        <v>1</v>
      </c>
      <c r="N106" s="182" t="b">
        <f>'T1 MET'!L64='T1'!L64</f>
        <v>1</v>
      </c>
      <c r="O106" s="182" t="b">
        <f>'T1 MET'!M64='T1'!M64</f>
        <v>1</v>
      </c>
      <c r="P106" s="182" t="b">
        <f>'T1 MET'!N64='T1'!N64</f>
        <v>1</v>
      </c>
      <c r="Q106" s="182" t="b">
        <f>'T1 MET'!O64='T1'!O64</f>
        <v>1</v>
      </c>
      <c r="R106" s="162"/>
      <c r="S106" s="182" t="b">
        <f>'T1 MET'!T64='T1'!T64</f>
        <v>1</v>
      </c>
      <c r="T106" s="182" t="b">
        <f>'T1 MET'!U64='T1'!U64</f>
        <v>1</v>
      </c>
      <c r="U106" s="182" t="b">
        <f>'T1 MET'!V64='T1'!V64</f>
        <v>1</v>
      </c>
    </row>
    <row r="107" spans="1:21" s="205" customFormat="1" ht="15" customHeight="1" outlineLevel="1">
      <c r="A107" s="197"/>
      <c r="B107" s="185"/>
      <c r="C107" s="186" t="s">
        <v>69</v>
      </c>
      <c r="D107" s="190"/>
      <c r="E107" s="198">
        <f>'T1 MET'!C64</f>
        <v>2.8000000000000001E-2</v>
      </c>
      <c r="F107" s="198">
        <f>'T1 MET'!D64</f>
        <v>2.5999999999999999E-2</v>
      </c>
      <c r="G107" s="198">
        <f>'T1 MET'!E64</f>
        <v>1.4999999999999999E-2</v>
      </c>
      <c r="H107" s="198">
        <f>'T1 MET'!F64</f>
        <v>0</v>
      </c>
      <c r="I107" s="198">
        <f>'T1 MET'!G64</f>
        <v>7.0000000000000001E-3</v>
      </c>
      <c r="J107" s="198">
        <f>'T1 MET'!H64</f>
        <v>2.7E-2</v>
      </c>
      <c r="K107" s="198">
        <f>'T1 MET'!I64</f>
        <v>2.5000000000000001E-2</v>
      </c>
      <c r="L107" s="198">
        <f>'T1 MET'!J64</f>
        <v>1.7999999999999999E-2</v>
      </c>
      <c r="M107" s="198">
        <f>'T1 MET'!K64</f>
        <v>0.02</v>
      </c>
      <c r="N107" s="198">
        <f>'T1 MET'!L64</f>
        <v>0.02</v>
      </c>
      <c r="O107" s="198">
        <f>'T1 MET'!M64</f>
        <v>0.02</v>
      </c>
      <c r="P107" s="198">
        <f>'T1 MET'!N64</f>
        <v>6.1359439712091124E-2</v>
      </c>
      <c r="Q107" s="198">
        <f>'T1 MET'!O64</f>
        <v>8.5674714548986675E-3</v>
      </c>
      <c r="R107" s="162"/>
      <c r="S107" s="198">
        <f>'T1 MET'!T64</f>
        <v>8.9999999999999993E-3</v>
      </c>
      <c r="T107" s="198">
        <f>'T1 MET'!U64</f>
        <v>2.5999999999999999E-2</v>
      </c>
      <c r="U107" s="198">
        <f>'T1 MET'!V64</f>
        <v>9.0999999999999998E-2</v>
      </c>
    </row>
    <row r="108" spans="1:21" s="205" customFormat="1" ht="15" customHeight="1" outlineLevel="1">
      <c r="A108" s="197"/>
      <c r="B108" s="185"/>
      <c r="C108" s="186" t="s">
        <v>70</v>
      </c>
      <c r="D108" s="190"/>
      <c r="E108" s="198">
        <f>'T1'!C64</f>
        <v>2.8000000000000001E-2</v>
      </c>
      <c r="F108" s="198">
        <f>'T1'!D64</f>
        <v>2.5999999999999999E-2</v>
      </c>
      <c r="G108" s="198">
        <f>'T1'!E64</f>
        <v>1.4999999999999999E-2</v>
      </c>
      <c r="H108" s="198">
        <f>'T1'!F64</f>
        <v>0</v>
      </c>
      <c r="I108" s="198">
        <f>'T1'!G64</f>
        <v>7.0000000000000001E-3</v>
      </c>
      <c r="J108" s="198">
        <f>'T1'!H64</f>
        <v>2.7E-2</v>
      </c>
      <c r="K108" s="198">
        <f>'T1'!I64</f>
        <v>2.5000000000000001E-2</v>
      </c>
      <c r="L108" s="198">
        <f>'T1'!J64</f>
        <v>1.7999999999999999E-2</v>
      </c>
      <c r="M108" s="198">
        <f>'T1'!K64</f>
        <v>0.02</v>
      </c>
      <c r="N108" s="198">
        <f>'T1'!L64</f>
        <v>0.02</v>
      </c>
      <c r="O108" s="198">
        <f>'T1'!M64</f>
        <v>0.02</v>
      </c>
      <c r="P108" s="198">
        <f>'T1'!N64</f>
        <v>6.1359439712091124E-2</v>
      </c>
      <c r="Q108" s="198">
        <f>'T1'!O64</f>
        <v>8.5674714548986675E-3</v>
      </c>
      <c r="R108" s="162"/>
      <c r="S108" s="198">
        <f>'T1'!T64</f>
        <v>8.9999999999999993E-3</v>
      </c>
      <c r="T108" s="198">
        <f>'T1'!U64</f>
        <v>2.5999999999999999E-2</v>
      </c>
      <c r="U108" s="198">
        <f>'T1'!V64</f>
        <v>9.0999999999999998E-2</v>
      </c>
    </row>
    <row r="109" spans="1:21" s="205" customFormat="1" ht="15" customHeight="1">
      <c r="A109" s="196" t="s">
        <v>71</v>
      </c>
      <c r="B109" s="179" t="s">
        <v>38</v>
      </c>
      <c r="C109" s="180" t="s">
        <v>72</v>
      </c>
      <c r="D109" s="190"/>
      <c r="E109" s="182" t="b">
        <f>'T1 MET'!C65='T1'!C65</f>
        <v>1</v>
      </c>
      <c r="F109" s="182" t="b">
        <f>'T1 MET'!D65='T1'!D65</f>
        <v>1</v>
      </c>
      <c r="G109" s="182" t="b">
        <f>'T1 MET'!E65='T1'!E65</f>
        <v>1</v>
      </c>
      <c r="H109" s="182" t="b">
        <f>'T1 MET'!F65='T1'!F65</f>
        <v>1</v>
      </c>
      <c r="I109" s="182" t="b">
        <f>'T1 MET'!G65='T1'!G65</f>
        <v>1</v>
      </c>
      <c r="J109" s="182" t="b">
        <f>'T1 MET'!H65='T1'!H65</f>
        <v>1</v>
      </c>
      <c r="K109" s="182" t="b">
        <f>'T1 MET'!I65='T1'!I65</f>
        <v>1</v>
      </c>
      <c r="L109" s="182" t="b">
        <f>'T1 MET'!J65='T1'!J65</f>
        <v>1</v>
      </c>
      <c r="M109" s="182" t="b">
        <f>'T1 MET'!K65='T1'!K65</f>
        <v>1</v>
      </c>
      <c r="N109" s="182" t="b">
        <f>'T1 MET'!L65='T1'!L65</f>
        <v>1</v>
      </c>
      <c r="O109" s="182" t="b">
        <f>'T1 MET'!M65='T1'!M65</f>
        <v>1</v>
      </c>
      <c r="P109" s="182" t="b">
        <f>'T1 MET'!N65='T1'!N65</f>
        <v>1</v>
      </c>
      <c r="Q109" s="182" t="b">
        <f>'T1 MET'!O65='T1'!O65</f>
        <v>1</v>
      </c>
      <c r="R109" s="162"/>
      <c r="S109" s="182" t="b">
        <f>'T1 MET'!T65='T1'!T65</f>
        <v>1</v>
      </c>
      <c r="T109" s="182" t="b">
        <f>'T1 MET'!U65='T1'!U65</f>
        <v>1</v>
      </c>
      <c r="U109" s="182" t="b">
        <f>'T1 MET'!V65='T1'!V65</f>
        <v>1</v>
      </c>
    </row>
    <row r="110" spans="1:21" s="205" customFormat="1" ht="15" customHeight="1" outlineLevel="1">
      <c r="A110" s="199"/>
      <c r="B110" s="185"/>
      <c r="C110" s="186" t="s">
        <v>73</v>
      </c>
      <c r="D110" s="190"/>
      <c r="E110" s="214">
        <f>'T1 MET'!C65</f>
        <v>92.851020823042745</v>
      </c>
      <c r="F110" s="214">
        <f>'T1 MET'!D65</f>
        <v>95.265147364441859</v>
      </c>
      <c r="G110" s="214">
        <f>'T1 MET'!E65</f>
        <v>96.694124574908471</v>
      </c>
      <c r="H110" s="214">
        <f>'T1 MET'!F65</f>
        <v>96.694124574908471</v>
      </c>
      <c r="I110" s="214">
        <f>'T1 MET'!G65</f>
        <v>97.370983446932826</v>
      </c>
      <c r="J110" s="214">
        <f>'T1 MET'!H65</f>
        <v>100</v>
      </c>
      <c r="K110" s="214">
        <f>'T1 MET'!I65</f>
        <v>102.49999999999999</v>
      </c>
      <c r="L110" s="214">
        <f>'T1 MET'!J65</f>
        <v>104.34499999999998</v>
      </c>
      <c r="M110" s="214">
        <f>'T1 MET'!K65</f>
        <v>106.44304700754891</v>
      </c>
      <c r="N110" s="214">
        <f>'T1 MET'!L65</f>
        <v>108.5719079476999</v>
      </c>
      <c r="O110" s="214">
        <f>'T1 MET'!M65</f>
        <v>110.7433461066539</v>
      </c>
      <c r="P110" s="214">
        <f>'T1 MET'!N65</f>
        <v>118.73399586480322</v>
      </c>
      <c r="Q110" s="214">
        <f>'T1 MET'!O65</f>
        <v>119.75124598510098</v>
      </c>
      <c r="R110" s="162"/>
      <c r="S110" s="214">
        <f>'T1 MET'!T65</f>
        <v>105.28410499999997</v>
      </c>
      <c r="T110" s="214">
        <f>'T1 MET'!U65</f>
        <v>108.02149172999997</v>
      </c>
      <c r="U110" s="214">
        <f>'T1 MET'!V65</f>
        <v>117.85144747742996</v>
      </c>
    </row>
    <row r="111" spans="1:21" s="205" customFormat="1" ht="15" customHeight="1" outlineLevel="1">
      <c r="A111" s="199"/>
      <c r="B111" s="185"/>
      <c r="C111" s="186" t="s">
        <v>74</v>
      </c>
      <c r="D111" s="190"/>
      <c r="E111" s="214">
        <f>'T1'!C65</f>
        <v>92.851020823042745</v>
      </c>
      <c r="F111" s="214">
        <f>'T1'!D65</f>
        <v>95.265147364441859</v>
      </c>
      <c r="G111" s="214">
        <f>'T1'!E65</f>
        <v>96.694124574908471</v>
      </c>
      <c r="H111" s="214">
        <f>'T1'!F65</f>
        <v>96.694124574908471</v>
      </c>
      <c r="I111" s="214">
        <f>'T1'!G65</f>
        <v>97.370983446932826</v>
      </c>
      <c r="J111" s="214">
        <f>'T1'!H65</f>
        <v>100</v>
      </c>
      <c r="K111" s="214">
        <f>'T1'!I65</f>
        <v>102.49999999999999</v>
      </c>
      <c r="L111" s="214">
        <f>'T1'!J65</f>
        <v>104.34499999999998</v>
      </c>
      <c r="M111" s="214">
        <f>'T1'!K65</f>
        <v>106.44304700754891</v>
      </c>
      <c r="N111" s="214">
        <f>'T1'!L65</f>
        <v>108.5719079476999</v>
      </c>
      <c r="O111" s="214">
        <f>'T1'!M65</f>
        <v>110.7433461066539</v>
      </c>
      <c r="P111" s="214">
        <f>'T1'!N65</f>
        <v>118.73399586480322</v>
      </c>
      <c r="Q111" s="214">
        <f>'T1'!O65</f>
        <v>119.75124598510098</v>
      </c>
      <c r="R111" s="162"/>
      <c r="S111" s="214">
        <f>'T1'!T65</f>
        <v>105.28410499999997</v>
      </c>
      <c r="T111" s="214">
        <f>'T1'!U65</f>
        <v>108.02149172999997</v>
      </c>
      <c r="U111" s="214">
        <f>'T1'!V65</f>
        <v>117.85144747742996</v>
      </c>
    </row>
    <row r="112" spans="1:21" s="205" customFormat="1" ht="15" customHeight="1">
      <c r="A112" s="178" t="s">
        <v>75</v>
      </c>
      <c r="B112" s="179" t="s">
        <v>76</v>
      </c>
      <c r="C112" s="200" t="s">
        <v>77</v>
      </c>
      <c r="D112" s="181">
        <v>3</v>
      </c>
      <c r="E112" s="182" t="str">
        <f>IF('T1 MET'!C16&gt;0,(ROUND('T1 MET'!C41,$D$112)=ROUND('T1 MET'!C16/'T1 MET'!C39,$D$112)),"N/A")</f>
        <v>N/A</v>
      </c>
      <c r="F112" s="182" t="str">
        <f>IF('T1 MET'!D16&gt;0,(ROUND('T1 MET'!D41,$D$112)=ROUND('T1 MET'!D16/'T1 MET'!D39,$D$112)),"N/A")</f>
        <v>N/A</v>
      </c>
      <c r="G112" s="182" t="str">
        <f>IF('T1 MET'!E16&gt;0,(ROUND('T1 MET'!E41,$D$112)=ROUND('T1 MET'!E16/'T1 MET'!E39,$D$112)),"N/A")</f>
        <v>N/A</v>
      </c>
      <c r="H112" s="182" t="b">
        <f>IF('T1 MET'!F16&gt;0,(ROUND('T1 MET'!F41,$D$112)=ROUND('T1 MET'!F16/'T1 MET'!F39,$D$112)),"N/A")</f>
        <v>1</v>
      </c>
      <c r="I112" s="182" t="b">
        <f>IF('T1 MET'!G16&gt;0,(ROUND('T1 MET'!G41,$D$112)=ROUND('T1 MET'!G16/'T1 MET'!G39,$D$112)),"N/A")</f>
        <v>1</v>
      </c>
      <c r="J112" s="182" t="b">
        <f>IF('T1 MET'!H16&gt;0,(ROUND('T1 MET'!H41,$D$112)=ROUND('T1 MET'!H16/'T1 MET'!H39,$D$112)),"N/A")</f>
        <v>1</v>
      </c>
      <c r="K112" s="182" t="b">
        <f>IF('T1 MET'!I16&gt;0,(ROUND('T1 MET'!I41,$D$112)=ROUND('T1 MET'!I16/'T1 MET'!I39,$D$112)),"N/A")</f>
        <v>1</v>
      </c>
      <c r="L112" s="182" t="b">
        <f>IF('T1 MET'!J16&gt;0,(ROUND('T1 MET'!J41,$D$112)=ROUND('T1 MET'!J16/'T1 MET'!J39,$D$112)),"N/A")</f>
        <v>1</v>
      </c>
      <c r="M112" s="182" t="b">
        <f>IF('T1 MET'!K16&gt;0,(ROUND('T1 MET'!K41,$D$112)=ROUND('T1 MET'!K16/'T1 MET'!K39,$D$112)),"N/A")</f>
        <v>1</v>
      </c>
      <c r="N112" s="182" t="b">
        <f>IF('T1 MET'!L16&gt;0,(ROUND('T1 MET'!L41,$D$112)=ROUND('T1 MET'!L16/'T1 MET'!L39,$D$112)),"N/A")</f>
        <v>1</v>
      </c>
      <c r="O112" s="182" t="b">
        <f>IF('T1 MET'!M16&gt;0,(ROUND('T1 MET'!M41,$D$112)=ROUND('T1 MET'!M16/'T1 MET'!M39,$D$112)),"N/A")</f>
        <v>1</v>
      </c>
      <c r="P112" s="182" t="b">
        <f>IF('T1 MET'!N16&gt;0,(ROUND('T1 MET'!N41,$D$112)=ROUND('T1 MET'!N16/'T1 MET'!N39,$D$112)),"N/A")</f>
        <v>1</v>
      </c>
      <c r="Q112" s="182" t="b">
        <f>IF('T1 MET'!O16&gt;0,(ROUND('T1 MET'!O41,$D$112)=ROUND('T1 MET'!O16/'T1 MET'!O39,$D$112)),"N/A")</f>
        <v>1</v>
      </c>
      <c r="R112" s="162"/>
      <c r="S112" s="182" t="b">
        <f>IF('T1 MET'!T16&gt;0,(ROUND('T1 MET'!T41,$D$112)=ROUND('T1 MET'!T16/'T1 MET'!T39,$D$112)),"N/A")</f>
        <v>1</v>
      </c>
      <c r="T112" s="182" t="b">
        <f>IF('T1 MET'!U16&gt;0,(ROUND('T1 MET'!U41,$D$112)=ROUND('T1 MET'!U16/'T1 MET'!U39,$D$112)),"N/A")</f>
        <v>1</v>
      </c>
      <c r="U112" s="182" t="b">
        <f>IF('T1 MET'!V16&gt;0,(ROUND('T1 MET'!V41,$D$112)=ROUND('T1 MET'!V16/'T1 MET'!V39,$D$112)),"N/A")</f>
        <v>1</v>
      </c>
    </row>
    <row r="113" spans="1:21" s="205" customFormat="1" ht="15" customHeight="1" outlineLevel="1">
      <c r="A113" s="184"/>
      <c r="B113" s="185"/>
      <c r="C113" s="186" t="s">
        <v>78</v>
      </c>
      <c r="D113" s="190"/>
      <c r="E113" s="201" t="str">
        <f>IF('T1 MET'!C16&gt;0,(ROUND('T1 MET'!C41,$D$112)),"N/A")</f>
        <v>N/A</v>
      </c>
      <c r="F113" s="201" t="str">
        <f>IF('T1 MET'!D16&gt;0,(ROUND('T1 MET'!D41,$D$112)),"N/A")</f>
        <v>N/A</v>
      </c>
      <c r="G113" s="201" t="str">
        <f>IF('T1 MET'!E16&gt;0,(ROUND('T1 MET'!E41,$D$112)),"N/A")</f>
        <v>N/A</v>
      </c>
      <c r="H113" s="201">
        <f>IF('T1 MET'!F16&gt;0,(ROUND('T1 MET'!F41,$D$112)),"N/A")</f>
        <v>5.2999999999999999E-2</v>
      </c>
      <c r="I113" s="201">
        <f>IF('T1 MET'!G16&gt;0,(ROUND('T1 MET'!G41,$D$112)),"N/A")</f>
        <v>5.2999999999999999E-2</v>
      </c>
      <c r="J113" s="201">
        <f>IF('T1 MET'!H16&gt;0,(ROUND('T1 MET'!H41,$D$112)),"N/A")</f>
        <v>5.2999999999999999E-2</v>
      </c>
      <c r="K113" s="201">
        <f>IF('T1 MET'!I16&gt;0,(ROUND('T1 MET'!I41,$D$112)),"N/A")</f>
        <v>5.2999999999999999E-2</v>
      </c>
      <c r="L113" s="201">
        <f>IF('T1 MET'!J16&gt;0,(ROUND('T1 MET'!J41,$D$112)),"N/A")</f>
        <v>5.2999999999999999E-2</v>
      </c>
      <c r="M113" s="201">
        <f>IF('T1 MET'!K16&gt;0,(ROUND('T1 MET'!K41,$D$112)),"N/A")</f>
        <v>5.2999999999999999E-2</v>
      </c>
      <c r="N113" s="201">
        <f>IF('T1 MET'!L16&gt;0,(ROUND('T1 MET'!L41,$D$112)),"N/A")</f>
        <v>5.2999999999999999E-2</v>
      </c>
      <c r="O113" s="201">
        <f>IF('T1 MET'!M16&gt;0,(ROUND('T1 MET'!M41,$D$112)),"N/A")</f>
        <v>5.2999999999999999E-2</v>
      </c>
      <c r="P113" s="201">
        <f>IF('T1 MET'!N16&gt;0,(ROUND('T1 MET'!N41,$D$112)),"N/A")</f>
        <v>4.3999999999999997E-2</v>
      </c>
      <c r="Q113" s="201">
        <f>IF('T1 MET'!O16&gt;0,(ROUND('T1 MET'!O41,$D$112)),"N/A")</f>
        <v>4.3999999999999997E-2</v>
      </c>
      <c r="R113" s="162"/>
      <c r="S113" s="201">
        <f>IF('T1 MET'!T16&gt;0,(ROUND('T1 MET'!T41,$D$112)),"N/A")</f>
        <v>4.2999999999999997E-2</v>
      </c>
      <c r="T113" s="201">
        <f>IF('T1 MET'!U16&gt;0,(ROUND('T1 MET'!U41,$D$112)),"N/A")</f>
        <v>5.2999999999999999E-2</v>
      </c>
      <c r="U113" s="201">
        <f>IF('T1 MET'!V16&gt;0,(ROUND('T1 MET'!V41,$D$112)),"N/A")</f>
        <v>5.2999999999999999E-2</v>
      </c>
    </row>
    <row r="114" spans="1:21" s="205" customFormat="1" ht="15" customHeight="1" outlineLevel="1">
      <c r="A114" s="184"/>
      <c r="B114" s="185"/>
      <c r="C114" s="186" t="s">
        <v>79</v>
      </c>
      <c r="D114" s="190"/>
      <c r="E114" s="201" t="str">
        <f>IF('T1 MET'!C16&gt;0,ROUND('T1 MET'!C16/'T1 MET'!C39,$D$112),"N/A")</f>
        <v>N/A</v>
      </c>
      <c r="F114" s="201" t="str">
        <f>IF('T1 MET'!D16&gt;0,ROUND('T1 MET'!D16/'T1 MET'!D39,$D$112),"N/A")</f>
        <v>N/A</v>
      </c>
      <c r="G114" s="201" t="str">
        <f>IF('T1 MET'!E16&gt;0,ROUND('T1 MET'!E16/'T1 MET'!E39,$D$112),"N/A")</f>
        <v>N/A</v>
      </c>
      <c r="H114" s="201">
        <f>IF('T1 MET'!F16&gt;0,ROUND('T1 MET'!F16/'T1 MET'!F39,$D$112),"N/A")</f>
        <v>5.2999999999999999E-2</v>
      </c>
      <c r="I114" s="201">
        <f>IF('T1 MET'!G16&gt;0,ROUND('T1 MET'!G16/'T1 MET'!G39,$D$112),"N/A")</f>
        <v>5.2999999999999999E-2</v>
      </c>
      <c r="J114" s="201">
        <f>IF('T1 MET'!H16&gt;0,ROUND('T1 MET'!H16/'T1 MET'!H39,$D$112),"N/A")</f>
        <v>5.2999999999999999E-2</v>
      </c>
      <c r="K114" s="201">
        <f>IF('T1 MET'!I16&gt;0,ROUND('T1 MET'!I16/'T1 MET'!I39,$D$112),"N/A")</f>
        <v>5.2999999999999999E-2</v>
      </c>
      <c r="L114" s="201">
        <f>IF('T1 MET'!J16&gt;0,ROUND('T1 MET'!J16/'T1 MET'!J39,$D$112),"N/A")</f>
        <v>5.2999999999999999E-2</v>
      </c>
      <c r="M114" s="201">
        <f>IF('T1 MET'!K16&gt;0,ROUND('T1 MET'!K16/'T1 MET'!K39,$D$112),"N/A")</f>
        <v>5.2999999999999999E-2</v>
      </c>
      <c r="N114" s="201">
        <f>IF('T1 MET'!L16&gt;0,ROUND('T1 MET'!L16/'T1 MET'!L39,$D$112),"N/A")</f>
        <v>5.2999999999999999E-2</v>
      </c>
      <c r="O114" s="201">
        <f>IF('T1 MET'!M16&gt;0,ROUND('T1 MET'!M16/'T1 MET'!M39,$D$112),"N/A")</f>
        <v>5.2999999999999999E-2</v>
      </c>
      <c r="P114" s="201">
        <f>IF('T1 MET'!N16&gt;0,ROUND('T1 MET'!N16/'T1 MET'!N39,$D$112),"N/A")</f>
        <v>4.3999999999999997E-2</v>
      </c>
      <c r="Q114" s="201">
        <f>IF('T1 MET'!O16&gt;0,ROUND('T1 MET'!O16/'T1 MET'!O39,$D$112),"N/A")</f>
        <v>4.3999999999999997E-2</v>
      </c>
      <c r="R114" s="162"/>
      <c r="S114" s="201">
        <f>IF('T1 MET'!T16&gt;0,ROUND('T1 MET'!T16/'T1 MET'!T39,$D$112),"N/A")</f>
        <v>4.2999999999999997E-2</v>
      </c>
      <c r="T114" s="201">
        <f>IF('T1 MET'!U16&gt;0,ROUND('T1 MET'!U16/'T1 MET'!U39,$D$112),"N/A")</f>
        <v>5.2999999999999999E-2</v>
      </c>
      <c r="U114" s="201">
        <f>IF('T1 MET'!V16&gt;0,ROUND('T1 MET'!V16/'T1 MET'!V39,$D$112),"N/A")</f>
        <v>5.2999999999999999E-2</v>
      </c>
    </row>
    <row r="115" spans="1:21" s="205" customFormat="1" ht="15" customHeight="1">
      <c r="A115" s="178" t="s">
        <v>80</v>
      </c>
      <c r="B115" s="179" t="s">
        <v>81</v>
      </c>
      <c r="C115" s="202" t="s">
        <v>82</v>
      </c>
      <c r="D115" s="181">
        <v>2</v>
      </c>
      <c r="E115" s="182" t="str">
        <f>IF('T1 MET'!C16&gt;0,IF(ISERROR(ROUND(('T1 MET'!C16-('T1 MET'!C39*'T1 MET'!C43))/(('T1 MET'!C39*'T1 MET'!C42)-('T1 MET'!C39*'T1 MET'!C43)),$D$115)),"N/A",ROUND(('T1 MET'!C16-('T1 MET'!C39*'T1 MET'!C43))/(('T1 MET'!C39*'T1 MET'!C42)-('T1 MET'!C39*'T1 MET'!C43)),$D$115))=ROUND('T1 MET'!C44,$D$115),"N/A")</f>
        <v>N/A</v>
      </c>
      <c r="F115" s="182" t="str">
        <f>IF('T1 MET'!D16&gt;0,IF(ISERROR(ROUND(('T1 MET'!D16-('T1 MET'!D39*'T1 MET'!D43))/(('T1 MET'!D39*'T1 MET'!D42)-('T1 MET'!D39*'T1 MET'!D43)),$D$115)),"N/A",ROUND(('T1 MET'!D16-('T1 MET'!D39*'T1 MET'!D43))/(('T1 MET'!D39*'T1 MET'!D42)-('T1 MET'!D39*'T1 MET'!D43)),$D$115))=ROUND('T1 MET'!D44,$D$115),"N/A")</f>
        <v>N/A</v>
      </c>
      <c r="G115" s="182" t="str">
        <f>IF('T1 MET'!E16&gt;0,IF(ISERROR(ROUND(('T1 MET'!E16-('T1 MET'!E39*'T1 MET'!E43))/(('T1 MET'!E39*'T1 MET'!E42)-('T1 MET'!E39*'T1 MET'!E43)),$D$115)),"N/A",ROUND(('T1 MET'!E16-('T1 MET'!E39*'T1 MET'!E43))/(('T1 MET'!E39*'T1 MET'!E42)-('T1 MET'!E39*'T1 MET'!E43)),$D$115))=ROUND('T1 MET'!E44,$D$115),"N/A")</f>
        <v>N/A</v>
      </c>
      <c r="H115" s="182" t="b">
        <f>IF('T1 MET'!F16&gt;0,IF(ISERROR(ROUND(('T1 MET'!F16-('T1 MET'!F39*'T1 MET'!F43))/(('T1 MET'!F39*'T1 MET'!F42)-('T1 MET'!F39*'T1 MET'!F43)),$D$115)),"N/A",ROUND(('T1 MET'!F16-('T1 MET'!F39*'T1 MET'!F43))/(('T1 MET'!F39*'T1 MET'!F42)-('T1 MET'!F39*'T1 MET'!F43)),$D$115))=ROUND('T1 MET'!F44,$D$115),"N/A")</f>
        <v>1</v>
      </c>
      <c r="I115" s="182" t="b">
        <f>IF('T1 MET'!G16&gt;0,IF(ISERROR(ROUND(('T1 MET'!G16-('T1 MET'!G39*'T1 MET'!G43))/(('T1 MET'!G39*'T1 MET'!G42)-('T1 MET'!G39*'T1 MET'!G43)),$D$115)),"N/A",ROUND(('T1 MET'!G16-('T1 MET'!G39*'T1 MET'!G43))/(('T1 MET'!G39*'T1 MET'!G42)-('T1 MET'!G39*'T1 MET'!G43)),$D$115))=ROUND('T1 MET'!G44,$D$115),"N/A")</f>
        <v>1</v>
      </c>
      <c r="J115" s="182" t="b">
        <f>IF('T1 MET'!H16&gt;0,IF(ISERROR(ROUND(('T1 MET'!H16-('T1 MET'!H39*'T1 MET'!H43))/(('T1 MET'!H39*'T1 MET'!H42)-('T1 MET'!H39*'T1 MET'!H43)),$D$115)),"N/A",ROUND(('T1 MET'!H16-('T1 MET'!H39*'T1 MET'!H43))/(('T1 MET'!H39*'T1 MET'!H42)-('T1 MET'!H39*'T1 MET'!H43)),$D$115))=ROUND('T1 MET'!H44,$D$115),"N/A")</f>
        <v>1</v>
      </c>
      <c r="K115" s="182" t="b">
        <f>IF('T1 MET'!I16&gt;0,IF(ISERROR(ROUND(('T1 MET'!I16-('T1 MET'!I39*'T1 MET'!I43))/(('T1 MET'!I39*'T1 MET'!I42)-('T1 MET'!I39*'T1 MET'!I43)),$D$115)),"N/A",ROUND(('T1 MET'!I16-('T1 MET'!I39*'T1 MET'!I43))/(('T1 MET'!I39*'T1 MET'!I42)-('T1 MET'!I39*'T1 MET'!I43)),$D$115))=ROUND('T1 MET'!I44,$D$115),"N/A")</f>
        <v>1</v>
      </c>
      <c r="L115" s="182" t="b">
        <f>IF('T1 MET'!J16&gt;0,IF(ISERROR(ROUND(('T1 MET'!J16-('T1 MET'!J39*'T1 MET'!J43))/(('T1 MET'!J39*'T1 MET'!J42)-('T1 MET'!J39*'T1 MET'!J43)),$D$115)),"N/A",ROUND(('T1 MET'!J16-('T1 MET'!J39*'T1 MET'!J43))/(('T1 MET'!J39*'T1 MET'!J42)-('T1 MET'!J39*'T1 MET'!J43)),$D$115))=ROUND('T1 MET'!J44,$D$115),"N/A")</f>
        <v>1</v>
      </c>
      <c r="M115" s="182" t="b">
        <f>IF('T1 MET'!K16&gt;0,IF(ISERROR(ROUND(('T1 MET'!K16-('T1 MET'!K39*'T1 MET'!K43))/(('T1 MET'!K39*'T1 MET'!K42)-('T1 MET'!K39*'T1 MET'!K43)),$D$115)),"N/A",ROUND(('T1 MET'!K16-('T1 MET'!K39*'T1 MET'!K43))/(('T1 MET'!K39*'T1 MET'!K42)-('T1 MET'!K39*'T1 MET'!K43)),$D$115))=ROUND('T1 MET'!K44,$D$115),"N/A")</f>
        <v>1</v>
      </c>
      <c r="N115" s="182" t="b">
        <f>IF('T1 MET'!L16&gt;0,IF(ISERROR(ROUND(('T1 MET'!L16-('T1 MET'!L39*'T1 MET'!L43))/(('T1 MET'!L39*'T1 MET'!L42)-('T1 MET'!L39*'T1 MET'!L43)),$D$115)),"N/A",ROUND(('T1 MET'!L16-('T1 MET'!L39*'T1 MET'!L43))/(('T1 MET'!L39*'T1 MET'!L42)-('T1 MET'!L39*'T1 MET'!L43)),$D$115))=ROUND('T1 MET'!L44,$D$115),"N/A")</f>
        <v>1</v>
      </c>
      <c r="O115" s="182" t="b">
        <f>IF('T1 MET'!M16&gt;0,IF(ISERROR(ROUND(('T1 MET'!M16-('T1 MET'!M39*'T1 MET'!M43))/(('T1 MET'!M39*'T1 MET'!M42)-('T1 MET'!M39*'T1 MET'!M43)),$D$115)),"N/A",ROUND(('T1 MET'!M16-('T1 MET'!M39*'T1 MET'!M43))/(('T1 MET'!M39*'T1 MET'!M42)-('T1 MET'!M39*'T1 MET'!M43)),$D$115))=ROUND('T1 MET'!M44,$D$115),"N/A")</f>
        <v>1</v>
      </c>
      <c r="P115" s="182" t="b">
        <f>IF('T1 MET'!N16&gt;0,IF(ISERROR(ROUND(('T1 MET'!N16-('T1 MET'!N39*'T1 MET'!N43))/(('T1 MET'!N39*'T1 MET'!N42)-('T1 MET'!N39*'T1 MET'!N43)),$D$115)),"N/A",ROUND(('T1 MET'!N16-('T1 MET'!N39*'T1 MET'!N43))/(('T1 MET'!N39*'T1 MET'!N42)-('T1 MET'!N39*'T1 MET'!N43)),$D$115))=ROUND('T1 MET'!N44,$D$115),"N/A")</f>
        <v>0</v>
      </c>
      <c r="Q115" s="182" t="b">
        <f>IF('T1 MET'!O16&gt;0,IF(ISERROR(ROUND(('T1 MET'!O16-('T1 MET'!O39*'T1 MET'!O43))/(('T1 MET'!O39*'T1 MET'!O42)-('T1 MET'!O39*'T1 MET'!O43)),$D$115)),"N/A",ROUND(('T1 MET'!O16-('T1 MET'!O39*'T1 MET'!O43))/(('T1 MET'!O39*'T1 MET'!O42)-('T1 MET'!O39*'T1 MET'!O43)),$D$115))=ROUND('T1 MET'!O44,$D$115),"N/A")</f>
        <v>0</v>
      </c>
      <c r="R115" s="162"/>
      <c r="S115" s="182" t="b">
        <f>IF('T1 MET'!T16&gt;0,IF(ISERROR(ROUND(('T1 MET'!T16-('T1 MET'!T39*'T1 MET'!T43))/(('T1 MET'!T39*'T1 MET'!T42)-('T1 MET'!T39*'T1 MET'!T43)),$D$115)),"N/A",ROUND(('T1 MET'!T16-('T1 MET'!T39*'T1 MET'!T43))/(('T1 MET'!T39*'T1 MET'!T42)-('T1 MET'!T39*'T1 MET'!T43)),$D$115))=ROUND('T1 MET'!T44,$D$115),"N/A")</f>
        <v>0</v>
      </c>
      <c r="T115" s="182" t="b">
        <f>IF('T1 MET'!U16&gt;0,IF(ISERROR(ROUND(('T1 MET'!U16-('T1 MET'!U39*'T1 MET'!U43))/(('T1 MET'!U39*'T1 MET'!U42)-('T1 MET'!U39*'T1 MET'!U43)),$D$115)),"N/A",ROUND(('T1 MET'!U16-('T1 MET'!U39*'T1 MET'!U43))/(('T1 MET'!U39*'T1 MET'!U42)-('T1 MET'!U39*'T1 MET'!U43)),$D$115))=ROUND('T1 MET'!U44,$D$115),"N/A")</f>
        <v>1</v>
      </c>
      <c r="U115" s="182" t="b">
        <f>IF('T1 MET'!V16&gt;0,IF(ISERROR(ROUND(('T1 MET'!V16-('T1 MET'!V39*'T1 MET'!V43))/(('T1 MET'!V39*'T1 MET'!V42)-('T1 MET'!V39*'T1 MET'!V43)),$D$115)),"N/A",ROUND(('T1 MET'!V16-('T1 MET'!V39*'T1 MET'!V43))/(('T1 MET'!V39*'T1 MET'!V42)-('T1 MET'!V39*'T1 MET'!V43)),$D$115))=ROUND('T1 MET'!V44,$D$115),"N/A")</f>
        <v>1</v>
      </c>
    </row>
    <row r="116" spans="1:21" s="205" customFormat="1" ht="15" customHeight="1" outlineLevel="1">
      <c r="A116" s="184"/>
      <c r="B116" s="185"/>
      <c r="C116" s="203" t="s">
        <v>83</v>
      </c>
      <c r="D116" s="190"/>
      <c r="E116" s="204" t="str">
        <f>IF(ISERROR(ROUND(('T1 MET'!C16-('T1 MET'!C39*'T1 MET'!C43))/(('T1 MET'!C39*'T1 MET'!C42)-('T1 MET'!C39*'T1 MET'!C43)),$D$115)),"N/A",ROUND(('T1 MET'!C16-('T1 MET'!C39*'T1 MET'!C43))/(('T1 MET'!C39*'T1 MET'!C42)-('T1 MET'!C39*'T1 MET'!C43)),$D$115))</f>
        <v>N/A</v>
      </c>
      <c r="F116" s="204" t="str">
        <f>IF(ISERROR(ROUND(('T1 MET'!D16-('T1 MET'!D39*'T1 MET'!D43))/(('T1 MET'!D39*'T1 MET'!D42)-('T1 MET'!D39*'T1 MET'!D43)),$D$115)),"N/A",ROUND(('T1 MET'!D16-('T1 MET'!D39*'T1 MET'!D43))/(('T1 MET'!D39*'T1 MET'!D42)-('T1 MET'!D39*'T1 MET'!D43)),$D$115))</f>
        <v>N/A</v>
      </c>
      <c r="G116" s="204" t="str">
        <f>IF(ISERROR(ROUND(('T1 MET'!E16-('T1 MET'!E39*'T1 MET'!E43))/(('T1 MET'!E39*'T1 MET'!E42)-('T1 MET'!E39*'T1 MET'!E43)),$D$115)),"N/A",ROUND(('T1 MET'!E16-('T1 MET'!E39*'T1 MET'!E43))/(('T1 MET'!E39*'T1 MET'!E42)-('T1 MET'!E39*'T1 MET'!E43)),$D$115))</f>
        <v>N/A</v>
      </c>
      <c r="H116" s="204">
        <f>IF(ISERROR(ROUND(('T1 MET'!F16-('T1 MET'!F39*'T1 MET'!F43))/(('T1 MET'!F39*'T1 MET'!F42)-('T1 MET'!F39*'T1 MET'!F43)),$D$115)),"N/A",ROUND(('T1 MET'!F16-('T1 MET'!F39*'T1 MET'!F43))/(('T1 MET'!F39*'T1 MET'!F42)-('T1 MET'!F39*'T1 MET'!F43)),$D$115))</f>
        <v>1</v>
      </c>
      <c r="I116" s="204">
        <f>IF(ISERROR(ROUND(('T1 MET'!G16-('T1 MET'!G39*'T1 MET'!G43))/(('T1 MET'!G39*'T1 MET'!G42)-('T1 MET'!G39*'T1 MET'!G43)),$D$115)),"N/A",ROUND(('T1 MET'!G16-('T1 MET'!G39*'T1 MET'!G43))/(('T1 MET'!G39*'T1 MET'!G42)-('T1 MET'!G39*'T1 MET'!G43)),$D$115))</f>
        <v>1</v>
      </c>
      <c r="J116" s="204">
        <f>IF(ISERROR(ROUND(('T1 MET'!H16-('T1 MET'!H39*'T1 MET'!H43))/(('T1 MET'!H39*'T1 MET'!H42)-('T1 MET'!H39*'T1 MET'!H43)),$D$115)),"N/A",ROUND(('T1 MET'!H16-('T1 MET'!H39*'T1 MET'!H43))/(('T1 MET'!H39*'T1 MET'!H42)-('T1 MET'!H39*'T1 MET'!H43)),$D$115))</f>
        <v>1</v>
      </c>
      <c r="K116" s="204">
        <f>IF(ISERROR(ROUND(('T1 MET'!I16-('T1 MET'!I39*'T1 MET'!I43))/(('T1 MET'!I39*'T1 MET'!I42)-('T1 MET'!I39*'T1 MET'!I43)),$D$115)),"N/A",ROUND(('T1 MET'!I16-('T1 MET'!I39*'T1 MET'!I43))/(('T1 MET'!I39*'T1 MET'!I42)-('T1 MET'!I39*'T1 MET'!I43)),$D$115))</f>
        <v>1</v>
      </c>
      <c r="L116" s="204">
        <f>IF(ISERROR(ROUND(('T1 MET'!J16-('T1 MET'!J39*'T1 MET'!J43))/(('T1 MET'!J39*'T1 MET'!J42)-('T1 MET'!J39*'T1 MET'!J43)),$D$115)),"N/A",ROUND(('T1 MET'!J16-('T1 MET'!J39*'T1 MET'!J43))/(('T1 MET'!J39*'T1 MET'!J42)-('T1 MET'!J39*'T1 MET'!J43)),$D$115))</f>
        <v>1</v>
      </c>
      <c r="M116" s="204">
        <f>IF(ISERROR(ROUND(('T1 MET'!K16-('T1 MET'!K39*'T1 MET'!K43))/(('T1 MET'!K39*'T1 MET'!K42)-('T1 MET'!K39*'T1 MET'!K43)),$D$115)),"N/A",ROUND(('T1 MET'!K16-('T1 MET'!K39*'T1 MET'!K43))/(('T1 MET'!K39*'T1 MET'!K42)-('T1 MET'!K39*'T1 MET'!K43)),$D$115))</f>
        <v>1</v>
      </c>
      <c r="N116" s="204">
        <f>IF(ISERROR(ROUND(('T1 MET'!L16-('T1 MET'!L39*'T1 MET'!L43))/(('T1 MET'!L39*'T1 MET'!L42)-('T1 MET'!L39*'T1 MET'!L43)),$D$115)),"N/A",ROUND(('T1 MET'!L16-('T1 MET'!L39*'T1 MET'!L43))/(('T1 MET'!L39*'T1 MET'!L42)-('T1 MET'!L39*'T1 MET'!L43)),$D$115))</f>
        <v>1</v>
      </c>
      <c r="O116" s="204">
        <f>IF(ISERROR(ROUND(('T1 MET'!M16-('T1 MET'!M39*'T1 MET'!M43))/(('T1 MET'!M39*'T1 MET'!M42)-('T1 MET'!M39*'T1 MET'!M43)),$D$115)),"N/A",ROUND(('T1 MET'!M16-('T1 MET'!M39*'T1 MET'!M43))/(('T1 MET'!M39*'T1 MET'!M42)-('T1 MET'!M39*'T1 MET'!M43)),$D$115))</f>
        <v>1</v>
      </c>
      <c r="P116" s="204" t="str">
        <f>IF(ISERROR(ROUND(('T1 MET'!N16-('T1 MET'!N39*'T1 MET'!N43))/(('T1 MET'!N39*'T1 MET'!N42)-('T1 MET'!N39*'T1 MET'!N43)),$D$115)),"N/A",ROUND(('T1 MET'!N16-('T1 MET'!N39*'T1 MET'!N43))/(('T1 MET'!N39*'T1 MET'!N42)-('T1 MET'!N39*'T1 MET'!N43)),$D$115))</f>
        <v>N/A</v>
      </c>
      <c r="Q116" s="204" t="str">
        <f>IF(ISERROR(ROUND(('T1 MET'!O16-('T1 MET'!O39*'T1 MET'!O43))/(('T1 MET'!O39*'T1 MET'!O42)-('T1 MET'!O39*'T1 MET'!O43)),$D$115)),"N/A",ROUND(('T1 MET'!O16-('T1 MET'!O39*'T1 MET'!O43))/(('T1 MET'!O39*'T1 MET'!O42)-('T1 MET'!O39*'T1 MET'!O43)),$D$115))</f>
        <v>N/A</v>
      </c>
      <c r="R116" s="162"/>
      <c r="S116" s="204">
        <f>IF(ISERROR(ROUND(('T1 MET'!T16-('T1 MET'!T39*'T1 MET'!T43))/(('T1 MET'!T39*'T1 MET'!T42)-('T1 MET'!T39*'T1 MET'!T43)),$D$115)),"N/A",ROUND(('T1 MET'!T16-('T1 MET'!T39*'T1 MET'!T43))/(('T1 MET'!T39*'T1 MET'!T42)-('T1 MET'!T39*'T1 MET'!T43)),$D$115))</f>
        <v>0.81</v>
      </c>
      <c r="T116" s="204">
        <f>IF(ISERROR(ROUND(('T1 MET'!U16-('T1 MET'!U39*'T1 MET'!U43))/(('T1 MET'!U39*'T1 MET'!U42)-('T1 MET'!U39*'T1 MET'!U43)),$D$115)),"N/A",ROUND(('T1 MET'!U16-('T1 MET'!U39*'T1 MET'!U43))/(('T1 MET'!U39*'T1 MET'!U42)-('T1 MET'!U39*'T1 MET'!U43)),$D$115))</f>
        <v>1</v>
      </c>
      <c r="U116" s="204">
        <f>IF(ISERROR(ROUND(('T1 MET'!V16-('T1 MET'!V39*'T1 MET'!V43))/(('T1 MET'!V39*'T1 MET'!V42)-('T1 MET'!V39*'T1 MET'!V43)),$D$115)),"N/A",ROUND(('T1 MET'!V16-('T1 MET'!V39*'T1 MET'!V43))/(('T1 MET'!V39*'T1 MET'!V42)-('T1 MET'!V39*'T1 MET'!V43)),$D$115))</f>
        <v>1</v>
      </c>
    </row>
    <row r="117" spans="1:21" s="205" customFormat="1" ht="15" customHeight="1" outlineLevel="1">
      <c r="A117" s="184"/>
      <c r="B117" s="185"/>
      <c r="C117" s="203" t="s">
        <v>84</v>
      </c>
      <c r="D117" s="190"/>
      <c r="E117" s="216" t="str">
        <f>IF('T1 MET'!C16&gt;0,ROUND('T1 MET'!C44,$D$115),"N/A")</f>
        <v>N/A</v>
      </c>
      <c r="F117" s="216" t="str">
        <f>IF('T1 MET'!D16&gt;0,ROUND('T1 MET'!D44,$D$115),"N/A")</f>
        <v>N/A</v>
      </c>
      <c r="G117" s="216" t="str">
        <f>IF('T1 MET'!E16&gt;0,ROUND('T1 MET'!E44,$D$115),"N/A")</f>
        <v>N/A</v>
      </c>
      <c r="H117" s="216">
        <f>IF('T1 MET'!F16&gt;0,ROUND('T1 MET'!F44,$D$115),"N/A")</f>
        <v>1</v>
      </c>
      <c r="I117" s="216">
        <f>IF('T1 MET'!G16&gt;0,ROUND('T1 MET'!G44,$D$115),"N/A")</f>
        <v>1</v>
      </c>
      <c r="J117" s="216">
        <f>IF('T1 MET'!H16&gt;0,ROUND('T1 MET'!H44,$D$115),"N/A")</f>
        <v>1</v>
      </c>
      <c r="K117" s="216">
        <f>IF('T1 MET'!I16&gt;0,ROUND('T1 MET'!I44,$D$115),"N/A")</f>
        <v>1</v>
      </c>
      <c r="L117" s="216">
        <f>IF('T1 MET'!J16&gt;0,ROUND('T1 MET'!J44,$D$115),"N/A")</f>
        <v>1</v>
      </c>
      <c r="M117" s="216">
        <f>IF('T1 MET'!K16&gt;0,ROUND('T1 MET'!K44,$D$115),"N/A")</f>
        <v>1</v>
      </c>
      <c r="N117" s="216">
        <f>IF('T1 MET'!L16&gt;0,ROUND('T1 MET'!L44,$D$115),"N/A")</f>
        <v>1</v>
      </c>
      <c r="O117" s="216">
        <f>IF('T1 MET'!M16&gt;0,ROUND('T1 MET'!M44,$D$115),"N/A")</f>
        <v>1</v>
      </c>
      <c r="P117" s="216">
        <f>IF('T1 MET'!N16&gt;0,ROUND('T1 MET'!N44,$D$115),"N/A")</f>
        <v>1</v>
      </c>
      <c r="Q117" s="216">
        <f>IF('T1 MET'!O16&gt;0,ROUND('T1 MET'!O44,$D$115),"N/A")</f>
        <v>1</v>
      </c>
      <c r="R117" s="162"/>
      <c r="S117" s="216">
        <f>IF('T1 MET'!T16&gt;0,ROUND('T1 MET'!T44,$D$115),"N/A")</f>
        <v>1</v>
      </c>
      <c r="T117" s="216">
        <f>IF('T1 MET'!U16&gt;0,ROUND('T1 MET'!U44,$D$115),"N/A")</f>
        <v>1</v>
      </c>
      <c r="U117" s="216">
        <f>IF('T1 MET'!V16&gt;0,ROUND('T1 MET'!V44,$D$115),"N/A")</f>
        <v>1</v>
      </c>
    </row>
    <row r="118" spans="1:21" s="205" customFormat="1" ht="15" customHeight="1">
      <c r="A118" s="178" t="s">
        <v>85</v>
      </c>
      <c r="B118" s="179" t="s">
        <v>86</v>
      </c>
      <c r="C118" s="180" t="s">
        <v>87</v>
      </c>
      <c r="D118" s="181">
        <v>3</v>
      </c>
      <c r="E118" s="182" t="b">
        <f>ROUND(SUM('T1 MET'!C36:C38),$D$118)=ROUND('T1 MET'!C39,$D$118)</f>
        <v>1</v>
      </c>
      <c r="F118" s="182" t="b">
        <f>ROUND(SUM('T1 MET'!D36:D38),$D$118)=ROUND('T1 MET'!D39,$D$118)</f>
        <v>1</v>
      </c>
      <c r="G118" s="182" t="b">
        <f>ROUND(SUM('T1 MET'!E36:E38),$D$118)=ROUND('T1 MET'!E39,$D$118)</f>
        <v>1</v>
      </c>
      <c r="H118" s="182" t="b">
        <f>ROUND(SUM('T1 MET'!F36:F38),$D$118)=ROUND('T1 MET'!F39,$D$118)</f>
        <v>1</v>
      </c>
      <c r="I118" s="182" t="b">
        <f>ROUND(SUM('T1 MET'!G36:G38),$D$118)=ROUND('T1 MET'!G39,$D$118)</f>
        <v>1</v>
      </c>
      <c r="J118" s="182" t="b">
        <f>ROUND(SUM('T1 MET'!H36:H38),$D$118)=ROUND('T1 MET'!H39,$D$118)</f>
        <v>1</v>
      </c>
      <c r="K118" s="182" t="b">
        <f>ROUND(SUM('T1 MET'!I36:I38),$D$118)=ROUND('T1 MET'!I39,$D$118)</f>
        <v>1</v>
      </c>
      <c r="L118" s="182" t="b">
        <f>ROUND(SUM('T1 MET'!J36:J38),$D$118)=ROUND('T1 MET'!J39,$D$118)</f>
        <v>1</v>
      </c>
      <c r="M118" s="182" t="b">
        <f>ROUND(SUM('T1 MET'!K36:K38),$D$118)=ROUND('T1 MET'!K39,$D$118)</f>
        <v>1</v>
      </c>
      <c r="N118" s="182" t="b">
        <f>ROUND(SUM('T1 MET'!L36:L38),$D$118)=ROUND('T1 MET'!L39,$D$118)</f>
        <v>1</v>
      </c>
      <c r="O118" s="182" t="b">
        <f>ROUND(SUM('T1 MET'!M36:M38),$D$118)=ROUND('T1 MET'!M39,$D$118)</f>
        <v>1</v>
      </c>
      <c r="P118" s="182" t="b">
        <f>ROUND(SUM('T1 MET'!N36:N38),$D$118)=ROUND('T1 MET'!N39,$D$118)</f>
        <v>1</v>
      </c>
      <c r="Q118" s="182" t="b">
        <f>ROUND(SUM('T1 MET'!O36:O38),$D$118)=ROUND('T1 MET'!O39,$D$118)</f>
        <v>1</v>
      </c>
      <c r="R118" s="162"/>
      <c r="S118" s="182" t="b">
        <f>ROUND(SUM('T1 MET'!T36:T38),$D$118)=ROUND('T1 MET'!T39,$D$118)</f>
        <v>1</v>
      </c>
      <c r="T118" s="182" t="b">
        <f>ROUND(SUM('T1 MET'!U36:U38),$D$118)=ROUND('T1 MET'!U39,$D$118)</f>
        <v>1</v>
      </c>
      <c r="U118" s="182" t="b">
        <f>ROUND(SUM('T1 MET'!V36:V38),$D$118)=ROUND('T1 MET'!V39,$D$118)</f>
        <v>1</v>
      </c>
    </row>
    <row r="119" spans="1:21" s="205" customFormat="1" ht="15" customHeight="1" outlineLevel="1">
      <c r="A119" s="184"/>
      <c r="B119" s="185"/>
      <c r="C119" s="186" t="s">
        <v>88</v>
      </c>
      <c r="D119" s="190"/>
      <c r="E119" s="860">
        <f>ROUND(SUM('T1 MET'!C36:C38),$D$118)</f>
        <v>0</v>
      </c>
      <c r="F119" s="860">
        <f>ROUND(SUM('T1 MET'!D36:D38),$D$118)</f>
        <v>0</v>
      </c>
      <c r="G119" s="860">
        <f>ROUND(SUM('T1 MET'!E36:E38),$D$118)</f>
        <v>0</v>
      </c>
      <c r="H119" s="860">
        <f>ROUND(SUM('T1 MET'!F36:F38),$D$118)</f>
        <v>39505</v>
      </c>
      <c r="I119" s="860">
        <f>ROUND(SUM('T1 MET'!G36:G38),$D$118)</f>
        <v>39505</v>
      </c>
      <c r="J119" s="860">
        <f>ROUND(SUM('T1 MET'!H36:H38),$D$118)</f>
        <v>39505</v>
      </c>
      <c r="K119" s="860">
        <f>ROUND(SUM('T1 MET'!I36:I38),$D$118)</f>
        <v>39505</v>
      </c>
      <c r="L119" s="860">
        <f>ROUND(SUM('T1 MET'!J36:J38),$D$118)</f>
        <v>39505</v>
      </c>
      <c r="M119" s="860">
        <f>ROUND(SUM('T1 MET'!K36:K38),$D$118)</f>
        <v>37554.786999999997</v>
      </c>
      <c r="N119" s="860">
        <f>ROUND(SUM('T1 MET'!L36:L38),$D$118)</f>
        <v>37554.786999999997</v>
      </c>
      <c r="O119" s="860">
        <f>ROUND(SUM('T1 MET'!M36:M38),$D$118)</f>
        <v>37554.786999999997</v>
      </c>
      <c r="P119" s="860">
        <f>ROUND(SUM('T1 MET'!N36:N38),$D$118)</f>
        <v>76654.933999999994</v>
      </c>
      <c r="Q119" s="860">
        <f>ROUND(SUM('T1 MET'!O36:O38),$D$118)</f>
        <v>80280.373000000007</v>
      </c>
      <c r="R119" s="162"/>
      <c r="S119" s="860">
        <f>ROUND(SUM('T1 MET'!T36:T38),$D$118)</f>
        <v>46394.733999999997</v>
      </c>
      <c r="T119" s="860">
        <f>ROUND(SUM('T1 MET'!U36:U38),$D$118)</f>
        <v>48900</v>
      </c>
      <c r="U119" s="860">
        <f>ROUND(SUM('T1 MET'!V36:V38),$D$118)</f>
        <v>57624.423000000003</v>
      </c>
    </row>
    <row r="120" spans="1:21" s="205" customFormat="1" ht="15" customHeight="1" outlineLevel="1">
      <c r="A120" s="184"/>
      <c r="B120" s="185"/>
      <c r="C120" s="186" t="s">
        <v>89</v>
      </c>
      <c r="D120" s="190"/>
      <c r="E120" s="860">
        <f>ROUND('T1 MET'!C39,$D$118)</f>
        <v>0</v>
      </c>
      <c r="F120" s="860">
        <f>ROUND('T1 MET'!D39,$D$118)</f>
        <v>0</v>
      </c>
      <c r="G120" s="860">
        <f>ROUND('T1 MET'!E39,$D$118)</f>
        <v>0</v>
      </c>
      <c r="H120" s="860">
        <f>ROUND('T1 MET'!F39,$D$118)</f>
        <v>39505</v>
      </c>
      <c r="I120" s="860">
        <f>ROUND('T1 MET'!G39,$D$118)</f>
        <v>39505</v>
      </c>
      <c r="J120" s="860">
        <f>ROUND('T1 MET'!H39,$D$118)</f>
        <v>39505</v>
      </c>
      <c r="K120" s="860">
        <f>ROUND('T1 MET'!I39,$D$118)</f>
        <v>39505</v>
      </c>
      <c r="L120" s="860">
        <f>ROUND('T1 MET'!J39,$D$118)</f>
        <v>39505</v>
      </c>
      <c r="M120" s="860">
        <f>ROUND('T1 MET'!K39,$D$118)</f>
        <v>37554.786999999997</v>
      </c>
      <c r="N120" s="860">
        <f>ROUND('T1 MET'!L39,$D$118)</f>
        <v>37554.786999999997</v>
      </c>
      <c r="O120" s="860">
        <f>ROUND('T1 MET'!M39,$D$118)</f>
        <v>37554.786999999997</v>
      </c>
      <c r="P120" s="860">
        <f>ROUND('T1 MET'!N39,$D$118)</f>
        <v>76654.933999999994</v>
      </c>
      <c r="Q120" s="860">
        <f>ROUND('T1 MET'!O39,$D$118)</f>
        <v>80280.373000000007</v>
      </c>
      <c r="R120" s="162"/>
      <c r="S120" s="860">
        <f>ROUND('T1 MET'!T39,$D$118)</f>
        <v>46394.733999999997</v>
      </c>
      <c r="T120" s="860">
        <f>ROUND('T1 MET'!U39,$D$118)</f>
        <v>48900</v>
      </c>
      <c r="U120" s="860">
        <f>ROUND('T1 MET'!V39,$D$118)</f>
        <v>57624.423000000003</v>
      </c>
    </row>
    <row r="121" spans="1:21" s="205" customFormat="1" ht="15" customHeight="1">
      <c r="A121" s="178" t="s">
        <v>90</v>
      </c>
      <c r="B121" s="179" t="s">
        <v>86</v>
      </c>
      <c r="C121" s="202" t="s">
        <v>91</v>
      </c>
      <c r="D121" s="181">
        <v>3</v>
      </c>
      <c r="E121" s="182" t="b">
        <f>IF(ROUND('T1 MET'!C39,$D$121)=0,ROUND('T1 MET'!C16,$D$121)=0,TRUE)</f>
        <v>1</v>
      </c>
      <c r="F121" s="182" t="b">
        <f>IF(ROUND('T1 MET'!D39,$D$121)=0,ROUND('T1 MET'!D16,$D$121)=0,TRUE)</f>
        <v>1</v>
      </c>
      <c r="G121" s="182" t="b">
        <f>IF(ROUND('T1 MET'!E39,$D$121)=0,ROUND('T1 MET'!E16,$D$121)=0,TRUE)</f>
        <v>1</v>
      </c>
      <c r="H121" s="182" t="b">
        <f>IF(ROUND('T1 MET'!F39,$D$121)=0,ROUND('T1 MET'!F16,$D$121)=0,TRUE)</f>
        <v>1</v>
      </c>
      <c r="I121" s="182" t="b">
        <f>IF(ROUND('T1 MET'!G39,$D$121)=0,ROUND('T1 MET'!G16,$D$121)=0,TRUE)</f>
        <v>1</v>
      </c>
      <c r="J121" s="182" t="b">
        <f>IF(ROUND('T1 MET'!H39,$D$121)=0,ROUND('T1 MET'!H16,$D$121)=0,TRUE)</f>
        <v>1</v>
      </c>
      <c r="K121" s="182" t="b">
        <f>IF(ROUND('T1 MET'!I39,$D$121)=0,ROUND('T1 MET'!I16,$D$121)=0,TRUE)</f>
        <v>1</v>
      </c>
      <c r="L121" s="182" t="b">
        <f>IF(ROUND('T1 MET'!J39,$D$121)=0,ROUND('T1 MET'!J16,$D$121)=0,TRUE)</f>
        <v>1</v>
      </c>
      <c r="M121" s="182" t="b">
        <f>IF(ROUND('T1 MET'!K39,$D$121)=0,ROUND('T1 MET'!K16,$D$121)=0,TRUE)</f>
        <v>1</v>
      </c>
      <c r="N121" s="182" t="b">
        <f>IF(ROUND('T1 MET'!L39,$D$121)=0,ROUND('T1 MET'!L16,$D$121)=0,TRUE)</f>
        <v>1</v>
      </c>
      <c r="O121" s="182" t="b">
        <f>IF(ROUND('T1 MET'!M39,$D$121)=0,ROUND('T1 MET'!M16,$D$121)=0,TRUE)</f>
        <v>1</v>
      </c>
      <c r="P121" s="182" t="b">
        <f>IF(ROUND('T1 MET'!N39,$D$121)=0,ROUND('T1 MET'!N16,$D$121)=0,TRUE)</f>
        <v>1</v>
      </c>
      <c r="Q121" s="182" t="b">
        <f>IF(ROUND('T1 MET'!O39,$D$121)=0,ROUND('T1 MET'!O16,$D$121)=0,TRUE)</f>
        <v>1</v>
      </c>
      <c r="R121" s="162"/>
      <c r="S121" s="182" t="b">
        <f>IF(ROUND('T1 MET'!T39,$D$121)=0,ROUND('T1 MET'!T16,$D$121)=0,TRUE)</f>
        <v>1</v>
      </c>
      <c r="T121" s="182" t="b">
        <f>IF(ROUND('T1 MET'!U39,$D$121)=0,ROUND('T1 MET'!U16,$D$121)=0,TRUE)</f>
        <v>1</v>
      </c>
      <c r="U121" s="182" t="b">
        <f>IF(ROUND('T1 MET'!V39,$D$121)=0,ROUND('T1 MET'!V16,$D$121)=0,TRUE)</f>
        <v>1</v>
      </c>
    </row>
    <row r="122" spans="1:21" s="205" customFormat="1" ht="15" customHeight="1" outlineLevel="1">
      <c r="A122" s="184"/>
      <c r="B122" s="185"/>
      <c r="C122" s="186" t="s">
        <v>89</v>
      </c>
      <c r="D122" s="190"/>
      <c r="E122" s="860">
        <f>ROUND('T1 MET'!C39,$D$121)</f>
        <v>0</v>
      </c>
      <c r="F122" s="860">
        <f>ROUND('T1 MET'!D39,$D$121)</f>
        <v>0</v>
      </c>
      <c r="G122" s="860">
        <f>ROUND('T1 MET'!E39,$D$121)</f>
        <v>0</v>
      </c>
      <c r="H122" s="860">
        <f>ROUND('T1 MET'!F39,$D$121)</f>
        <v>39505</v>
      </c>
      <c r="I122" s="860">
        <f>ROUND('T1 MET'!G39,$D$121)</f>
        <v>39505</v>
      </c>
      <c r="J122" s="860">
        <f>ROUND('T1 MET'!H39,$D$121)</f>
        <v>39505</v>
      </c>
      <c r="K122" s="860">
        <f>ROUND('T1 MET'!I39,$D$121)</f>
        <v>39505</v>
      </c>
      <c r="L122" s="860">
        <f>ROUND('T1 MET'!J39,$D$121)</f>
        <v>39505</v>
      </c>
      <c r="M122" s="860">
        <f>ROUND('T1 MET'!K39,$D$121)</f>
        <v>37554.786999999997</v>
      </c>
      <c r="N122" s="860">
        <f>ROUND('T1 MET'!L39,$D$121)</f>
        <v>37554.786999999997</v>
      </c>
      <c r="O122" s="860">
        <f>ROUND('T1 MET'!M39,$D$121)</f>
        <v>37554.786999999997</v>
      </c>
      <c r="P122" s="860">
        <f>ROUND('T1 MET'!N39,$D$121)</f>
        <v>76654.933999999994</v>
      </c>
      <c r="Q122" s="860">
        <f>ROUND('T1 MET'!O39,$D$121)</f>
        <v>80280.373000000007</v>
      </c>
      <c r="R122" s="162"/>
      <c r="S122" s="860">
        <f>ROUND('T1 MET'!T39,$D$121)</f>
        <v>46394.733999999997</v>
      </c>
      <c r="T122" s="860">
        <f>ROUND('T1 MET'!U39,$D$121)</f>
        <v>48900</v>
      </c>
      <c r="U122" s="860">
        <f>ROUND('T1 MET'!V39,$D$121)</f>
        <v>57624.423000000003</v>
      </c>
    </row>
    <row r="123" spans="1:21" s="205" customFormat="1" ht="15" customHeight="1" outlineLevel="1">
      <c r="A123" s="184"/>
      <c r="B123" s="185"/>
      <c r="C123" s="186" t="s">
        <v>92</v>
      </c>
      <c r="D123" s="190"/>
      <c r="E123" s="860">
        <f>ROUND('T1 MET'!C16,$D$121)</f>
        <v>0</v>
      </c>
      <c r="F123" s="860">
        <f>ROUND('T1 MET'!D16,$D$121)</f>
        <v>0</v>
      </c>
      <c r="G123" s="860">
        <f>ROUND('T1 MET'!E16,$D$121)</f>
        <v>0</v>
      </c>
      <c r="H123" s="860">
        <f>ROUND('T1 MET'!F16,$D$121)</f>
        <v>2088</v>
      </c>
      <c r="I123" s="860">
        <f>ROUND('T1 MET'!G16,$D$121)</f>
        <v>2088</v>
      </c>
      <c r="J123" s="860">
        <f>ROUND('T1 MET'!H16,$D$121)</f>
        <v>2088</v>
      </c>
      <c r="K123" s="860">
        <f>ROUND('T1 MET'!I16,$D$121)</f>
        <v>2088</v>
      </c>
      <c r="L123" s="860">
        <f>ROUND('T1 MET'!J16,$D$121)</f>
        <v>2088</v>
      </c>
      <c r="M123" s="860">
        <f>ROUND('T1 MET'!K16,$D$121)</f>
        <v>1984.923</v>
      </c>
      <c r="N123" s="860">
        <f>ROUND('T1 MET'!L16,$D$121)</f>
        <v>1984.923</v>
      </c>
      <c r="O123" s="860">
        <f>ROUND('T1 MET'!M16,$D$121)</f>
        <v>1984.923</v>
      </c>
      <c r="P123" s="860">
        <f>ROUND('T1 MET'!N16,$D$121)</f>
        <v>3401.4690000000001</v>
      </c>
      <c r="Q123" s="860">
        <f>ROUND('T1 MET'!O16,$D$121)</f>
        <v>3538.6469999999999</v>
      </c>
      <c r="R123" s="162"/>
      <c r="S123" s="860">
        <f>ROUND('T1 MET'!T16,$D$121)</f>
        <v>1984.923</v>
      </c>
      <c r="T123" s="860">
        <f>ROUND('T1 MET'!U16,$D$121)</f>
        <v>2591.6999999999998</v>
      </c>
      <c r="U123" s="860">
        <f>ROUND('T1 MET'!V16,$D$121)</f>
        <v>3054.0940000000001</v>
      </c>
    </row>
    <row r="124" spans="1:21" s="183" customFormat="1" ht="15" customHeight="1">
      <c r="A124" s="178" t="s">
        <v>93</v>
      </c>
      <c r="B124" s="861" t="s">
        <v>94</v>
      </c>
      <c r="C124" s="862" t="s">
        <v>95</v>
      </c>
      <c r="D124" s="863">
        <v>3</v>
      </c>
      <c r="M124" s="182" t="b">
        <f>IF('T1 MET'!K15=0,"N/A",ROUND('T1 MET'!K50,$D$124)=ROUND('T1 MET'!K15,$D$124))</f>
        <v>0</v>
      </c>
      <c r="N124" s="182" t="b">
        <f>IF('T1 MET'!L15=0,"N/A",ROUND('T1 MET'!L50,$D$124)=ROUND('T1 MET'!L15,$D$124))</f>
        <v>0</v>
      </c>
      <c r="O124" s="182" t="b">
        <f>IF('T1 MET'!M15=0,"N/A",ROUND('T1 MET'!M50,$D$124)=ROUND('T1 MET'!M15,$D$124))</f>
        <v>0</v>
      </c>
      <c r="P124" s="182" t="b">
        <f>IF('T1 MET'!N15=0,"N/A",ROUND('T1 MET'!N50,$D$124)=ROUND('T1 MET'!N15,$D$124))</f>
        <v>0</v>
      </c>
      <c r="Q124" s="182" t="b">
        <f>IF('T1 MET'!O15=0,"N/A",ROUND('T1 MET'!O50,$D$124)=ROUND('T1 MET'!O15,$D$124))</f>
        <v>0</v>
      </c>
      <c r="R124" s="162"/>
      <c r="S124" s="182" t="b">
        <f>IF('T1 MET'!T15=0,"N/A",ROUND('T1 MET'!T50,$D$124)=ROUND('T1 MET'!T15,$D$124))</f>
        <v>0</v>
      </c>
      <c r="T124" s="182" t="b">
        <f>IF('T1 MET'!U15=0,"N/A",ROUND('T1 MET'!U50,$D$124)=ROUND('T1 MET'!U15,$D$124))</f>
        <v>0</v>
      </c>
      <c r="U124" s="182" t="b">
        <f>IF('T1 MET'!V15=0,"N/A",ROUND('T1 MET'!V50,$D$124)=ROUND('T1 MET'!V15,$D$124))</f>
        <v>0</v>
      </c>
    </row>
    <row r="125" spans="1:21" s="189" customFormat="1" ht="15" customHeight="1" outlineLevel="1">
      <c r="A125" s="184"/>
      <c r="B125" s="864"/>
      <c r="C125" s="865" t="s">
        <v>96</v>
      </c>
      <c r="D125" s="866"/>
      <c r="E125" s="183"/>
      <c r="F125" s="183"/>
      <c r="G125" s="183"/>
      <c r="H125" s="183"/>
      <c r="I125" s="183"/>
      <c r="M125" s="869">
        <f>IF('T1 MET'!K15=0,"N/A",ROUND('T1 MET'!K50,$D$124))</f>
        <v>0</v>
      </c>
      <c r="N125" s="869">
        <f>IF('T1 MET'!L15=0,"N/A",ROUND('T1 MET'!L50,$D$124))</f>
        <v>0</v>
      </c>
      <c r="O125" s="869">
        <f>IF('T1 MET'!M15=0,"N/A",ROUND('T1 MET'!M50,$D$124))</f>
        <v>0</v>
      </c>
      <c r="P125" s="869">
        <f>IF('T1 MET'!N15=0,"N/A",ROUND('T1 MET'!N50,$D$124))</f>
        <v>0</v>
      </c>
      <c r="Q125" s="869">
        <f>IF('T1 MET'!O15=0,"N/A",ROUND('T1 MET'!O50,$D$124))</f>
        <v>0</v>
      </c>
      <c r="R125" s="162"/>
      <c r="S125" s="869">
        <f>IF('T1 MET'!T15=0,"N/A",ROUND('T1 MET'!T50,$D$124))</f>
        <v>0</v>
      </c>
      <c r="T125" s="869">
        <f>IF('T1 MET'!U15=0,"N/A",ROUND('T1 MET'!U50,$D$124))</f>
        <v>0</v>
      </c>
      <c r="U125" s="869">
        <f>IF('T1 MET'!V15=0,"N/A",ROUND('T1 MET'!V50,$D$124))</f>
        <v>0</v>
      </c>
    </row>
    <row r="126" spans="1:21" s="189" customFormat="1" ht="15" customHeight="1" outlineLevel="1">
      <c r="A126" s="184"/>
      <c r="B126" s="864"/>
      <c r="C126" s="865" t="s">
        <v>97</v>
      </c>
      <c r="D126" s="866"/>
      <c r="E126" s="183"/>
      <c r="F126" s="183"/>
      <c r="G126" s="183"/>
      <c r="H126" s="183"/>
      <c r="I126" s="183"/>
      <c r="M126" s="869">
        <f>IF('T1 MET'!K15=0,"N/A",ROUND('T1 MET'!K15,$D$124))</f>
        <v>4000</v>
      </c>
      <c r="N126" s="869">
        <f>IF('T1 MET'!L15=0,"N/A",ROUND('T1 MET'!L15,$D$124))</f>
        <v>4000</v>
      </c>
      <c r="O126" s="869">
        <f>IF('T1 MET'!M15=0,"N/A",ROUND('T1 MET'!M15,$D$124))</f>
        <v>5116</v>
      </c>
      <c r="P126" s="869">
        <f>IF('T1 MET'!N15=0,"N/A",ROUND('T1 MET'!N15,$D$124))</f>
        <v>3649.924</v>
      </c>
      <c r="Q126" s="869">
        <f>IF('T1 MET'!O15=0,"N/A",ROUND('T1 MET'!O15,$D$124))</f>
        <v>6645.8220000000001</v>
      </c>
      <c r="R126" s="162"/>
      <c r="S126" s="869">
        <f>IF('T1 MET'!T15=0,"N/A",ROUND('T1 MET'!T15,$D$124))</f>
        <v>4000</v>
      </c>
      <c r="T126" s="869">
        <f>IF('T1 MET'!U15=0,"N/A",ROUND('T1 MET'!U15,$D$124))</f>
        <v>2498.8409999999999</v>
      </c>
      <c r="U126" s="869">
        <f>IF('T1 MET'!V15=0,"N/A",ROUND('T1 MET'!V15,$D$124))</f>
        <v>2755.36</v>
      </c>
    </row>
    <row r="127" spans="1:21" s="183" customFormat="1" ht="15" customHeight="1">
      <c r="A127" s="178" t="s">
        <v>98</v>
      </c>
      <c r="B127" s="861" t="s">
        <v>99</v>
      </c>
      <c r="C127" s="862" t="s">
        <v>100</v>
      </c>
      <c r="D127" s="863">
        <v>3</v>
      </c>
      <c r="M127" s="182" t="b">
        <f>IF('T1 MET'!K16=0,"N/A",ROUND('T1 MET'!K51,$D$127)=ROUND('T1 MET'!K36*'T1 MET'!K41,$D$127))</f>
        <v>0</v>
      </c>
      <c r="N127" s="182" t="b">
        <f>IF('T1 MET'!L16=0,"N/A",ROUND('T1 MET'!L51,$D$127)=ROUND('T1 MET'!L36*'T1 MET'!L41,$D$127))</f>
        <v>0</v>
      </c>
      <c r="O127" s="182" t="b">
        <f>IF('T1 MET'!M16=0,"N/A",ROUND('T1 MET'!M51,$D$127)=ROUND('T1 MET'!M36*'T1 MET'!M41,$D$127))</f>
        <v>0</v>
      </c>
      <c r="P127" s="182" t="b">
        <f>IF('T1 MET'!N16=0,"N/A",ROUND('T1 MET'!N51,$D$127)=ROUND('T1 MET'!N36*'T1 MET'!N41,$D$127))</f>
        <v>0</v>
      </c>
      <c r="Q127" s="182" t="b">
        <f>IF('T1 MET'!O16=0,"N/A",ROUND('T1 MET'!O51,$D$127)=ROUND('T1 MET'!O36*'T1 MET'!O41,$D$127))</f>
        <v>0</v>
      </c>
      <c r="R127" s="162"/>
      <c r="S127" s="182" t="b">
        <f>IF('T1 MET'!T16=0,"N/A",ROUND('T1 MET'!T51,$D$127)=ROUND('T1 MET'!T36*'T1 MET'!T41,$D$127))</f>
        <v>0</v>
      </c>
      <c r="T127" s="182" t="b">
        <f>IF('T1 MET'!U16=0,"N/A",ROUND('T1 MET'!U51,$D$127)=ROUND('T1 MET'!U36*'T1 MET'!U41,$D$127))</f>
        <v>0</v>
      </c>
      <c r="U127" s="182" t="b">
        <f>IF('T1 MET'!V16=0,"N/A",ROUND('T1 MET'!V51,$D$127)=ROUND('T1 MET'!V36*'T1 MET'!V41,$D$127))</f>
        <v>0</v>
      </c>
    </row>
    <row r="128" spans="1:21" s="189" customFormat="1" ht="15" customHeight="1" outlineLevel="1">
      <c r="A128" s="184"/>
      <c r="B128" s="864"/>
      <c r="C128" s="865" t="s">
        <v>101</v>
      </c>
      <c r="D128" s="866"/>
      <c r="E128" s="183"/>
      <c r="F128" s="183"/>
      <c r="G128" s="183"/>
      <c r="H128" s="183"/>
      <c r="I128" s="183"/>
      <c r="M128" s="869">
        <f>IF('T1 MET'!K16=0,"N/A",ROUND('T1 MET'!K51,$D$127))</f>
        <v>0</v>
      </c>
      <c r="N128" s="869">
        <f>IF('T1 MET'!L16=0,"N/A",ROUND('T1 MET'!L51,$D$127))</f>
        <v>0</v>
      </c>
      <c r="O128" s="869">
        <f>IF('T1 MET'!M16=0,"N/A",ROUND('T1 MET'!M51,$D$127))</f>
        <v>0</v>
      </c>
      <c r="P128" s="869">
        <f>IF('T1 MET'!N16=0,"N/A",ROUND('T1 MET'!N51,$D$127))</f>
        <v>0</v>
      </c>
      <c r="Q128" s="869">
        <f>IF('T1 MET'!O16=0,"N/A",ROUND('T1 MET'!O51,$D$127))</f>
        <v>0</v>
      </c>
      <c r="R128" s="162"/>
      <c r="S128" s="869">
        <f>IF('T1 MET'!T16=0,"N/A",ROUND('T1 MET'!T51,$D$127))</f>
        <v>0</v>
      </c>
      <c r="T128" s="869">
        <f>IF('T1 MET'!U16=0,"N/A",ROUND('T1 MET'!U51,$D$127))</f>
        <v>0</v>
      </c>
      <c r="U128" s="869">
        <f>IF('T1 MET'!V16=0,"N/A",ROUND('T1 MET'!V51,$D$127))</f>
        <v>0</v>
      </c>
    </row>
    <row r="129" spans="1:21" s="189" customFormat="1" ht="15" customHeight="1" outlineLevel="1">
      <c r="A129" s="184"/>
      <c r="B129" s="864"/>
      <c r="C129" s="865" t="s">
        <v>102</v>
      </c>
      <c r="D129" s="866"/>
      <c r="E129" s="183"/>
      <c r="F129" s="183"/>
      <c r="G129" s="183"/>
      <c r="H129" s="183"/>
      <c r="I129" s="183"/>
      <c r="M129" s="869">
        <f>IF('T1 MET'!K16=0,"N/A",ROUND('T1 MET'!K36*'T1 MET'!K41,$D$127))</f>
        <v>1984.923</v>
      </c>
      <c r="N129" s="869">
        <f>IF('T1 MET'!L16=0,"N/A",ROUND('T1 MET'!L36*'T1 MET'!L41,$D$127))</f>
        <v>1984.923</v>
      </c>
      <c r="O129" s="869">
        <f>IF('T1 MET'!M16=0,"N/A",ROUND('T1 MET'!M36*'T1 MET'!M41,$D$127))</f>
        <v>1984.923</v>
      </c>
      <c r="P129" s="869">
        <f>IF('T1 MET'!N16=0,"N/A",ROUND('T1 MET'!N36*'T1 MET'!N41,$D$127))</f>
        <v>3401.4690000000001</v>
      </c>
      <c r="Q129" s="869">
        <f>IF('T1 MET'!O16=0,"N/A",ROUND('T1 MET'!O36*'T1 MET'!O41,$D$127))</f>
        <v>3538.6469999999999</v>
      </c>
      <c r="R129" s="162"/>
      <c r="S129" s="869">
        <f>IF('T1 MET'!T16=0,"N/A",ROUND('T1 MET'!T36*'T1 MET'!T41,$D$127))</f>
        <v>1984.923</v>
      </c>
      <c r="T129" s="869">
        <f>IF('T1 MET'!U16=0,"N/A",ROUND('T1 MET'!U36*'T1 MET'!U41,$D$127))</f>
        <v>2591.6999999999998</v>
      </c>
      <c r="U129" s="869">
        <f>IF('T1 MET'!V16=0,"N/A",ROUND('T1 MET'!V36*'T1 MET'!V41,$D$127))</f>
        <v>3054.0940000000001</v>
      </c>
    </row>
    <row r="130" spans="1:21" s="193" customFormat="1" ht="18">
      <c r="A130" s="172" t="s">
        <v>13</v>
      </c>
      <c r="B130" s="173" t="s">
        <v>14</v>
      </c>
      <c r="C130" s="174" t="s">
        <v>107</v>
      </c>
      <c r="D130" s="191"/>
      <c r="E130" s="192"/>
      <c r="F130" s="192"/>
      <c r="G130" s="192"/>
      <c r="H130" s="192"/>
      <c r="I130" s="192"/>
      <c r="J130" s="192"/>
      <c r="K130" s="192"/>
      <c r="L130" s="192"/>
      <c r="M130" s="192"/>
      <c r="N130" s="192"/>
      <c r="O130" s="192"/>
      <c r="P130" s="192"/>
      <c r="Q130" s="192"/>
      <c r="R130" s="162"/>
      <c r="S130" s="192"/>
      <c r="T130" s="192"/>
      <c r="U130" s="192"/>
    </row>
    <row r="131" spans="1:21" s="183" customFormat="1" ht="15" customHeight="1">
      <c r="A131" s="178" t="s">
        <v>21</v>
      </c>
      <c r="B131" s="179" t="s">
        <v>22</v>
      </c>
      <c r="C131" s="180" t="s">
        <v>108</v>
      </c>
      <c r="D131" s="181">
        <v>3</v>
      </c>
      <c r="E131" s="182" t="b">
        <f>ROUND('T1 NSA'!C18,$D$131)=ROUND(SUM('T1 NSA'!C14:C17)+'T1 NSA'!C12,$D$131)</f>
        <v>1</v>
      </c>
      <c r="F131" s="182" t="b">
        <f>ROUND('T1 NSA'!D18,$D$131)=ROUND(SUM('T1 NSA'!D14:D17)+'T1 NSA'!D12,$D$131)</f>
        <v>1</v>
      </c>
      <c r="G131" s="182" t="b">
        <f>ROUND('T1 NSA'!E18,$D$131)=ROUND(SUM('T1 NSA'!E14:E17)+'T1 NSA'!E12,$D$131)</f>
        <v>1</v>
      </c>
      <c r="H131" s="182" t="b">
        <f>ROUND('T1 NSA'!F18,$D$131)=ROUND(SUM('T1 NSA'!F14:F17)+'T1 NSA'!F12,$D$131)</f>
        <v>1</v>
      </c>
      <c r="I131" s="182" t="b">
        <f>ROUND('T1 NSA'!G18,$D$131)=ROUND(SUM('T1 NSA'!G14:G17)+'T1 NSA'!G12,$D$131)</f>
        <v>1</v>
      </c>
      <c r="J131" s="182" t="b">
        <f>ROUND('T1 NSA'!H18,$D$131)=ROUND(SUM('T1 NSA'!H14:H17)+'T1 NSA'!H12,$D$131)</f>
        <v>1</v>
      </c>
      <c r="K131" s="182" t="b">
        <f>ROUND('T1 NSA'!I18,$D$131)=ROUND(SUM('T1 NSA'!I14:I17)+'T1 NSA'!I12,$D$131)</f>
        <v>1</v>
      </c>
      <c r="L131" s="182" t="b">
        <f>ROUND('T1 NSA'!J18,$D$131)=ROUND(SUM('T1 NSA'!J14:J17)+'T1 NSA'!J12,$D$131)</f>
        <v>1</v>
      </c>
      <c r="M131" s="182" t="b">
        <f>ROUND('T1 NSA'!K18,$D$131)=ROUND(SUM('T1 NSA'!K14:K17)+'T1 NSA'!K12,$D$131)</f>
        <v>1</v>
      </c>
      <c r="N131" s="182" t="b">
        <f>ROUND('T1 NSA'!L18,$D$131)=ROUND(SUM('T1 NSA'!L14:L17)+'T1 NSA'!L12,$D$131)</f>
        <v>1</v>
      </c>
      <c r="O131" s="182" t="b">
        <f>ROUND('T1 NSA'!M18,$D$131)=ROUND(SUM('T1 NSA'!M14:M17)+'T1 NSA'!M12,$D$131)</f>
        <v>1</v>
      </c>
      <c r="P131" s="182" t="b">
        <f>ROUND('T1 NSA'!N18,$D$131)=ROUND(SUM('T1 NSA'!N14:N17)+'T1 NSA'!N12,$D$131)</f>
        <v>1</v>
      </c>
      <c r="Q131" s="182" t="b">
        <f>ROUND('T1 NSA'!O18,$D$131)=ROUND(SUM('T1 NSA'!O14:O17)+'T1 NSA'!O12,$D$131)</f>
        <v>1</v>
      </c>
      <c r="R131" s="162"/>
      <c r="S131" s="182" t="b">
        <f>ROUND('T1 NSA'!T18,$D$131)=ROUND(SUM('T1 NSA'!T14:T17)+'T1 NSA'!T12,$D$131)</f>
        <v>1</v>
      </c>
      <c r="T131" s="182" t="b">
        <f>ROUND('T1 NSA'!U18,$D$131)=ROUND(SUM('T1 NSA'!U14:U17)+'T1 NSA'!U12,$D$131)</f>
        <v>1</v>
      </c>
      <c r="U131" s="182" t="b">
        <f>ROUND('T1 NSA'!V18,$D$131)=ROUND(SUM('T1 NSA'!V14:V17)+'T1 NSA'!V12,$D$131)</f>
        <v>1</v>
      </c>
    </row>
    <row r="132" spans="1:21" s="189" customFormat="1" ht="15" customHeight="1" outlineLevel="1">
      <c r="A132" s="184"/>
      <c r="B132" s="185"/>
      <c r="C132" s="186" t="s">
        <v>24</v>
      </c>
      <c r="D132" s="190"/>
      <c r="E132" s="860">
        <f>ROUND('T1 NSA'!C18,$D$131)</f>
        <v>56918</v>
      </c>
      <c r="F132" s="860">
        <f>ROUND('T1 NSA'!D18,$D$131)</f>
        <v>60137</v>
      </c>
      <c r="G132" s="860">
        <f>ROUND('T1 NSA'!E18,$D$131)</f>
        <v>58351.838000000003</v>
      </c>
      <c r="H132" s="860">
        <f>ROUND('T1 NSA'!F18,$D$131)</f>
        <v>55858.411999999997</v>
      </c>
      <c r="I132" s="860">
        <f>ROUND('T1 NSA'!G18,$D$131)</f>
        <v>61348.08</v>
      </c>
      <c r="J132" s="860">
        <f>ROUND('T1 NSA'!H18,$D$131)</f>
        <v>66282.816000000006</v>
      </c>
      <c r="K132" s="860">
        <f>ROUND('T1 NSA'!I18,$D$131)</f>
        <v>64282.502999999997</v>
      </c>
      <c r="L132" s="860">
        <f>ROUND('T1 NSA'!J18,$D$131)</f>
        <v>62707.05</v>
      </c>
      <c r="M132" s="860">
        <f>ROUND('T1 NSA'!K18,$D$131)</f>
        <v>69525.566999999995</v>
      </c>
      <c r="N132" s="860">
        <f>ROUND('T1 NSA'!L18,$D$131)</f>
        <v>70562.278000000006</v>
      </c>
      <c r="O132" s="860">
        <f>ROUND('T1 NSA'!M18,$D$131)</f>
        <v>70564.365999999995</v>
      </c>
      <c r="P132" s="860">
        <f>ROUND('T1 NSA'!N18,$D$131)</f>
        <v>79593.538</v>
      </c>
      <c r="Q132" s="860">
        <f>ROUND('T1 NSA'!O18,$D$131)</f>
        <v>80109.551999999996</v>
      </c>
      <c r="R132" s="162"/>
      <c r="S132" s="860">
        <f>ROUND('T1 NSA'!T18,$D$131)</f>
        <v>62005.930999999997</v>
      </c>
      <c r="T132" s="860">
        <f>ROUND('T1 NSA'!U18,$D$131)</f>
        <v>63953.277999999998</v>
      </c>
      <c r="U132" s="860">
        <f>ROUND('T1 NSA'!V18,$D$131)</f>
        <v>72616.104999999996</v>
      </c>
    </row>
    <row r="133" spans="1:21" s="189" customFormat="1" ht="15" customHeight="1" outlineLevel="1">
      <c r="A133" s="184"/>
      <c r="B133" s="185"/>
      <c r="C133" s="186" t="s">
        <v>25</v>
      </c>
      <c r="D133" s="190"/>
      <c r="E133" s="860">
        <f>ROUND(SUM('T1 NSA'!C14:C17)+'T1 NSA'!C12,$D$131)</f>
        <v>56918</v>
      </c>
      <c r="F133" s="860">
        <f>ROUND(SUM('T1 NSA'!D14:D17)+'T1 NSA'!D12,$D$131)</f>
        <v>60137</v>
      </c>
      <c r="G133" s="860">
        <f>ROUND(SUM('T1 NSA'!E14:E17)+'T1 NSA'!E12,$D$131)</f>
        <v>58351.838000000003</v>
      </c>
      <c r="H133" s="860">
        <f>ROUND(SUM('T1 NSA'!F14:F17)+'T1 NSA'!F12,$D$131)</f>
        <v>55858.411999999997</v>
      </c>
      <c r="I133" s="860">
        <f>ROUND(SUM('T1 NSA'!G14:G17)+'T1 NSA'!G12,$D$131)</f>
        <v>61348.08</v>
      </c>
      <c r="J133" s="860">
        <f>ROUND(SUM('T1 NSA'!H14:H17)+'T1 NSA'!H12,$D$131)</f>
        <v>66282.816000000006</v>
      </c>
      <c r="K133" s="860">
        <f>ROUND(SUM('T1 NSA'!I14:I17)+'T1 NSA'!I12,$D$131)</f>
        <v>64282.502999999997</v>
      </c>
      <c r="L133" s="860">
        <f>ROUND(SUM('T1 NSA'!J14:J17)+'T1 NSA'!J12,$D$131)</f>
        <v>62707.05</v>
      </c>
      <c r="M133" s="860">
        <f>ROUND(SUM('T1 NSA'!K14:K17)+'T1 NSA'!K12,$D$131)</f>
        <v>69525.566999999995</v>
      </c>
      <c r="N133" s="860">
        <f>ROUND(SUM('T1 NSA'!L14:L17)+'T1 NSA'!L12,$D$131)</f>
        <v>70562.278000000006</v>
      </c>
      <c r="O133" s="860">
        <f>ROUND(SUM('T1 NSA'!M14:M17)+'T1 NSA'!M12,$D$131)</f>
        <v>70564.365999999995</v>
      </c>
      <c r="P133" s="860">
        <f>ROUND(SUM('T1 NSA'!N14:N17)+'T1 NSA'!N12,$D$131)</f>
        <v>79593.538</v>
      </c>
      <c r="Q133" s="860">
        <f>ROUND(SUM('T1 NSA'!O14:O17)+'T1 NSA'!O12,$D$131)</f>
        <v>80109.551999999996</v>
      </c>
      <c r="R133" s="162"/>
      <c r="S133" s="860">
        <f>ROUND(SUM('T1 NSA'!T14:T17)+'T1 NSA'!T12,$D$131)</f>
        <v>62005.930999999997</v>
      </c>
      <c r="T133" s="860">
        <f>ROUND(SUM('T1 NSA'!U14:U17)+'T1 NSA'!U12,$D$131)</f>
        <v>63953.277999999998</v>
      </c>
      <c r="U133" s="860">
        <f>ROUND(SUM('T1 NSA'!V14:V17)+'T1 NSA'!V12,$D$131)</f>
        <v>72616.104999999996</v>
      </c>
    </row>
    <row r="134" spans="1:21" s="183" customFormat="1" ht="15" customHeight="1">
      <c r="A134" s="178" t="s">
        <v>26</v>
      </c>
      <c r="B134" s="179" t="s">
        <v>27</v>
      </c>
      <c r="C134" s="180" t="s">
        <v>28</v>
      </c>
      <c r="D134" s="181">
        <v>3</v>
      </c>
      <c r="E134" s="182" t="b">
        <f>ROUND('T1 NSA'!C31,$D$134)=ROUND(SUM('T1 NSA'!C22:C30),$D$134)</f>
        <v>1</v>
      </c>
      <c r="F134" s="182" t="b">
        <f>ROUND('T1 NSA'!D31,$D$134)=ROUND(SUM('T1 NSA'!D22:D30),$D$134)</f>
        <v>1</v>
      </c>
      <c r="G134" s="182" t="b">
        <f>ROUND('T1 NSA'!E31,$D$134)=ROUND(SUM('T1 NSA'!E22:E30),$D$134)</f>
        <v>1</v>
      </c>
      <c r="H134" s="182" t="b">
        <f>ROUND('T1 NSA'!F31,$D$134)=ROUND(SUM('T1 NSA'!F22:F30),$D$134)</f>
        <v>1</v>
      </c>
      <c r="I134" s="182" t="b">
        <f>ROUND('T1 NSA'!G31,$D$134)=ROUND(SUM('T1 NSA'!G22:G30),$D$134)</f>
        <v>1</v>
      </c>
      <c r="J134" s="182" t="b">
        <f>ROUND('T1 NSA'!H31,$D$134)=ROUND(SUM('T1 NSA'!H22:H30),$D$134)</f>
        <v>1</v>
      </c>
      <c r="K134" s="182" t="b">
        <f>ROUND('T1 NSA'!I31,$D$134)=ROUND(SUM('T1 NSA'!I22:I30),$D$134)</f>
        <v>1</v>
      </c>
      <c r="L134" s="182" t="b">
        <f>ROUND('T1 NSA'!J31,$D$134)=ROUND(SUM('T1 NSA'!J22:J30),$D$134)</f>
        <v>1</v>
      </c>
      <c r="M134" s="182" t="b">
        <f>ROUND('T1 NSA'!K31,$D$134)=ROUND(SUM('T1 NSA'!K22:K30),$D$134)</f>
        <v>1</v>
      </c>
      <c r="N134" s="182" t="b">
        <f>ROUND('T1 NSA'!L31,$D$134)=ROUND(SUM('T1 NSA'!L22:L30),$D$134)</f>
        <v>1</v>
      </c>
      <c r="O134" s="182" t="b">
        <f>ROUND('T1 NSA'!M31,$D$134)=ROUND(SUM('T1 NSA'!M22:M30),$D$134)</f>
        <v>1</v>
      </c>
      <c r="P134" s="182" t="b">
        <f>ROUND('T1 NSA'!N31,$D$134)=ROUND(SUM('T1 NSA'!N22:N30),$D$134)</f>
        <v>1</v>
      </c>
      <c r="Q134" s="182" t="b">
        <f>ROUND('T1 NSA'!O31,$D$134)=ROUND(SUM('T1 NSA'!O22:O30),$D$134)</f>
        <v>1</v>
      </c>
      <c r="R134" s="162"/>
      <c r="S134" s="182" t="b">
        <f>ROUND('T1 NSA'!T31,$D$134)=ROUND(SUM('T1 NSA'!T22:T30),$D$134)</f>
        <v>1</v>
      </c>
      <c r="T134" s="182" t="b">
        <f>ROUND('T1 NSA'!U31,$D$134)=ROUND(SUM('T1 NSA'!U22:U30),$D$134)</f>
        <v>1</v>
      </c>
      <c r="U134" s="182" t="b">
        <f>ROUND('T1 NSA'!V31,$D$134)=ROUND(SUM('T1 NSA'!V22:V30),$D$134)</f>
        <v>1</v>
      </c>
    </row>
    <row r="135" spans="1:21" s="189" customFormat="1" ht="15" customHeight="1" outlineLevel="1">
      <c r="A135" s="184"/>
      <c r="B135" s="185"/>
      <c r="C135" s="186" t="s">
        <v>29</v>
      </c>
      <c r="D135" s="190"/>
      <c r="E135" s="860">
        <f>ROUND('T1 NSA'!C31,$D$134)</f>
        <v>56918</v>
      </c>
      <c r="F135" s="860">
        <f>ROUND('T1 NSA'!D31,$D$134)</f>
        <v>60137</v>
      </c>
      <c r="G135" s="860">
        <f>ROUND('T1 NSA'!E31,$D$134)</f>
        <v>58351.838000000003</v>
      </c>
      <c r="H135" s="860">
        <f>ROUND('T1 NSA'!F31,$D$134)</f>
        <v>55858.411999999997</v>
      </c>
      <c r="I135" s="860">
        <f>ROUND('T1 NSA'!G31,$D$134)</f>
        <v>61348.08</v>
      </c>
      <c r="J135" s="860">
        <f>ROUND('T1 NSA'!H31,$D$134)</f>
        <v>66282.816000000006</v>
      </c>
      <c r="K135" s="860">
        <f>ROUND('T1 NSA'!I31,$D$134)</f>
        <v>64282.502999999997</v>
      </c>
      <c r="L135" s="860">
        <f>ROUND('T1 NSA'!J31,$D$134)</f>
        <v>62707.05</v>
      </c>
      <c r="M135" s="860">
        <f>ROUND('T1 NSA'!K31,$D$134)</f>
        <v>69525.566999999995</v>
      </c>
      <c r="N135" s="860">
        <f>ROUND('T1 NSA'!L31,$D$134)</f>
        <v>70562.278000000006</v>
      </c>
      <c r="O135" s="860">
        <f>ROUND('T1 NSA'!M31,$D$134)</f>
        <v>70564.365999999995</v>
      </c>
      <c r="P135" s="860">
        <f>ROUND('T1 NSA'!N31,$D$134)</f>
        <v>79593.538</v>
      </c>
      <c r="Q135" s="860">
        <f>ROUND('T1 NSA'!O31,$D$134)</f>
        <v>80109.551999999996</v>
      </c>
      <c r="R135" s="162"/>
      <c r="S135" s="860">
        <f>ROUND('T1 NSA'!T31,$D$134)</f>
        <v>62005.930999999997</v>
      </c>
      <c r="T135" s="860">
        <f>ROUND('T1 NSA'!U31,$D$134)</f>
        <v>63953.277999999998</v>
      </c>
      <c r="U135" s="860">
        <f>ROUND('T1 NSA'!V31,$D$134)</f>
        <v>72615.923999999999</v>
      </c>
    </row>
    <row r="136" spans="1:21" s="189" customFormat="1" ht="15" customHeight="1" outlineLevel="1">
      <c r="A136" s="184"/>
      <c r="B136" s="185"/>
      <c r="C136" s="186" t="s">
        <v>30</v>
      </c>
      <c r="D136" s="190"/>
      <c r="E136" s="860">
        <f>ROUND(SUM('T1 NSA'!C22:C30),$D$134)</f>
        <v>56918</v>
      </c>
      <c r="F136" s="860">
        <f>ROUND(SUM('T1 NSA'!D22:D30),$D$134)</f>
        <v>60137</v>
      </c>
      <c r="G136" s="860">
        <f>ROUND(SUM('T1 NSA'!E22:E30),$D$134)</f>
        <v>58351.838000000003</v>
      </c>
      <c r="H136" s="860">
        <f>ROUND(SUM('T1 NSA'!F22:F30),$D$134)</f>
        <v>55858.411999999997</v>
      </c>
      <c r="I136" s="860">
        <f>ROUND(SUM('T1 NSA'!G22:G30),$D$134)</f>
        <v>61348.08</v>
      </c>
      <c r="J136" s="860">
        <f>ROUND(SUM('T1 NSA'!H22:H30),$D$134)</f>
        <v>66282.816000000006</v>
      </c>
      <c r="K136" s="860">
        <f>ROUND(SUM('T1 NSA'!I22:I30),$D$134)</f>
        <v>64282.502999999997</v>
      </c>
      <c r="L136" s="860">
        <f>ROUND(SUM('T1 NSA'!J22:J30),$D$134)</f>
        <v>62707.05</v>
      </c>
      <c r="M136" s="860">
        <f>ROUND(SUM('T1 NSA'!K22:K30),$D$134)</f>
        <v>69525.566999999995</v>
      </c>
      <c r="N136" s="860">
        <f>ROUND(SUM('T1 NSA'!L22:L30),$D$134)</f>
        <v>70562.278000000006</v>
      </c>
      <c r="O136" s="860">
        <f>ROUND(SUM('T1 NSA'!M22:M30),$D$134)</f>
        <v>70564.365999999995</v>
      </c>
      <c r="P136" s="860">
        <f>ROUND(SUM('T1 NSA'!N22:N30),$D$134)</f>
        <v>79593.538</v>
      </c>
      <c r="Q136" s="860">
        <f>ROUND(SUM('T1 NSA'!O22:O30),$D$134)</f>
        <v>80109.551999999996</v>
      </c>
      <c r="R136" s="162"/>
      <c r="S136" s="860">
        <f>ROUND(SUM('T1 NSA'!T22:T30),$D$134)</f>
        <v>62005.930999999997</v>
      </c>
      <c r="T136" s="860">
        <f>ROUND(SUM('T1 NSA'!U22:U30),$D$134)</f>
        <v>63953.277999999998</v>
      </c>
      <c r="U136" s="860">
        <f>ROUND(SUM('T1 NSA'!V22:V30),$D$134)</f>
        <v>72615.923999999999</v>
      </c>
    </row>
    <row r="137" spans="1:21" s="183" customFormat="1" ht="15" customHeight="1">
      <c r="A137" s="178" t="s">
        <v>31</v>
      </c>
      <c r="B137" s="179" t="s">
        <v>27</v>
      </c>
      <c r="C137" s="180" t="s">
        <v>32</v>
      </c>
      <c r="D137" s="181">
        <v>3</v>
      </c>
      <c r="E137" s="182" t="b">
        <f>ROUND('T1 NSA'!C18,$D$137)=ROUND('T1 NSA'!C31,$D$137)</f>
        <v>1</v>
      </c>
      <c r="F137" s="182" t="b">
        <f>ROUND('T1 NSA'!D18,$D$137)=ROUND('T1 NSA'!D31,$D$137)</f>
        <v>1</v>
      </c>
      <c r="G137" s="182" t="b">
        <f>ROUND('T1 NSA'!E18,$D$137)=ROUND('T1 NSA'!E31,$D$137)</f>
        <v>1</v>
      </c>
      <c r="H137" s="182" t="b">
        <f>ROUND('T1 NSA'!F18,$D$137)=ROUND('T1 NSA'!F31,$D$137)</f>
        <v>1</v>
      </c>
      <c r="I137" s="182" t="b">
        <f>ROUND('T1 NSA'!G18,$D$137)=ROUND('T1 NSA'!G31,$D$137)</f>
        <v>1</v>
      </c>
      <c r="J137" s="182" t="b">
        <f>ROUND('T1 NSA'!H18,$D$137)=ROUND('T1 NSA'!H31,$D$137)</f>
        <v>1</v>
      </c>
      <c r="K137" s="182" t="b">
        <f>ROUND('T1 NSA'!I18,$D$137)=ROUND('T1 NSA'!I31,$D$137)</f>
        <v>1</v>
      </c>
      <c r="L137" s="182" t="b">
        <f>ROUND('T1 NSA'!J18,$D$137)=ROUND('T1 NSA'!J31,$D$137)</f>
        <v>1</v>
      </c>
      <c r="M137" s="182" t="b">
        <f>ROUND('T1 NSA'!K18,$D$137)=ROUND('T1 NSA'!K31,$D$137)</f>
        <v>1</v>
      </c>
      <c r="N137" s="182" t="b">
        <f>ROUND('T1 NSA'!L18,$D$137)=ROUND('T1 NSA'!L31,$D$137)</f>
        <v>1</v>
      </c>
      <c r="O137" s="182" t="b">
        <f>ROUND('T1 NSA'!M18,$D$137)=ROUND('T1 NSA'!M31,$D$137)</f>
        <v>1</v>
      </c>
      <c r="P137" s="182" t="b">
        <f>ROUND('T1 NSA'!N18,$D$137)=ROUND('T1 NSA'!N31,$D$137)</f>
        <v>1</v>
      </c>
      <c r="Q137" s="182" t="b">
        <f>ROUND('T1 NSA'!O18,$D$137)=ROUND('T1 NSA'!O31,$D$137)</f>
        <v>1</v>
      </c>
      <c r="R137" s="162"/>
      <c r="S137" s="182" t="b">
        <f>ROUND('T1 NSA'!T18,$D$137)=ROUND('T1 NSA'!T31,$D$137)</f>
        <v>1</v>
      </c>
      <c r="T137" s="182" t="b">
        <f>ROUND('T1 NSA'!U18,$D$137)=ROUND('T1 NSA'!U31,$D$137)</f>
        <v>1</v>
      </c>
      <c r="U137" s="182" t="b">
        <f>ROUND('T1 NSA'!V18,$D$137)=ROUND('T1 NSA'!V31,$D$137)</f>
        <v>0</v>
      </c>
    </row>
    <row r="138" spans="1:21" s="189" customFormat="1" ht="15" customHeight="1" outlineLevel="1">
      <c r="A138" s="184"/>
      <c r="B138" s="185"/>
      <c r="C138" s="186" t="s">
        <v>24</v>
      </c>
      <c r="D138" s="190"/>
      <c r="E138" s="860">
        <f>ROUND('T1 NSA'!C18,$D$137)</f>
        <v>56918</v>
      </c>
      <c r="F138" s="860">
        <f>ROUND('T1 NSA'!D18,$D$137)</f>
        <v>60137</v>
      </c>
      <c r="G138" s="860">
        <f>ROUND('T1 NSA'!E18,$D$137)</f>
        <v>58351.838000000003</v>
      </c>
      <c r="H138" s="860">
        <f>ROUND('T1 NSA'!F18,$D$137)</f>
        <v>55858.411999999997</v>
      </c>
      <c r="I138" s="860">
        <f>ROUND('T1 NSA'!G18,$D$137)</f>
        <v>61348.08</v>
      </c>
      <c r="J138" s="860">
        <f>ROUND('T1 NSA'!H18,$D$137)</f>
        <v>66282.816000000006</v>
      </c>
      <c r="K138" s="860">
        <f>ROUND('T1 NSA'!I18,$D$137)</f>
        <v>64282.502999999997</v>
      </c>
      <c r="L138" s="860">
        <f>ROUND('T1 NSA'!J18,$D$137)</f>
        <v>62707.05</v>
      </c>
      <c r="M138" s="860">
        <f>ROUND('T1 NSA'!K18,$D$137)</f>
        <v>69525.566999999995</v>
      </c>
      <c r="N138" s="860">
        <f>ROUND('T1 NSA'!L18,$D$137)</f>
        <v>70562.278000000006</v>
      </c>
      <c r="O138" s="860">
        <f>ROUND('T1 NSA'!M18,$D$137)</f>
        <v>70564.365999999995</v>
      </c>
      <c r="P138" s="860">
        <f>ROUND('T1 NSA'!N18,$D$137)</f>
        <v>79593.538</v>
      </c>
      <c r="Q138" s="860">
        <f>ROUND('T1 NSA'!O18,$D$137)</f>
        <v>80109.551999999996</v>
      </c>
      <c r="R138" s="162"/>
      <c r="S138" s="860">
        <f>ROUND('T1 NSA'!T18,$D$137)</f>
        <v>62005.930999999997</v>
      </c>
      <c r="T138" s="860">
        <f>ROUND('T1 NSA'!U18,$D$137)</f>
        <v>63953.277999999998</v>
      </c>
      <c r="U138" s="860">
        <f>ROUND('T1 NSA'!V18,$D$137)</f>
        <v>72616.104999999996</v>
      </c>
    </row>
    <row r="139" spans="1:21" s="189" customFormat="1" ht="15" customHeight="1" outlineLevel="1">
      <c r="A139" s="184"/>
      <c r="B139" s="185"/>
      <c r="C139" s="186" t="s">
        <v>29</v>
      </c>
      <c r="D139" s="190"/>
      <c r="E139" s="860">
        <f>ROUND('T1 NSA'!C31,$D$137)</f>
        <v>56918</v>
      </c>
      <c r="F139" s="860">
        <f>ROUND('T1 NSA'!D31,$D$137)</f>
        <v>60137</v>
      </c>
      <c r="G139" s="860">
        <f>ROUND('T1 NSA'!E31,$D$137)</f>
        <v>58351.838000000003</v>
      </c>
      <c r="H139" s="860">
        <f>ROUND('T1 NSA'!F31,$D$137)</f>
        <v>55858.411999999997</v>
      </c>
      <c r="I139" s="860">
        <f>ROUND('T1 NSA'!G31,$D$137)</f>
        <v>61348.08</v>
      </c>
      <c r="J139" s="860">
        <f>ROUND('T1 NSA'!H31,$D$137)</f>
        <v>66282.816000000006</v>
      </c>
      <c r="K139" s="860">
        <f>ROUND('T1 NSA'!I31,$D$137)</f>
        <v>64282.502999999997</v>
      </c>
      <c r="L139" s="860">
        <f>ROUND('T1 NSA'!J31,$D$137)</f>
        <v>62707.05</v>
      </c>
      <c r="M139" s="860">
        <f>ROUND('T1 NSA'!K31,$D$137)</f>
        <v>69525.566999999995</v>
      </c>
      <c r="N139" s="860">
        <f>ROUND('T1 NSA'!L31,$D$137)</f>
        <v>70562.278000000006</v>
      </c>
      <c r="O139" s="860">
        <f>ROUND('T1 NSA'!M31,$D$137)</f>
        <v>70564.365999999995</v>
      </c>
      <c r="P139" s="860">
        <f>ROUND('T1 NSA'!N31,$D$137)</f>
        <v>79593.538</v>
      </c>
      <c r="Q139" s="860">
        <f>ROUND('T1 NSA'!O31,$D$137)</f>
        <v>80109.551999999996</v>
      </c>
      <c r="R139" s="162"/>
      <c r="S139" s="860">
        <f>ROUND('T1 NSA'!T31,$D$137)</f>
        <v>62005.930999999997</v>
      </c>
      <c r="T139" s="860">
        <f>ROUND('T1 NSA'!U31,$D$137)</f>
        <v>63953.277999999998</v>
      </c>
      <c r="U139" s="860">
        <f>ROUND('T1 NSA'!V31,$D$137)</f>
        <v>72615.923999999999</v>
      </c>
    </row>
    <row r="140" spans="1:21" s="183" customFormat="1" ht="15" customHeight="1">
      <c r="A140" s="178" t="s">
        <v>109</v>
      </c>
      <c r="B140" s="861" t="s">
        <v>110</v>
      </c>
      <c r="C140" s="888" t="s">
        <v>111</v>
      </c>
      <c r="D140" s="863">
        <v>3</v>
      </c>
      <c r="E140" s="182" t="b">
        <f>ROUND('T1 NSA'!C55,$D$140)&lt;&gt;0</f>
        <v>1</v>
      </c>
      <c r="F140" s="182" t="b">
        <f>ROUND('T1 NSA'!D55,$D$140)&lt;&gt;0</f>
        <v>1</v>
      </c>
      <c r="G140" s="182" t="b">
        <f>ROUND('T1 NSA'!E55,$D$140)&lt;&gt;0</f>
        <v>1</v>
      </c>
      <c r="H140" s="182" t="b">
        <f>ROUND('T1 NSA'!F55,$D$140)&lt;&gt;0</f>
        <v>1</v>
      </c>
      <c r="I140" s="182" t="b">
        <f>ROUND('T1 NSA'!G55,$D$140)&lt;&gt;0</f>
        <v>1</v>
      </c>
      <c r="J140" s="182" t="b">
        <f>ROUND('T1 NSA'!H55,$D$140)&lt;&gt;0</f>
        <v>1</v>
      </c>
      <c r="K140" s="182" t="b">
        <f>ROUND('T1 NSA'!I55,$D$140)&lt;&gt;0</f>
        <v>1</v>
      </c>
      <c r="L140" s="182" t="b">
        <f>ROUND('T1 NSA'!J55,$D$140)&lt;&gt;0</f>
        <v>1</v>
      </c>
      <c r="M140" s="182" t="b">
        <f>ROUND('T1 NSA'!K55,$D$140)&lt;&gt;0</f>
        <v>1</v>
      </c>
      <c r="N140" s="182" t="b">
        <f>ROUND('T1 NSA'!L55,$D$140)&lt;&gt;0</f>
        <v>1</v>
      </c>
      <c r="O140" s="182" t="b">
        <f>ROUND('T1 NSA'!M55,$D$140)&lt;&gt;0</f>
        <v>1</v>
      </c>
      <c r="P140" s="182" t="b">
        <f>ROUND('T1 NSA'!N55,$D$140)&lt;&gt;0</f>
        <v>1</v>
      </c>
      <c r="Q140" s="182" t="b">
        <f>ROUND('T1 NSA'!O55,$D$140)&lt;&gt;0</f>
        <v>1</v>
      </c>
      <c r="R140" s="162"/>
      <c r="S140" s="182" t="b">
        <f>ROUND('T1 NSA'!T55,$D$140)&lt;&gt;0</f>
        <v>1</v>
      </c>
      <c r="T140" s="182" t="b">
        <f>ROUND('T1 NSA'!U55,$D$140)&lt;&gt;0</f>
        <v>1</v>
      </c>
      <c r="U140" s="182" t="b">
        <f>ROUND('T1 NSA'!V55,$D$140)&lt;&gt;0</f>
        <v>1</v>
      </c>
    </row>
    <row r="141" spans="1:21" s="189" customFormat="1" ht="15" customHeight="1" outlineLevel="1">
      <c r="A141" s="184"/>
      <c r="B141" s="864"/>
      <c r="C141" s="889" t="s">
        <v>112</v>
      </c>
      <c r="D141" s="866"/>
      <c r="E141" s="188">
        <f>ROUND('T1 NSA'!C55,$D$140)</f>
        <v>53481.307000000001</v>
      </c>
      <c r="F141" s="188">
        <f>ROUND('T1 NSA'!D55,$D$140)</f>
        <v>55411.639000000003</v>
      </c>
      <c r="G141" s="188">
        <f>ROUND('T1 NSA'!E55,$D$140)</f>
        <v>56546</v>
      </c>
      <c r="H141" s="188">
        <f>ROUND('T1 NSA'!F55,$D$140)</f>
        <v>58338</v>
      </c>
      <c r="I141" s="188">
        <f>ROUND('T1 NSA'!G55,$D$140)</f>
        <v>58852</v>
      </c>
      <c r="J141" s="188">
        <f>ROUND('T1 NSA'!H55,$D$140)</f>
        <v>60816</v>
      </c>
      <c r="K141" s="188">
        <f>ROUND('T1 NSA'!I55,$D$140)</f>
        <v>58204.771000000001</v>
      </c>
      <c r="L141" s="188">
        <f>ROUND('T1 NSA'!J55,$D$140)</f>
        <v>56478.44</v>
      </c>
      <c r="M141" s="188">
        <f>ROUND('T1 NSA'!K55,$D$140)</f>
        <v>58574.82</v>
      </c>
      <c r="N141" s="188">
        <f>ROUND('T1 NSA'!L55,$D$140)</f>
        <v>57777.082999999999</v>
      </c>
      <c r="O141" s="188">
        <f>ROUND('T1 NSA'!M55,$D$140)</f>
        <v>56893.942999999999</v>
      </c>
      <c r="P141" s="188">
        <f>ROUND('T1 NSA'!N55,$D$140)</f>
        <v>59571.756999999998</v>
      </c>
      <c r="Q141" s="188">
        <f>ROUND('T1 NSA'!O55,$D$140)</f>
        <v>59672.372000000003</v>
      </c>
      <c r="R141" s="162"/>
      <c r="S141" s="188">
        <f>ROUND('T1 NSA'!T55,$D$140)</f>
        <v>52518.417999999998</v>
      </c>
      <c r="T141" s="188">
        <f>ROUND('T1 NSA'!U55,$D$140)</f>
        <v>50244.695</v>
      </c>
      <c r="U141" s="188">
        <f>ROUND('T1 NSA'!V55,$D$140)</f>
        <v>60050.76</v>
      </c>
    </row>
    <row r="142" spans="1:21" s="183" customFormat="1" ht="15" customHeight="1">
      <c r="A142" s="178" t="s">
        <v>113</v>
      </c>
      <c r="B142" s="861" t="s">
        <v>114</v>
      </c>
      <c r="C142" s="895" t="s">
        <v>115</v>
      </c>
      <c r="D142" s="863">
        <v>3</v>
      </c>
      <c r="E142" s="182" t="b">
        <f>ROUND('T1 NSA'!C57,$D$142)=ROUND(IF(OR('T1 NSA'!C56=0,'T1 NSA'!C56=""),'T1 NSA'!C55*1,'T1 NSA'!C55*'T1 NSA'!C56),$D$142)</f>
        <v>1</v>
      </c>
      <c r="F142" s="182" t="b">
        <f>ROUND('T1 NSA'!D57,$D$142)=ROUND(IF(OR('T1 NSA'!D56=0,'T1 NSA'!D56=""),'T1 NSA'!D55*1,'T1 NSA'!D55*'T1 NSA'!D56),$D$142)</f>
        <v>1</v>
      </c>
      <c r="G142" s="182" t="b">
        <f>ROUND('T1 NSA'!E57,$D$142)=ROUND(IF(OR('T1 NSA'!E56=0,'T1 NSA'!E56=""),'T1 NSA'!E55*1,'T1 NSA'!E55*'T1 NSA'!E56),$D$142)</f>
        <v>1</v>
      </c>
      <c r="H142" s="182" t="b">
        <f>ROUND('T1 NSA'!F57,$D$142)=ROUND(IF(OR('T1 NSA'!F56=0,'T1 NSA'!F56=""),'T1 NSA'!F55*1,'T1 NSA'!F55*'T1 NSA'!F56),$D$142)</f>
        <v>1</v>
      </c>
      <c r="I142" s="182" t="b">
        <f>ROUND('T1 NSA'!G57,$D$142)=ROUND(IF(OR('T1 NSA'!G56=0,'T1 NSA'!G56=""),'T1 NSA'!G55*1,'T1 NSA'!G55*'T1 NSA'!G56),$D$142)</f>
        <v>1</v>
      </c>
      <c r="J142" s="182" t="b">
        <f>ROUND('T1 NSA'!H57,$D$142)=ROUND(IF(OR('T1 NSA'!H56=0,'T1 NSA'!H56=""),'T1 NSA'!H55*1,'T1 NSA'!H55*'T1 NSA'!H56),$D$142)</f>
        <v>1</v>
      </c>
      <c r="K142" s="182" t="b">
        <f>ROUND('T1 NSA'!I57,$D$142)=ROUND(IF(OR('T1 NSA'!I56=0,'T1 NSA'!I56=""),'T1 NSA'!I55*1,'T1 NSA'!I55*'T1 NSA'!I56),$D$142)</f>
        <v>1</v>
      </c>
      <c r="L142" s="182" t="b">
        <f>ROUND('T1 NSA'!J57,$D$142)=ROUND(IF(OR('T1 NSA'!J56=0,'T1 NSA'!J56=""),'T1 NSA'!J55*1,'T1 NSA'!J55*'T1 NSA'!J56),$D$142)</f>
        <v>1</v>
      </c>
      <c r="M142" s="182" t="b">
        <f>ROUND('T1 NSA'!K57,$D$142)=ROUND(IF(OR('T1 NSA'!K56=0,'T1 NSA'!K56=""),'T1 NSA'!K55*1,'T1 NSA'!K55*'T1 NSA'!K56),$D$142)</f>
        <v>1</v>
      </c>
      <c r="N142" s="182" t="b">
        <f>ROUND('T1 NSA'!L57,$D$142)=ROUND(IF(OR('T1 NSA'!L56=0,'T1 NSA'!L56=""),'T1 NSA'!L55*1,'T1 NSA'!L55*'T1 NSA'!L56),$D$142)</f>
        <v>1</v>
      </c>
      <c r="O142" s="182" t="b">
        <f>ROUND('T1 NSA'!M57,$D$142)=ROUND(IF(OR('T1 NSA'!M56=0,'T1 NSA'!M56=""),'T1 NSA'!M55*1,'T1 NSA'!M55*'T1 NSA'!M56),$D$142)</f>
        <v>1</v>
      </c>
      <c r="P142" s="182" t="b">
        <f>ROUND('T1 NSA'!N57,$D$142)=ROUND(IF(OR('T1 NSA'!N56=0,'T1 NSA'!N56=""),'T1 NSA'!N55*1,'T1 NSA'!N55*'T1 NSA'!N56),$D$142)</f>
        <v>1</v>
      </c>
      <c r="Q142" s="182" t="b">
        <f>ROUND('T1 NSA'!O57,$D$142)=ROUND(IF(OR('T1 NSA'!O56=0,'T1 NSA'!O56=""),'T1 NSA'!O55*1,'T1 NSA'!O55*'T1 NSA'!O56),$D$142)</f>
        <v>1</v>
      </c>
      <c r="R142" s="162"/>
      <c r="S142" s="182" t="b">
        <f>ROUND('T1 NSA'!T57,$D$142)=ROUND(IF(OR('T1 NSA'!T56=0,'T1 NSA'!T56=""),'T1 NSA'!T55*1,'T1 NSA'!T55*'T1 NSA'!T56),$D$142)</f>
        <v>1</v>
      </c>
      <c r="T142" s="182" t="b">
        <f>ROUND('T1 NSA'!U57,$D$142)=ROUND(IF(OR('T1 NSA'!U56=0,'T1 NSA'!U56=""),'T1 NSA'!U55*1,'T1 NSA'!U55*'T1 NSA'!U56),$D$142)</f>
        <v>1</v>
      </c>
      <c r="U142" s="182" t="b">
        <f>ROUND('T1 NSA'!V57,$D$142)=ROUND(IF(OR('T1 NSA'!V56=0,'T1 NSA'!V56=""),'T1 NSA'!V55*1,'T1 NSA'!V55*'T1 NSA'!V56),$D$142)</f>
        <v>1</v>
      </c>
    </row>
    <row r="143" spans="1:21" s="189" customFormat="1" ht="15" customHeight="1" outlineLevel="1">
      <c r="A143" s="184"/>
      <c r="B143" s="864"/>
      <c r="C143" s="889" t="s">
        <v>116</v>
      </c>
      <c r="D143" s="866"/>
      <c r="E143" s="188">
        <f>ROUND('T1 NSA'!C57,$D$142)</f>
        <v>43385.908000000003</v>
      </c>
      <c r="F143" s="188">
        <f>ROUND('T1 NSA'!D57,$D$142)</f>
        <v>47045.59</v>
      </c>
      <c r="G143" s="188">
        <f>ROUND('T1 NSA'!E57,$D$142)</f>
        <v>45587.838000000003</v>
      </c>
      <c r="H143" s="188">
        <f>ROUND('T1 NSA'!F57,$D$142)</f>
        <v>42365.055999999997</v>
      </c>
      <c r="I143" s="188">
        <f>ROUND('T1 NSA'!G57,$D$142)</f>
        <v>48197.375</v>
      </c>
      <c r="J143" s="188">
        <f>ROUND('T1 NSA'!H57,$D$142)</f>
        <v>53269.402999999998</v>
      </c>
      <c r="K143" s="188">
        <f>ROUND('T1 NSA'!I57,$D$142)</f>
        <v>51490.500999999997</v>
      </c>
      <c r="L143" s="188">
        <f>ROUND('T1 NSA'!J57,$D$142)</f>
        <v>49529.05</v>
      </c>
      <c r="M143" s="188">
        <f>ROUND('T1 NSA'!K57,$D$142)</f>
        <v>50495.243999999999</v>
      </c>
      <c r="N143" s="188">
        <f>ROUND('T1 NSA'!L57,$D$142)</f>
        <v>49807.542999999998</v>
      </c>
      <c r="O143" s="188">
        <f>ROUND('T1 NSA'!M57,$D$142)</f>
        <v>49046.22</v>
      </c>
      <c r="P143" s="188">
        <f>ROUND('T1 NSA'!N57,$D$142)</f>
        <v>52087.637999999999</v>
      </c>
      <c r="Q143" s="188">
        <f>ROUND('T1 NSA'!O57,$D$142)</f>
        <v>52175.612999999998</v>
      </c>
      <c r="R143" s="162"/>
      <c r="S143" s="188">
        <f>ROUND('T1 NSA'!T57,$D$142)</f>
        <v>46686.930999999997</v>
      </c>
      <c r="T143" s="188">
        <f>ROUND('T1 NSA'!U57,$D$142)</f>
        <v>43198.277999999998</v>
      </c>
      <c r="U143" s="188">
        <f>ROUND('T1 NSA'!V57,$D$142)</f>
        <v>51183.665000000001</v>
      </c>
    </row>
    <row r="144" spans="1:21" s="189" customFormat="1" ht="15" customHeight="1" outlineLevel="1">
      <c r="A144" s="184"/>
      <c r="B144" s="864"/>
      <c r="C144" s="889" t="s">
        <v>117</v>
      </c>
      <c r="D144" s="866"/>
      <c r="E144" s="188">
        <f>ROUND(IF(OR('T1 NSA'!C56=0,'T1 NSA'!C56=""),'T1 NSA'!C55*1,'T1 NSA'!C55*'T1 NSA'!C56),$D$142)</f>
        <v>43385.908000000003</v>
      </c>
      <c r="F144" s="188">
        <f>ROUND(IF(OR('T1 NSA'!D56=0,'T1 NSA'!D56=""),'T1 NSA'!D55*1,'T1 NSA'!D55*'T1 NSA'!D56),$D$142)</f>
        <v>47045.59</v>
      </c>
      <c r="G144" s="188">
        <f>ROUND(IF(OR('T1 NSA'!E56=0,'T1 NSA'!E56=""),'T1 NSA'!E55*1,'T1 NSA'!E55*'T1 NSA'!E56),$D$142)</f>
        <v>45587.838000000003</v>
      </c>
      <c r="H144" s="188">
        <f>ROUND(IF(OR('T1 NSA'!F56=0,'T1 NSA'!F56=""),'T1 NSA'!F55*1,'T1 NSA'!F55*'T1 NSA'!F56),$D$142)</f>
        <v>42365.055999999997</v>
      </c>
      <c r="I144" s="188">
        <f>ROUND(IF(OR('T1 NSA'!G56=0,'T1 NSA'!G56=""),'T1 NSA'!G55*1,'T1 NSA'!G55*'T1 NSA'!G56),$D$142)</f>
        <v>48197.375</v>
      </c>
      <c r="J144" s="188">
        <f>ROUND(IF(OR('T1 NSA'!H56=0,'T1 NSA'!H56=""),'T1 NSA'!H55*1,'T1 NSA'!H55*'T1 NSA'!H56),$D$142)</f>
        <v>53269.402999999998</v>
      </c>
      <c r="K144" s="188">
        <f>ROUND(IF(OR('T1 NSA'!I56=0,'T1 NSA'!I56=""),'T1 NSA'!I55*1,'T1 NSA'!I55*'T1 NSA'!I56),$D$142)</f>
        <v>51490.500999999997</v>
      </c>
      <c r="L144" s="188">
        <f>ROUND(IF(OR('T1 NSA'!J56=0,'T1 NSA'!J56=""),'T1 NSA'!J55*1,'T1 NSA'!J55*'T1 NSA'!J56),$D$142)</f>
        <v>49529.05</v>
      </c>
      <c r="M144" s="188">
        <f>ROUND(IF(OR('T1 NSA'!K56=0,'T1 NSA'!K56=""),'T1 NSA'!K55*1,'T1 NSA'!K55*'T1 NSA'!K56),$D$142)</f>
        <v>50495.243999999999</v>
      </c>
      <c r="N144" s="188">
        <f>ROUND(IF(OR('T1 NSA'!L56=0,'T1 NSA'!L56=""),'T1 NSA'!L55*1,'T1 NSA'!L55*'T1 NSA'!L56),$D$142)</f>
        <v>49807.542999999998</v>
      </c>
      <c r="O144" s="188">
        <f>ROUND(IF(OR('T1 NSA'!M56=0,'T1 NSA'!M56=""),'T1 NSA'!M55*1,'T1 NSA'!M55*'T1 NSA'!M56),$D$142)</f>
        <v>49046.22</v>
      </c>
      <c r="P144" s="188">
        <f>ROUND(IF(OR('T1 NSA'!N56=0,'T1 NSA'!N56=""),'T1 NSA'!N55*1,'T1 NSA'!N55*'T1 NSA'!N56),$D$142)</f>
        <v>52087.637999999999</v>
      </c>
      <c r="Q144" s="188">
        <f>ROUND(IF(OR('T1 NSA'!O56=0,'T1 NSA'!O56=""),'T1 NSA'!O55*1,'T1 NSA'!O55*'T1 NSA'!O56),$D$142)</f>
        <v>52175.612999999998</v>
      </c>
      <c r="R144" s="162"/>
      <c r="S144" s="188">
        <f>ROUND(IF(OR('T1 NSA'!T56=0,'T1 NSA'!T56=""),'T1 NSA'!T55*1,'T1 NSA'!T55*'T1 NSA'!T56),$D$142)</f>
        <v>46686.930999999997</v>
      </c>
      <c r="T144" s="188">
        <f>ROUND(IF(OR('T1 NSA'!U56=0,'T1 NSA'!U56=""),'T1 NSA'!U55*1,'T1 NSA'!U55*'T1 NSA'!U56),$D$142)</f>
        <v>43198.277999999998</v>
      </c>
      <c r="U144" s="188">
        <f>ROUND(IF(OR('T1 NSA'!V56=0,'T1 NSA'!V56=""),'T1 NSA'!V55*1,'T1 NSA'!V55*'T1 NSA'!V56),$D$142)</f>
        <v>51183.665000000001</v>
      </c>
    </row>
    <row r="145" spans="1:21" s="183" customFormat="1" ht="15" customHeight="1">
      <c r="A145" s="178" t="s">
        <v>118</v>
      </c>
      <c r="B145" s="861" t="s">
        <v>114</v>
      </c>
      <c r="C145" s="895" t="s">
        <v>119</v>
      </c>
      <c r="D145" s="863">
        <v>3</v>
      </c>
      <c r="E145" s="182" t="b">
        <f>ROUND('T1 NSA'!C57,$D$145)=ROUND('T1 NSA'!C30,$D$145)</f>
        <v>0</v>
      </c>
      <c r="F145" s="182" t="b">
        <f>ROUND('T1 NSA'!D57,$D$145)=ROUND('T1 NSA'!D30,$D$145)</f>
        <v>0</v>
      </c>
      <c r="G145" s="182" t="b">
        <f>ROUND('T1 NSA'!E57,$D$145)=ROUND('T1 NSA'!E30,$D$145)</f>
        <v>1</v>
      </c>
      <c r="H145" s="182" t="b">
        <f>ROUND('T1 NSA'!F57,$D$145)=ROUND('T1 NSA'!F30,$D$145)</f>
        <v>0</v>
      </c>
      <c r="I145" s="182" t="b">
        <f>ROUND('T1 NSA'!G57,$D$145)=ROUND('T1 NSA'!G30,$D$145)</f>
        <v>0</v>
      </c>
      <c r="J145" s="182" t="b">
        <f>ROUND('T1 NSA'!H57,$D$145)=ROUND('T1 NSA'!H30,$D$145)</f>
        <v>0</v>
      </c>
      <c r="K145" s="182" t="b">
        <f>ROUND('T1 NSA'!I57,$D$145)=ROUND('T1 NSA'!I30,$D$145)</f>
        <v>1</v>
      </c>
      <c r="L145" s="182" t="b">
        <f>ROUND('T1 NSA'!J57,$D$145)=ROUND('T1 NSA'!J30,$D$145)</f>
        <v>1</v>
      </c>
      <c r="M145" s="182" t="b">
        <f>ROUND('T1 NSA'!K57,$D$145)=ROUND('T1 NSA'!K30,$D$145)</f>
        <v>1</v>
      </c>
      <c r="N145" s="182" t="b">
        <f>ROUND('T1 NSA'!L57,$D$145)=ROUND('T1 NSA'!L30,$D$145)</f>
        <v>1</v>
      </c>
      <c r="O145" s="182" t="b">
        <f>ROUND('T1 NSA'!M57,$D$145)=ROUND('T1 NSA'!M30,$D$145)</f>
        <v>1</v>
      </c>
      <c r="P145" s="182" t="b">
        <f>ROUND('T1 NSA'!N57,$D$145)=ROUND('T1 NSA'!N30,$D$145)</f>
        <v>1</v>
      </c>
      <c r="Q145" s="182" t="b">
        <f>ROUND('T1 NSA'!O57,$D$145)=ROUND('T1 NSA'!O30,$D$145)</f>
        <v>1</v>
      </c>
      <c r="R145" s="162"/>
      <c r="S145" s="182" t="b">
        <f>ROUND('T1 NSA'!T57,$D$145)=ROUND('T1 NSA'!T30,$D$145)</f>
        <v>1</v>
      </c>
      <c r="T145" s="182" t="b">
        <f>ROUND('T1 NSA'!U57,$D$145)=ROUND('T1 NSA'!U30,$D$145)</f>
        <v>1</v>
      </c>
      <c r="U145" s="182" t="b">
        <f>ROUND('T1 NSA'!V57,$D$145)=ROUND('T1 NSA'!V30,$D$145)</f>
        <v>1</v>
      </c>
    </row>
    <row r="146" spans="1:21" s="189" customFormat="1" ht="15" customHeight="1" outlineLevel="1">
      <c r="A146" s="184"/>
      <c r="B146" s="864"/>
      <c r="C146" s="865" t="s">
        <v>120</v>
      </c>
      <c r="D146" s="866"/>
      <c r="E146" s="188">
        <f>ROUND('T1 NSA'!C57,$D$145)</f>
        <v>43385.908000000003</v>
      </c>
      <c r="F146" s="188">
        <f>ROUND('T1 NSA'!D57,$D$145)</f>
        <v>47045.59</v>
      </c>
      <c r="G146" s="188">
        <f>ROUND('T1 NSA'!E57,$D$145)</f>
        <v>45587.838000000003</v>
      </c>
      <c r="H146" s="188">
        <f>ROUND('T1 NSA'!F57,$D$145)</f>
        <v>42365.055999999997</v>
      </c>
      <c r="I146" s="188">
        <f>ROUND('T1 NSA'!G57,$D$145)</f>
        <v>48197.375</v>
      </c>
      <c r="J146" s="188">
        <f>ROUND('T1 NSA'!H57,$D$145)</f>
        <v>53269.402999999998</v>
      </c>
      <c r="K146" s="188">
        <f>ROUND('T1 NSA'!I57,$D$145)</f>
        <v>51490.500999999997</v>
      </c>
      <c r="L146" s="188">
        <f>ROUND('T1 NSA'!J57,$D$145)</f>
        <v>49529.05</v>
      </c>
      <c r="M146" s="188">
        <f>ROUND('T1 NSA'!K57,$D$145)</f>
        <v>50495.243999999999</v>
      </c>
      <c r="N146" s="188">
        <f>ROUND('T1 NSA'!L57,$D$145)</f>
        <v>49807.542999999998</v>
      </c>
      <c r="O146" s="188">
        <f>ROUND('T1 NSA'!M57,$D$145)</f>
        <v>49046.22</v>
      </c>
      <c r="P146" s="188">
        <f>ROUND('T1 NSA'!N57,$D$145)</f>
        <v>52087.637999999999</v>
      </c>
      <c r="Q146" s="188">
        <f>ROUND('T1 NSA'!O57,$D$145)</f>
        <v>52175.612999999998</v>
      </c>
      <c r="R146" s="162"/>
      <c r="S146" s="188">
        <f>ROUND('T1 NSA'!T57,$D$145)</f>
        <v>46686.930999999997</v>
      </c>
      <c r="T146" s="188">
        <f>ROUND('T1 NSA'!U57,$D$145)</f>
        <v>43198.277999999998</v>
      </c>
      <c r="U146" s="188">
        <f>ROUND('T1 NSA'!V57,$D$145)</f>
        <v>51183.665000000001</v>
      </c>
    </row>
    <row r="147" spans="1:21" s="189" customFormat="1" ht="15" customHeight="1" outlineLevel="1">
      <c r="A147" s="184"/>
      <c r="B147" s="864"/>
      <c r="C147" s="865" t="s">
        <v>121</v>
      </c>
      <c r="D147" s="866"/>
      <c r="E147" s="188">
        <f>ROUND('T1 NSA'!C30,$D$145)</f>
        <v>43386</v>
      </c>
      <c r="F147" s="188">
        <f>ROUND('T1 NSA'!D30,$D$145)</f>
        <v>47046</v>
      </c>
      <c r="G147" s="188">
        <f>ROUND('T1 NSA'!E30,$D$145)</f>
        <v>45587.838000000003</v>
      </c>
      <c r="H147" s="188">
        <f>ROUND('T1 NSA'!F30,$D$145)</f>
        <v>42365.411999999997</v>
      </c>
      <c r="I147" s="188">
        <f>ROUND('T1 NSA'!G30,$D$145)</f>
        <v>48197.614000000001</v>
      </c>
      <c r="J147" s="188">
        <f>ROUND('T1 NSA'!H30,$D$145)</f>
        <v>53269.815999999999</v>
      </c>
      <c r="K147" s="188">
        <f>ROUND('T1 NSA'!I30,$D$145)</f>
        <v>51490.500999999997</v>
      </c>
      <c r="L147" s="188">
        <f>ROUND('T1 NSA'!J30,$D$145)</f>
        <v>49529.05</v>
      </c>
      <c r="M147" s="188">
        <f>ROUND('T1 NSA'!K30,$D$145)</f>
        <v>50495.243999999999</v>
      </c>
      <c r="N147" s="188">
        <f>ROUND('T1 NSA'!L30,$D$145)</f>
        <v>49807.542999999998</v>
      </c>
      <c r="O147" s="188">
        <f>ROUND('T1 NSA'!M30,$D$145)</f>
        <v>49046.22</v>
      </c>
      <c r="P147" s="188">
        <f>ROUND('T1 NSA'!N30,$D$145)</f>
        <v>52087.637999999999</v>
      </c>
      <c r="Q147" s="188">
        <f>ROUND('T1 NSA'!O30,$D$145)</f>
        <v>52175.612999999998</v>
      </c>
      <c r="R147" s="162"/>
      <c r="S147" s="188">
        <f>ROUND('T1 NSA'!T30,$D$145)</f>
        <v>46686.930999999997</v>
      </c>
      <c r="T147" s="188">
        <f>ROUND('T1 NSA'!U30,$D$145)</f>
        <v>43198.277999999998</v>
      </c>
      <c r="U147" s="188">
        <f>ROUND('T1 NSA'!V30,$D$145)</f>
        <v>51183.665000000001</v>
      </c>
    </row>
    <row r="148" spans="1:21" s="183" customFormat="1" ht="15" customHeight="1">
      <c r="A148" s="178" t="s">
        <v>122</v>
      </c>
      <c r="B148" s="861" t="s">
        <v>114</v>
      </c>
      <c r="C148" s="895" t="s">
        <v>123</v>
      </c>
      <c r="D148" s="863">
        <v>3</v>
      </c>
      <c r="E148" s="182" t="b">
        <f>ROUND('T1 NSA'!C57,$D$148)&lt;=ROUND('T1 NSA'!C14,$D$148)</f>
        <v>1</v>
      </c>
      <c r="F148" s="182" t="b">
        <f>ROUND('T1 NSA'!D57,$D$148)&lt;=ROUND('T1 NSA'!D14,$D$148)</f>
        <v>1</v>
      </c>
      <c r="G148" s="182" t="b">
        <f>ROUND('T1 NSA'!E57,$D$148)&lt;=ROUND('T1 NSA'!E14,$D$148)</f>
        <v>1</v>
      </c>
      <c r="H148" s="182" t="b">
        <f>ROUND('T1 NSA'!F57,$D$148)&lt;=ROUND('T1 NSA'!F14,$D$148)</f>
        <v>1</v>
      </c>
      <c r="I148" s="182" t="b">
        <f>ROUND('T1 NSA'!G57,$D$148)&lt;=ROUND('T1 NSA'!G14,$D$148)</f>
        <v>1</v>
      </c>
      <c r="J148" s="182" t="b">
        <f>ROUND('T1 NSA'!H57,$D$148)&lt;=ROUND('T1 NSA'!H14,$D$148)</f>
        <v>1</v>
      </c>
      <c r="K148" s="182" t="b">
        <f>ROUND('T1 NSA'!I57,$D$148)&lt;=ROUND('T1 NSA'!I14,$D$148)</f>
        <v>1</v>
      </c>
      <c r="L148" s="182" t="b">
        <f>ROUND('T1 NSA'!J57,$D$148)&lt;=ROUND('T1 NSA'!J14,$D$148)</f>
        <v>1</v>
      </c>
      <c r="M148" s="182" t="b">
        <f>ROUND('T1 NSA'!K57,$D$148)&lt;=ROUND('T1 NSA'!K14,$D$148)</f>
        <v>1</v>
      </c>
      <c r="N148" s="182" t="b">
        <f>ROUND('T1 NSA'!L57,$D$148)&lt;=ROUND('T1 NSA'!L14,$D$148)</f>
        <v>1</v>
      </c>
      <c r="O148" s="182" t="b">
        <f>ROUND('T1 NSA'!M57,$D$148)&lt;=ROUND('T1 NSA'!M14,$D$148)</f>
        <v>1</v>
      </c>
      <c r="P148" s="182" t="b">
        <f>ROUND('T1 NSA'!N57,$D$148)&lt;=ROUND('T1 NSA'!N14,$D$148)</f>
        <v>1</v>
      </c>
      <c r="Q148" s="182" t="b">
        <f>ROUND('T1 NSA'!O57,$D$148)&lt;=ROUND('T1 NSA'!O14,$D$148)</f>
        <v>1</v>
      </c>
      <c r="R148" s="162"/>
      <c r="S148" s="182" t="b">
        <f>ROUND('T1 NSA'!T57,$D$148)&lt;=ROUND('T1 NSA'!T14,$D$148)</f>
        <v>1</v>
      </c>
      <c r="T148" s="182" t="b">
        <f>ROUND('T1 NSA'!U57,$D$148)&lt;=ROUND('T1 NSA'!U14,$D$148)</f>
        <v>1</v>
      </c>
      <c r="U148" s="182" t="b">
        <f>ROUND('T1 NSA'!V57,$D$148)&lt;=ROUND('T1 NSA'!V14,$D$148)</f>
        <v>1</v>
      </c>
    </row>
    <row r="149" spans="1:21" s="189" customFormat="1" ht="15" customHeight="1" outlineLevel="1">
      <c r="A149" s="184"/>
      <c r="B149" s="864"/>
      <c r="C149" s="865" t="s">
        <v>120</v>
      </c>
      <c r="D149" s="866"/>
      <c r="E149" s="188">
        <f>ROUND('T1 NSA'!C57,$D$148)</f>
        <v>43385.908000000003</v>
      </c>
      <c r="F149" s="188">
        <f>ROUND('T1 NSA'!D57,$D$148)</f>
        <v>47045.59</v>
      </c>
      <c r="G149" s="188">
        <f>ROUND('T1 NSA'!E57,$D$148)</f>
        <v>45587.838000000003</v>
      </c>
      <c r="H149" s="188">
        <f>ROUND('T1 NSA'!F57,$D$148)</f>
        <v>42365.055999999997</v>
      </c>
      <c r="I149" s="188">
        <f>ROUND('T1 NSA'!G57,$D$148)</f>
        <v>48197.375</v>
      </c>
      <c r="J149" s="188">
        <f>ROUND('T1 NSA'!H57,$D$148)</f>
        <v>53269.402999999998</v>
      </c>
      <c r="K149" s="188">
        <f>ROUND('T1 NSA'!I57,$D$148)</f>
        <v>51490.500999999997</v>
      </c>
      <c r="L149" s="188">
        <f>ROUND('T1 NSA'!J57,$D$148)</f>
        <v>49529.05</v>
      </c>
      <c r="M149" s="188">
        <f>ROUND('T1 NSA'!K57,$D$148)</f>
        <v>50495.243999999999</v>
      </c>
      <c r="N149" s="188">
        <f>ROUND('T1 NSA'!L57,$D$148)</f>
        <v>49807.542999999998</v>
      </c>
      <c r="O149" s="188">
        <f>ROUND('T1 NSA'!M57,$D$148)</f>
        <v>49046.22</v>
      </c>
      <c r="P149" s="188">
        <f>ROUND('T1 NSA'!N57,$D$148)</f>
        <v>52087.637999999999</v>
      </c>
      <c r="Q149" s="188">
        <f>ROUND('T1 NSA'!O57,$D$148)</f>
        <v>52175.612999999998</v>
      </c>
      <c r="R149" s="162"/>
      <c r="S149" s="188">
        <f>ROUND('T1 NSA'!T57,$D$148)</f>
        <v>46686.930999999997</v>
      </c>
      <c r="T149" s="188">
        <f>ROUND('T1 NSA'!U57,$D$148)</f>
        <v>43198.277999999998</v>
      </c>
      <c r="U149" s="188">
        <f>ROUND('T1 NSA'!V57,$D$148)</f>
        <v>51183.665000000001</v>
      </c>
    </row>
    <row r="150" spans="1:21" s="189" customFormat="1" ht="15" customHeight="1" outlineLevel="1">
      <c r="A150" s="184"/>
      <c r="B150" s="864"/>
      <c r="C150" s="865" t="s">
        <v>124</v>
      </c>
      <c r="D150" s="866"/>
      <c r="E150" s="188">
        <f>ROUND('T1 NSA'!C14,$D$148)</f>
        <v>45252</v>
      </c>
      <c r="F150" s="188">
        <f>ROUND('T1 NSA'!D14,$D$148)</f>
        <v>48996</v>
      </c>
      <c r="G150" s="188">
        <f>ROUND('T1 NSA'!E14,$D$148)</f>
        <v>47541.838000000003</v>
      </c>
      <c r="H150" s="188">
        <f>ROUND('T1 NSA'!F14,$D$148)</f>
        <v>44270.411999999997</v>
      </c>
      <c r="I150" s="188">
        <f>ROUND('T1 NSA'!G14,$D$148)</f>
        <v>49754.614000000001</v>
      </c>
      <c r="J150" s="188">
        <f>ROUND('T1 NSA'!H14,$D$148)</f>
        <v>54742.815999999999</v>
      </c>
      <c r="K150" s="188">
        <f>ROUND('T1 NSA'!I14,$D$148)</f>
        <v>53025.500999999997</v>
      </c>
      <c r="L150" s="188">
        <f>ROUND('T1 NSA'!J14,$D$148)</f>
        <v>51128.05</v>
      </c>
      <c r="M150" s="188">
        <f>ROUND('T1 NSA'!K14,$D$148)</f>
        <v>55100.243999999999</v>
      </c>
      <c r="N150" s="188">
        <f>ROUND('T1 NSA'!L14,$D$148)</f>
        <v>54929.542999999998</v>
      </c>
      <c r="O150" s="188">
        <f>ROUND('T1 NSA'!M14,$D$148)</f>
        <v>54359.22</v>
      </c>
      <c r="P150" s="188">
        <f>ROUND('T1 NSA'!N14,$D$148)</f>
        <v>60483.981</v>
      </c>
      <c r="Q150" s="188">
        <f>ROUND('T1 NSA'!O14,$D$148)</f>
        <v>60694.12</v>
      </c>
      <c r="R150" s="162"/>
      <c r="S150" s="188">
        <f>ROUND('T1 NSA'!T14,$D$148)</f>
        <v>50067.930999999997</v>
      </c>
      <c r="T150" s="188">
        <f>ROUND('T1 NSA'!U14,$D$148)</f>
        <v>50950.277999999998</v>
      </c>
      <c r="U150" s="188">
        <f>ROUND('T1 NSA'!V14,$D$148)</f>
        <v>57389.493999999999</v>
      </c>
    </row>
    <row r="151" spans="1:21" s="183" customFormat="1" ht="15" customHeight="1">
      <c r="A151" s="178" t="s">
        <v>104</v>
      </c>
      <c r="B151" s="179" t="s">
        <v>58</v>
      </c>
      <c r="C151" s="180" t="s">
        <v>105</v>
      </c>
      <c r="D151" s="181">
        <v>3</v>
      </c>
      <c r="E151" s="182" t="b">
        <f>ROUND('T1 NSA'!C61,$D$151)=ROUND('T1 NSA'!C66,$D$151)</f>
        <v>0</v>
      </c>
      <c r="F151" s="182" t="b">
        <f>ROUND('T1 NSA'!D61,$D$151)=ROUND('T1 NSA'!D66,$D$151)</f>
        <v>0</v>
      </c>
      <c r="G151" s="182" t="b">
        <f>ROUND('T1 NSA'!E61,$D$151)=ROUND('T1 NSA'!E66,$D$151)</f>
        <v>0</v>
      </c>
      <c r="H151" s="182" t="b">
        <f>ROUND('T1 NSA'!F61,$D$151)=ROUND('T1 NSA'!F66,$D$151)</f>
        <v>0</v>
      </c>
      <c r="I151" s="182" t="b">
        <f>ROUND('T1 NSA'!G61,$D$151)=ROUND('T1 NSA'!G66,$D$151)</f>
        <v>0</v>
      </c>
      <c r="J151" s="182" t="b">
        <f>ROUND('T1 NSA'!H61,$D$151)=ROUND('T1 NSA'!H66,$D$151)</f>
        <v>1</v>
      </c>
      <c r="K151" s="182" t="b">
        <f>ROUND('T1 NSA'!I61,$D$151)=ROUND('T1 NSA'!I66,$D$151)</f>
        <v>0</v>
      </c>
      <c r="L151" s="182" t="b">
        <f>ROUND('T1 NSA'!J61,$D$151)=ROUND('T1 NSA'!J66,$D$151)</f>
        <v>0</v>
      </c>
      <c r="M151" s="182" t="b">
        <f>ROUND('T1 NSA'!K61,$D$151)=ROUND('T1 NSA'!K66,$D$151)</f>
        <v>0</v>
      </c>
      <c r="N151" s="182" t="b">
        <f>ROUND('T1 NSA'!L61,$D$151)=ROUND('T1 NSA'!L66,$D$151)</f>
        <v>0</v>
      </c>
      <c r="O151" s="182" t="b">
        <f>ROUND('T1 NSA'!M61,$D$151)=ROUND('T1 NSA'!M66,$D$151)</f>
        <v>0</v>
      </c>
      <c r="P151" s="182" t="b">
        <f>ROUND('T1 NSA'!N61,$D$151)=ROUND('T1 NSA'!N66,$D$151)</f>
        <v>0</v>
      </c>
      <c r="Q151" s="182" t="b">
        <f>ROUND('T1 NSA'!O61,$D$151)=ROUND('T1 NSA'!O66,$D$151)</f>
        <v>0</v>
      </c>
      <c r="R151" s="162"/>
      <c r="S151" s="182" t="b">
        <f>ROUND('T1 NSA'!T61,$D$151)=ROUND('T1 NSA'!T66,$D$151)</f>
        <v>0</v>
      </c>
      <c r="T151" s="182" t="b">
        <f>ROUND('T1 NSA'!U61,$D$151)=ROUND('T1 NSA'!U66,$D$151)</f>
        <v>0</v>
      </c>
      <c r="U151" s="182" t="b">
        <f>ROUND('T1 NSA'!V61,$D$151)=ROUND('T1 NSA'!V66,$D$151)</f>
        <v>0</v>
      </c>
    </row>
    <row r="152" spans="1:21" s="189" customFormat="1" ht="15" customHeight="1" outlineLevel="1">
      <c r="A152" s="184"/>
      <c r="B152" s="185"/>
      <c r="C152" s="186" t="s">
        <v>60</v>
      </c>
      <c r="D152" s="190"/>
      <c r="E152" s="860">
        <f>ROUND('T1 NSA'!C61,$D$151)</f>
        <v>56918</v>
      </c>
      <c r="F152" s="860">
        <f>ROUND('T1 NSA'!D61,$D$151)</f>
        <v>60137</v>
      </c>
      <c r="G152" s="860">
        <f>ROUND('T1 NSA'!E61,$D$151)</f>
        <v>58351.838000000003</v>
      </c>
      <c r="H152" s="860">
        <f>ROUND('T1 NSA'!F61,$D$151)</f>
        <v>55858.411999999997</v>
      </c>
      <c r="I152" s="860">
        <f>ROUND('T1 NSA'!G61,$D$151)</f>
        <v>61348.08</v>
      </c>
      <c r="J152" s="860">
        <f>ROUND('T1 NSA'!H61,$D$151)</f>
        <v>66282.816000000006</v>
      </c>
      <c r="K152" s="860">
        <f>ROUND('T1 NSA'!I61,$D$151)</f>
        <v>64282.502999999997</v>
      </c>
      <c r="L152" s="860">
        <f>ROUND('T1 NSA'!J61,$D$151)</f>
        <v>62707.05</v>
      </c>
      <c r="M152" s="860">
        <f>ROUND('T1 NSA'!K61,$D$151)</f>
        <v>69525.566999999995</v>
      </c>
      <c r="N152" s="860">
        <f>ROUND('T1 NSA'!L61,$D$151)</f>
        <v>70562.278000000006</v>
      </c>
      <c r="O152" s="860">
        <f>ROUND('T1 NSA'!M61,$D$151)</f>
        <v>70564.365999999995</v>
      </c>
      <c r="P152" s="860">
        <f>ROUND('T1 NSA'!N61,$D$151)</f>
        <v>79593.538</v>
      </c>
      <c r="Q152" s="860">
        <f>ROUND('T1 NSA'!O61,$D$151)</f>
        <v>80109.551999999996</v>
      </c>
      <c r="R152" s="162"/>
      <c r="S152" s="860">
        <f>ROUND('T1 NSA'!T61,$D$151)</f>
        <v>62005.930999999997</v>
      </c>
      <c r="T152" s="860">
        <f>ROUND('T1 NSA'!U61,$D$151)</f>
        <v>63953.277999999998</v>
      </c>
      <c r="U152" s="860">
        <f>ROUND('T1 NSA'!V61,$D$151)</f>
        <v>72616.104999999996</v>
      </c>
    </row>
    <row r="153" spans="1:21" s="189" customFormat="1" ht="15" customHeight="1" outlineLevel="1">
      <c r="A153" s="184"/>
      <c r="B153" s="185"/>
      <c r="C153" s="186" t="s">
        <v>61</v>
      </c>
      <c r="D153" s="190"/>
      <c r="E153" s="860">
        <f>ROUND('T1 NSA'!C66,$D$151)</f>
        <v>61300.349000000002</v>
      </c>
      <c r="F153" s="860">
        <f>ROUND('T1 NSA'!D66,$D$151)</f>
        <v>63125.919000000002</v>
      </c>
      <c r="G153" s="860">
        <f>ROUND('T1 NSA'!E66,$D$151)</f>
        <v>60346.828999999998</v>
      </c>
      <c r="H153" s="860">
        <f>ROUND('T1 NSA'!F66,$D$151)</f>
        <v>57768.154999999999</v>
      </c>
      <c r="I153" s="860">
        <f>ROUND('T1 NSA'!G66,$D$151)</f>
        <v>63004.478000000003</v>
      </c>
      <c r="J153" s="860">
        <f>ROUND('T1 NSA'!H66,$D$151)</f>
        <v>66282.816000000006</v>
      </c>
      <c r="K153" s="860">
        <f>ROUND('T1 NSA'!I66,$D$151)</f>
        <v>62714.637000000002</v>
      </c>
      <c r="L153" s="860">
        <f>ROUND('T1 NSA'!J66,$D$151)</f>
        <v>60095.883999999998</v>
      </c>
      <c r="M153" s="860">
        <f>ROUND('T1 NSA'!K66,$D$151)</f>
        <v>65317.152000000002</v>
      </c>
      <c r="N153" s="860">
        <f>ROUND('T1 NSA'!L66,$D$151)</f>
        <v>64991.285000000003</v>
      </c>
      <c r="O153" s="860">
        <f>ROUND('T1 NSA'!M66,$D$151)</f>
        <v>63718.830999999998</v>
      </c>
      <c r="P153" s="860">
        <f>ROUND('T1 NSA'!N66,$D$151)</f>
        <v>67035.172000000006</v>
      </c>
      <c r="Q153" s="860">
        <f>ROUND('T1 NSA'!O66,$D$151)</f>
        <v>66896.634000000005</v>
      </c>
      <c r="R153" s="162"/>
      <c r="S153" s="860">
        <f>ROUND('T1 NSA'!T66,$D$151)</f>
        <v>58893.913999999997</v>
      </c>
      <c r="T153" s="860">
        <f>ROUND('T1 NSA'!U66,$D$151)</f>
        <v>59204.216999999997</v>
      </c>
      <c r="U153" s="860">
        <f>ROUND('T1 NSA'!V66,$D$151)</f>
        <v>61616.642</v>
      </c>
    </row>
    <row r="154" spans="1:21" s="183" customFormat="1" ht="15" customHeight="1">
      <c r="A154" s="178" t="s">
        <v>62</v>
      </c>
      <c r="B154" s="179" t="s">
        <v>63</v>
      </c>
      <c r="C154" s="180" t="s">
        <v>64</v>
      </c>
      <c r="D154" s="190"/>
      <c r="E154" s="182" t="b">
        <f>'T1 NSA'!C68='T1'!C68</f>
        <v>1</v>
      </c>
      <c r="F154" s="182" t="b">
        <f>'T1 NSA'!D68='T1'!D68</f>
        <v>1</v>
      </c>
      <c r="G154" s="182" t="b">
        <f>'T1 NSA'!E68='T1'!E68</f>
        <v>1</v>
      </c>
      <c r="H154" s="182" t="b">
        <f>'T1 NSA'!F68='T1'!F68</f>
        <v>1</v>
      </c>
      <c r="I154" s="182" t="b">
        <f>'T1 NSA'!G68='T1'!G68</f>
        <v>1</v>
      </c>
      <c r="J154" s="182" t="b">
        <f>'T1 NSA'!H68='T1'!H68</f>
        <v>1</v>
      </c>
      <c r="K154" s="182" t="b">
        <f>'T1 NSA'!I68='T1'!I68</f>
        <v>1</v>
      </c>
      <c r="L154" s="182" t="b">
        <f>'T1 NSA'!J68='T1'!J68</f>
        <v>1</v>
      </c>
      <c r="M154" s="182" t="b">
        <f>'T1 NSA'!K68='T1'!K68</f>
        <v>1</v>
      </c>
      <c r="N154" s="182" t="b">
        <f>'T1 NSA'!L68='T1'!L68</f>
        <v>1</v>
      </c>
      <c r="O154" s="182" t="b">
        <f>'T1 NSA'!M68='T1'!M68</f>
        <v>1</v>
      </c>
      <c r="P154" s="182" t="b">
        <f>'T1 NSA'!N68='T1'!N68</f>
        <v>1</v>
      </c>
      <c r="Q154" s="182" t="b">
        <f>'T1 NSA'!O68='T1'!O68</f>
        <v>1</v>
      </c>
      <c r="R154" s="162"/>
      <c r="S154" s="182" t="b">
        <f>'T1 NSA'!T68='T1'!T68</f>
        <v>1</v>
      </c>
      <c r="T154" s="182" t="b">
        <f>'T1 NSA'!U68='T1'!U68</f>
        <v>1</v>
      </c>
      <c r="U154" s="182" t="b">
        <f>'T1 NSA'!V68='T1'!V68</f>
        <v>1</v>
      </c>
    </row>
    <row r="155" spans="1:21" s="189" customFormat="1" ht="15" customHeight="1" outlineLevel="1">
      <c r="A155" s="184"/>
      <c r="B155" s="185"/>
      <c r="C155" s="186" t="s">
        <v>125</v>
      </c>
      <c r="D155" s="190"/>
      <c r="E155" s="860">
        <f>'T1 NSA'!C68</f>
        <v>9607.8779999999988</v>
      </c>
      <c r="F155" s="860">
        <f>'T1 NSA'!D68</f>
        <v>9754.9330000000009</v>
      </c>
      <c r="G155" s="860">
        <f>'T1 NSA'!E68</f>
        <v>9979.4030000000002</v>
      </c>
      <c r="H155" s="860">
        <f>'T1 NSA'!F68</f>
        <v>10153.9</v>
      </c>
      <c r="I155" s="860">
        <f>'T1 NSA'!G68</f>
        <v>10874.798000000001</v>
      </c>
      <c r="J155" s="860">
        <f>'T1 NSA'!H68</f>
        <v>11767.620999999999</v>
      </c>
      <c r="K155" s="860">
        <f>'T1 NSA'!I68</f>
        <v>12194.153</v>
      </c>
      <c r="L155" s="860">
        <f>'T1 NSA'!J68</f>
        <v>12593.8988214</v>
      </c>
      <c r="M155" s="860">
        <f>'T1 NSA'!K68</f>
        <v>12647.945</v>
      </c>
      <c r="N155" s="860">
        <f>'T1 NSA'!L68</f>
        <v>12891</v>
      </c>
      <c r="O155" s="860">
        <f>'T1 NSA'!M68</f>
        <v>13183</v>
      </c>
      <c r="P155" s="860">
        <f>'T1 NSA'!N68</f>
        <v>11956</v>
      </c>
      <c r="Q155" s="860">
        <f>'T1 NSA'!O68</f>
        <v>12930</v>
      </c>
      <c r="R155" s="162"/>
      <c r="S155" s="860">
        <f>'T1 NSA'!T68</f>
        <v>5099.1790000000001</v>
      </c>
      <c r="T155" s="860">
        <f>'T1 NSA'!U68</f>
        <v>5531.451</v>
      </c>
      <c r="U155" s="860">
        <f>'T1 NSA'!V68</f>
        <v>10782.061</v>
      </c>
    </row>
    <row r="156" spans="1:21" s="189" customFormat="1" ht="15" customHeight="1" outlineLevel="1">
      <c r="A156" s="184"/>
      <c r="B156" s="185"/>
      <c r="C156" s="186" t="s">
        <v>66</v>
      </c>
      <c r="D156" s="190"/>
      <c r="E156" s="860">
        <f>'T1'!C68</f>
        <v>9607.8779999999988</v>
      </c>
      <c r="F156" s="860">
        <f>'T1'!D68</f>
        <v>9754.9330000000009</v>
      </c>
      <c r="G156" s="860">
        <f>'T1'!E68</f>
        <v>9979.4030000000002</v>
      </c>
      <c r="H156" s="860">
        <f>'T1'!F68</f>
        <v>10153.9</v>
      </c>
      <c r="I156" s="860">
        <f>'T1'!G68</f>
        <v>10874.798000000001</v>
      </c>
      <c r="J156" s="860">
        <f>'T1'!H68</f>
        <v>11767.620999999999</v>
      </c>
      <c r="K156" s="860">
        <f>'T1'!I68</f>
        <v>12194.153</v>
      </c>
      <c r="L156" s="860">
        <f>'T1'!J68</f>
        <v>12593.8988214</v>
      </c>
      <c r="M156" s="860">
        <f>'T1'!K68</f>
        <v>12647.945</v>
      </c>
      <c r="N156" s="860">
        <f>'T1'!L68</f>
        <v>12891</v>
      </c>
      <c r="O156" s="860">
        <f>'T1'!M68</f>
        <v>13183</v>
      </c>
      <c r="P156" s="860">
        <f>'T1'!N68</f>
        <v>11956</v>
      </c>
      <c r="Q156" s="860">
        <f>'T1'!O68</f>
        <v>12930</v>
      </c>
      <c r="R156" s="162"/>
      <c r="S156" s="860">
        <f>'T1'!T68</f>
        <v>5099.1790000000001</v>
      </c>
      <c r="T156" s="860">
        <f>'T1'!U68</f>
        <v>5531.451</v>
      </c>
      <c r="U156" s="860">
        <f>'T1'!V68</f>
        <v>10782.061</v>
      </c>
    </row>
    <row r="157" spans="1:21" s="183" customFormat="1" ht="15" customHeight="1">
      <c r="A157" s="178" t="s">
        <v>42</v>
      </c>
      <c r="B157" s="179" t="s">
        <v>43</v>
      </c>
      <c r="C157" s="180" t="s">
        <v>44</v>
      </c>
      <c r="D157" s="181">
        <v>2</v>
      </c>
      <c r="E157" s="182" t="b">
        <f>ROUND(('T1 NSA'!C66/'T1 NSA'!C68),$D$157)=ROUND('T1 NSA'!C70,$D$157)</f>
        <v>1</v>
      </c>
      <c r="F157" s="182" t="b">
        <f>ROUND(('T1 NSA'!D66/'T1 NSA'!D68),$D$157)=ROUND('T1 NSA'!D70,$D$157)</f>
        <v>1</v>
      </c>
      <c r="G157" s="182" t="b">
        <f>ROUND(('T1 NSA'!E66/'T1 NSA'!E68),$D$157)=ROUND('T1 NSA'!E70,$D$157)</f>
        <v>1</v>
      </c>
      <c r="H157" s="182" t="b">
        <f>ROUND(('T1 NSA'!F66/'T1 NSA'!F68),$D$157)=ROUND('T1 NSA'!F70,$D$157)</f>
        <v>1</v>
      </c>
      <c r="I157" s="182" t="b">
        <f>ROUND(('T1 NSA'!G66/'T1 NSA'!G68),$D$157)=ROUND('T1 NSA'!G70,$D$157)</f>
        <v>1</v>
      </c>
      <c r="J157" s="182" t="b">
        <f>ROUND(('T1 NSA'!H66/'T1 NSA'!H68),$D$157)=ROUND('T1 NSA'!H70,$D$157)</f>
        <v>1</v>
      </c>
      <c r="K157" s="182" t="b">
        <f>ROUND(('T1 NSA'!I66/'T1 NSA'!I68),$D$157)=ROUND('T1 NSA'!I70,$D$157)</f>
        <v>1</v>
      </c>
      <c r="L157" s="182" t="b">
        <f>ROUND(('T1 NSA'!J66/'T1 NSA'!J68),$D$157)=ROUND('T1 NSA'!J70,$D$157)</f>
        <v>1</v>
      </c>
      <c r="M157" s="182" t="b">
        <f>ROUND(('T1 NSA'!K66/'T1 NSA'!K68),$D$157)=ROUND('T1 NSA'!K70,$D$157)</f>
        <v>1</v>
      </c>
      <c r="N157" s="182" t="b">
        <f>ROUND(('T1 NSA'!L66/'T1 NSA'!L68),$D$157)=ROUND('T1 NSA'!L70,$D$157)</f>
        <v>1</v>
      </c>
      <c r="O157" s="182" t="b">
        <f>ROUND(('T1 NSA'!M66/'T1 NSA'!M68),$D$157)=ROUND('T1 NSA'!M70,$D$157)</f>
        <v>1</v>
      </c>
      <c r="P157" s="182" t="b">
        <f>ROUND(('T1 NSA'!N66/'T1 NSA'!N68),$D$157)=ROUND('T1 NSA'!N70,$D$157)</f>
        <v>1</v>
      </c>
      <c r="Q157" s="182" t="b">
        <f>ROUND(('T1 NSA'!O66/'T1 NSA'!O68),$D$157)=ROUND('T1 NSA'!O70,$D$157)</f>
        <v>1</v>
      </c>
      <c r="R157" s="162"/>
      <c r="S157" s="182" t="b">
        <f>ROUND(('T1 NSA'!T66/'T1 NSA'!T68),$D$157)=ROUND('T1 NSA'!T70,$D$157)</f>
        <v>1</v>
      </c>
      <c r="T157" s="182" t="b">
        <f>ROUND(('T1 NSA'!U66/'T1 NSA'!U68),$D$157)=ROUND('T1 NSA'!U70,$D$157)</f>
        <v>1</v>
      </c>
      <c r="U157" s="182" t="b">
        <f>ROUND(('T1 NSA'!V66/'T1 NSA'!V68),$D$157)=ROUND('T1 NSA'!V70,$D$157)</f>
        <v>1</v>
      </c>
    </row>
    <row r="158" spans="1:21" s="189" customFormat="1" ht="15" customHeight="1" outlineLevel="1">
      <c r="A158" s="184"/>
      <c r="B158" s="185"/>
      <c r="C158" s="186" t="s">
        <v>45</v>
      </c>
      <c r="D158" s="190"/>
      <c r="E158" s="214">
        <f>ROUND(('T1 NSA'!C66/'T1 NSA'!C68),$D$157)</f>
        <v>6.38</v>
      </c>
      <c r="F158" s="214">
        <f>ROUND(('T1 NSA'!D66/'T1 NSA'!D68),$D$157)</f>
        <v>6.47</v>
      </c>
      <c r="G158" s="214">
        <f>ROUND(('T1 NSA'!E66/'T1 NSA'!E68),$D$157)</f>
        <v>6.05</v>
      </c>
      <c r="H158" s="214">
        <f>ROUND(('T1 NSA'!F66/'T1 NSA'!F68),$D$157)</f>
        <v>5.69</v>
      </c>
      <c r="I158" s="214">
        <f>ROUND(('T1 NSA'!G66/'T1 NSA'!G68),$D$157)</f>
        <v>5.79</v>
      </c>
      <c r="J158" s="214">
        <f>ROUND(('T1 NSA'!H66/'T1 NSA'!H68),$D$157)</f>
        <v>5.63</v>
      </c>
      <c r="K158" s="214">
        <f>ROUND(('T1 NSA'!I66/'T1 NSA'!I68),$D$157)</f>
        <v>5.14</v>
      </c>
      <c r="L158" s="214">
        <f>ROUND(('T1 NSA'!J66/'T1 NSA'!J68),$D$157)</f>
        <v>4.7699999999999996</v>
      </c>
      <c r="M158" s="214">
        <f>ROUND(('T1 NSA'!K66/'T1 NSA'!K68),$D$157)</f>
        <v>5.16</v>
      </c>
      <c r="N158" s="214">
        <f>ROUND(('T1 NSA'!L66/'T1 NSA'!L68),$D$157)</f>
        <v>5.04</v>
      </c>
      <c r="O158" s="214">
        <f>ROUND(('T1 NSA'!M66/'T1 NSA'!M68),$D$157)</f>
        <v>4.83</v>
      </c>
      <c r="P158" s="214">
        <f>ROUND(('T1 NSA'!N66/'T1 NSA'!N68),$D$157)</f>
        <v>5.61</v>
      </c>
      <c r="Q158" s="214">
        <f>ROUND(('T1 NSA'!O66/'T1 NSA'!O68),$D$157)</f>
        <v>5.17</v>
      </c>
      <c r="R158" s="162"/>
      <c r="S158" s="214">
        <f>ROUND(('T1 NSA'!T66/'T1 NSA'!T68),$D$157)</f>
        <v>11.55</v>
      </c>
      <c r="T158" s="214">
        <f>ROUND(('T1 NSA'!U66/'T1 NSA'!U68),$D$157)</f>
        <v>10.7</v>
      </c>
      <c r="U158" s="214">
        <f>ROUND(('T1 NSA'!V66/'T1 NSA'!V68),$D$157)</f>
        <v>5.71</v>
      </c>
    </row>
    <row r="159" spans="1:21" s="189" customFormat="1" ht="15" customHeight="1" outlineLevel="1">
      <c r="A159" s="184"/>
      <c r="B159" s="185"/>
      <c r="C159" s="186" t="s">
        <v>46</v>
      </c>
      <c r="D159" s="190"/>
      <c r="E159" s="214">
        <f>ROUND('T1 NSA'!C70,$D$157)</f>
        <v>6.38</v>
      </c>
      <c r="F159" s="214">
        <f>ROUND('T1 NSA'!D70,$D$157)</f>
        <v>6.47</v>
      </c>
      <c r="G159" s="214">
        <f>ROUND('T1 NSA'!E70,$D$157)</f>
        <v>6.05</v>
      </c>
      <c r="H159" s="214">
        <f>ROUND('T1 NSA'!F70,$D$157)</f>
        <v>5.69</v>
      </c>
      <c r="I159" s="214">
        <f>ROUND('T1 NSA'!G70,$D$157)</f>
        <v>5.79</v>
      </c>
      <c r="J159" s="214">
        <f>ROUND('T1 NSA'!H70,$D$157)</f>
        <v>5.63</v>
      </c>
      <c r="K159" s="214">
        <f>ROUND('T1 NSA'!I70,$D$157)</f>
        <v>5.14</v>
      </c>
      <c r="L159" s="214">
        <f>ROUND('T1 NSA'!J70,$D$157)</f>
        <v>4.7699999999999996</v>
      </c>
      <c r="M159" s="214">
        <f>ROUND('T1 NSA'!K70,$D$157)</f>
        <v>5.16</v>
      </c>
      <c r="N159" s="214">
        <f>ROUND('T1 NSA'!L70,$D$157)</f>
        <v>5.04</v>
      </c>
      <c r="O159" s="214">
        <f>ROUND('T1 NSA'!M70,$D$157)</f>
        <v>4.83</v>
      </c>
      <c r="P159" s="214">
        <f>ROUND('T1 NSA'!N70,$D$157)</f>
        <v>5.61</v>
      </c>
      <c r="Q159" s="214">
        <f>ROUND('T1 NSA'!O70,$D$157)</f>
        <v>5.17</v>
      </c>
      <c r="R159" s="162"/>
      <c r="S159" s="214">
        <f>ROUND('T1 NSA'!T70,$D$157)</f>
        <v>11.55</v>
      </c>
      <c r="T159" s="214">
        <f>ROUND('T1 NSA'!U70,$D$157)</f>
        <v>10.7</v>
      </c>
      <c r="U159" s="214">
        <f>ROUND('T1 NSA'!V70,$D$157)</f>
        <v>5.71</v>
      </c>
    </row>
    <row r="160" spans="1:21" s="183" customFormat="1" ht="15" customHeight="1">
      <c r="A160" s="178" t="s">
        <v>75</v>
      </c>
      <c r="B160" s="179" t="s">
        <v>76</v>
      </c>
      <c r="C160" s="200" t="s">
        <v>77</v>
      </c>
      <c r="D160" s="181">
        <v>3</v>
      </c>
      <c r="E160" s="182" t="b">
        <f>IF('T1 NSA'!C16&gt;0,(ROUND('T1 NSA'!C41,$D$160)=ROUND('T1 NSA'!C16/'T1 NSA'!C39,$D$160)),"N/A")</f>
        <v>1</v>
      </c>
      <c r="F160" s="182" t="b">
        <f>IF('T1 NSA'!D16&gt;0,(ROUND('T1 NSA'!D41,$D$160)=ROUND('T1 NSA'!D16/'T1 NSA'!D39,$D$160)),"N/A")</f>
        <v>1</v>
      </c>
      <c r="G160" s="182" t="b">
        <f>IF('T1 NSA'!E16&gt;0,(ROUND('T1 NSA'!E41,$D$160)=ROUND('T1 NSA'!E16/'T1 NSA'!E39,$D$160)),"N/A")</f>
        <v>1</v>
      </c>
      <c r="H160" s="182" t="b">
        <f>IF('T1 NSA'!F16&gt;0,(ROUND('T1 NSA'!F41,$D$160)=ROUND('T1 NSA'!F16/'T1 NSA'!F39,$D$160)),"N/A")</f>
        <v>1</v>
      </c>
      <c r="I160" s="182" t="b">
        <f>IF('T1 NSA'!G16&gt;0,(ROUND('T1 NSA'!G41,$D$160)=ROUND('T1 NSA'!G16/'T1 NSA'!G39,$D$160)),"N/A")</f>
        <v>1</v>
      </c>
      <c r="J160" s="182" t="b">
        <f>IF('T1 NSA'!H16&gt;0,(ROUND('T1 NSA'!H41,$D$160)=ROUND('T1 NSA'!H16/'T1 NSA'!H39,$D$160)),"N/A")</f>
        <v>1</v>
      </c>
      <c r="K160" s="182" t="b">
        <f>IF('T1 NSA'!I16&gt;0,(ROUND('T1 NSA'!I41,$D$160)=ROUND('T1 NSA'!I16/'T1 NSA'!I39,$D$160)),"N/A")</f>
        <v>1</v>
      </c>
      <c r="L160" s="182" t="b">
        <f>IF('T1 NSA'!J16&gt;0,(ROUND('T1 NSA'!J41,$D$160)=ROUND('T1 NSA'!J16/'T1 NSA'!J39,$D$160)),"N/A")</f>
        <v>1</v>
      </c>
      <c r="M160" s="182" t="b">
        <f>IF('T1 NSA'!K16&gt;0,(ROUND('T1 NSA'!K41,$D$160)=ROUND('T1 NSA'!K16/'T1 NSA'!K39,$D$160)),"N/A")</f>
        <v>1</v>
      </c>
      <c r="N160" s="182" t="b">
        <f>IF('T1 NSA'!L16&gt;0,(ROUND('T1 NSA'!L41,$D$160)=ROUND('T1 NSA'!L16/'T1 NSA'!L39,$D$160)),"N/A")</f>
        <v>1</v>
      </c>
      <c r="O160" s="182" t="b">
        <f>IF('T1 NSA'!M16&gt;0,(ROUND('T1 NSA'!M41,$D$160)=ROUND('T1 NSA'!M16/'T1 NSA'!M39,$D$160)),"N/A")</f>
        <v>1</v>
      </c>
      <c r="P160" s="182" t="b">
        <f>IF('T1 NSA'!N16&gt;0,(ROUND('T1 NSA'!N41,$D$160)=ROUND('T1 NSA'!N16/'T1 NSA'!N39,$D$160)),"N/A")</f>
        <v>1</v>
      </c>
      <c r="Q160" s="182" t="b">
        <f>IF('T1 NSA'!O16&gt;0,(ROUND('T1 NSA'!O41,$D$160)=ROUND('T1 NSA'!O16/'T1 NSA'!O39,$D$160)),"N/A")</f>
        <v>1</v>
      </c>
      <c r="R160" s="162"/>
      <c r="S160" s="182" t="b">
        <f>IF('T1 NSA'!T16&gt;0,(ROUND('T1 NSA'!T41,$D$160)=ROUND('T1 NSA'!T16/'T1 NSA'!T39,$D$160)),"N/A")</f>
        <v>1</v>
      </c>
      <c r="T160" s="182" t="b">
        <f>IF('T1 NSA'!U16&gt;0,(ROUND('T1 NSA'!U41,$D$160)=ROUND('T1 NSA'!U16/'T1 NSA'!U39,$D$160)),"N/A")</f>
        <v>1</v>
      </c>
      <c r="U160" s="182" t="b">
        <f>IF('T1 NSA'!V16&gt;0,(ROUND('T1 NSA'!V41,$D$160)=ROUND('T1 NSA'!V16/'T1 NSA'!V39,$D$160)),"N/A")</f>
        <v>1</v>
      </c>
    </row>
    <row r="161" spans="1:23" s="189" customFormat="1" ht="15" customHeight="1" outlineLevel="1">
      <c r="A161" s="184"/>
      <c r="B161" s="185"/>
      <c r="C161" s="186" t="s">
        <v>78</v>
      </c>
      <c r="D161" s="190"/>
      <c r="E161" s="201">
        <f>IF('T1 NSA'!C16&gt;0,(ROUND('T1 NSA'!C41,$D$160)),"N/A")</f>
        <v>4.7E-2</v>
      </c>
      <c r="F161" s="201">
        <f>IF('T1 NSA'!D16&gt;0,(ROUND('T1 NSA'!D41,$D$160)),"N/A")</f>
        <v>4.5999999999999999E-2</v>
      </c>
      <c r="G161" s="201">
        <f>IF('T1 NSA'!E16&gt;0,(ROUND('T1 NSA'!E41,$D$160)),"N/A")</f>
        <v>4.5999999999999999E-2</v>
      </c>
      <c r="H161" s="201">
        <f>IF('T1 NSA'!F16&gt;0,(ROUND('T1 NSA'!F41,$D$160)),"N/A")</f>
        <v>4.5999999999999999E-2</v>
      </c>
      <c r="I161" s="201">
        <f>IF('T1 NSA'!G16&gt;0,(ROUND('T1 NSA'!G41,$D$160)),"N/A")</f>
        <v>4.5999999999999999E-2</v>
      </c>
      <c r="J161" s="201">
        <f>IF('T1 NSA'!H16&gt;0,(ROUND('T1 NSA'!H41,$D$160)),"N/A")</f>
        <v>4.5999999999999999E-2</v>
      </c>
      <c r="K161" s="201">
        <f>IF('T1 NSA'!I16&gt;0,(ROUND('T1 NSA'!I41,$D$160)),"N/A")</f>
        <v>4.7E-2</v>
      </c>
      <c r="L161" s="201">
        <f>IF('T1 NSA'!J16&gt;0,(ROUND('T1 NSA'!J41,$D$160)),"N/A")</f>
        <v>4.7E-2</v>
      </c>
      <c r="M161" s="201">
        <f>IF('T1 NSA'!K16&gt;0,(ROUND('T1 NSA'!K41,$D$160)),"N/A")</f>
        <v>4.5999999999999999E-2</v>
      </c>
      <c r="N161" s="201">
        <f>IF('T1 NSA'!L16&gt;0,(ROUND('T1 NSA'!L41,$D$160)),"N/A")</f>
        <v>4.5999999999999999E-2</v>
      </c>
      <c r="O161" s="201">
        <f>IF('T1 NSA'!M16&gt;0,(ROUND('T1 NSA'!M41,$D$160)),"N/A")</f>
        <v>4.5999999999999999E-2</v>
      </c>
      <c r="P161" s="201">
        <f>IF('T1 NSA'!N16&gt;0,(ROUND('T1 NSA'!N41,$D$160)),"N/A")</f>
        <v>4.5999999999999999E-2</v>
      </c>
      <c r="Q161" s="201">
        <f>IF('T1 NSA'!O16&gt;0,(ROUND('T1 NSA'!O41,$D$160)),"N/A")</f>
        <v>4.5999999999999999E-2</v>
      </c>
      <c r="R161" s="162"/>
      <c r="S161" s="201">
        <f>IF('T1 NSA'!T16&gt;0,(ROUND('T1 NSA'!T41,$D$160)),"N/A")</f>
        <v>4.5999999999999999E-2</v>
      </c>
      <c r="T161" s="201">
        <f>IF('T1 NSA'!U16&gt;0,(ROUND('T1 NSA'!U41,$D$160)),"N/A")</f>
        <v>4.5999999999999999E-2</v>
      </c>
      <c r="U161" s="201">
        <f>IF('T1 NSA'!V16&gt;0,(ROUND('T1 NSA'!V41,$D$160)),"N/A")</f>
        <v>4.5999999999999999E-2</v>
      </c>
    </row>
    <row r="162" spans="1:23" s="189" customFormat="1" ht="15" customHeight="1" outlineLevel="1">
      <c r="A162" s="184"/>
      <c r="B162" s="185"/>
      <c r="C162" s="186" t="s">
        <v>79</v>
      </c>
      <c r="D162" s="190"/>
      <c r="E162" s="201">
        <f>IF('T1 NSA'!C16&gt;0,ROUND('T1 NSA'!C16/'T1 NSA'!C39,$D$160),"N/A")</f>
        <v>4.7E-2</v>
      </c>
      <c r="F162" s="201">
        <f>IF('T1 NSA'!D16&gt;0,ROUND('T1 NSA'!D16/'T1 NSA'!D39,$D$160),"N/A")</f>
        <v>4.5999999999999999E-2</v>
      </c>
      <c r="G162" s="201">
        <f>IF('T1 NSA'!E16&gt;0,ROUND('T1 NSA'!E16/'T1 NSA'!E39,$D$160),"N/A")</f>
        <v>4.5999999999999999E-2</v>
      </c>
      <c r="H162" s="201">
        <f>IF('T1 NSA'!F16&gt;0,ROUND('T1 NSA'!F16/'T1 NSA'!F39,$D$160),"N/A")</f>
        <v>4.5999999999999999E-2</v>
      </c>
      <c r="I162" s="201">
        <f>IF('T1 NSA'!G16&gt;0,ROUND('T1 NSA'!G16/'T1 NSA'!G39,$D$160),"N/A")</f>
        <v>4.5999999999999999E-2</v>
      </c>
      <c r="J162" s="201">
        <f>IF('T1 NSA'!H16&gt;0,ROUND('T1 NSA'!H16/'T1 NSA'!H39,$D$160),"N/A")</f>
        <v>4.5999999999999999E-2</v>
      </c>
      <c r="K162" s="201">
        <f>IF('T1 NSA'!I16&gt;0,ROUND('T1 NSA'!I16/'T1 NSA'!I39,$D$160),"N/A")</f>
        <v>4.7E-2</v>
      </c>
      <c r="L162" s="201">
        <f>IF('T1 NSA'!J16&gt;0,ROUND('T1 NSA'!J16/'T1 NSA'!J39,$D$160),"N/A")</f>
        <v>4.7E-2</v>
      </c>
      <c r="M162" s="201">
        <f>IF('T1 NSA'!K16&gt;0,ROUND('T1 NSA'!K16/'T1 NSA'!K39,$D$160),"N/A")</f>
        <v>4.5999999999999999E-2</v>
      </c>
      <c r="N162" s="201">
        <f>IF('T1 NSA'!L16&gt;0,ROUND('T1 NSA'!L16/'T1 NSA'!L39,$D$160),"N/A")</f>
        <v>4.5999999999999999E-2</v>
      </c>
      <c r="O162" s="201">
        <f>IF('T1 NSA'!M16&gt;0,ROUND('T1 NSA'!M16/'T1 NSA'!M39,$D$160),"N/A")</f>
        <v>4.5999999999999999E-2</v>
      </c>
      <c r="P162" s="201">
        <f>IF('T1 NSA'!N16&gt;0,ROUND('T1 NSA'!N16/'T1 NSA'!N39,$D$160),"N/A")</f>
        <v>4.5999999999999999E-2</v>
      </c>
      <c r="Q162" s="201">
        <f>IF('T1 NSA'!O16&gt;0,ROUND('T1 NSA'!O16/'T1 NSA'!O39,$D$160),"N/A")</f>
        <v>4.5999999999999999E-2</v>
      </c>
      <c r="R162" s="162"/>
      <c r="S162" s="201">
        <f>IF('T1 NSA'!T16&gt;0,ROUND('T1 NSA'!T16/'T1 NSA'!T39,$D$160),"N/A")</f>
        <v>4.5999999999999999E-2</v>
      </c>
      <c r="T162" s="201">
        <f>IF('T1 NSA'!U16&gt;0,ROUND('T1 NSA'!U16/'T1 NSA'!U39,$D$160),"N/A")</f>
        <v>4.5999999999999999E-2</v>
      </c>
      <c r="U162" s="201">
        <f>IF('T1 NSA'!V16&gt;0,ROUND('T1 NSA'!V16/'T1 NSA'!V39,$D$160),"N/A")</f>
        <v>4.5999999999999999E-2</v>
      </c>
    </row>
    <row r="163" spans="1:23" s="183" customFormat="1" ht="15" customHeight="1">
      <c r="A163" s="178" t="s">
        <v>80</v>
      </c>
      <c r="B163" s="179" t="s">
        <v>81</v>
      </c>
      <c r="C163" s="202" t="s">
        <v>82</v>
      </c>
      <c r="D163" s="181">
        <v>2</v>
      </c>
      <c r="E163" s="182" t="b">
        <f>IF('T1 NSA'!C16&gt;0,IF(ISERROR(ROUND(('T1 NSA'!C16-('T1 NSA'!C39*'T1 NSA'!C43))/(('T1 NSA'!C39*'T1 NSA'!C42)-('T1 NSA'!C39*'T1 NSA'!C43)),$D$163)),"N/A",ROUND(('T1 NSA'!C16-('T1 NSA'!C39*'T1 NSA'!C43))/(('T1 NSA'!C39*'T1 NSA'!C42)-('T1 NSA'!C39*'T1 NSA'!C43)),$D$163))=ROUND('T1 NSA'!C44,$D$163),"N/A")</f>
        <v>1</v>
      </c>
      <c r="F163" s="182" t="b">
        <f>IF('T1 NSA'!D16&gt;0,IF(ISERROR(ROUND(('T1 NSA'!D16-('T1 NSA'!D39*'T1 NSA'!D43))/(('T1 NSA'!D39*'T1 NSA'!D42)-('T1 NSA'!D39*'T1 NSA'!D43)),$D$163)),"N/A",ROUND(('T1 NSA'!D16-('T1 NSA'!D39*'T1 NSA'!D43))/(('T1 NSA'!D39*'T1 NSA'!D42)-('T1 NSA'!D39*'T1 NSA'!D43)),$D$163))=ROUND('T1 NSA'!D44,$D$163),"N/A")</f>
        <v>1</v>
      </c>
      <c r="G163" s="182" t="b">
        <f>IF('T1 NSA'!E16&gt;0,IF(ISERROR(ROUND(('T1 NSA'!E16-('T1 NSA'!E39*'T1 NSA'!E43))/(('T1 NSA'!E39*'T1 NSA'!E42)-('T1 NSA'!E39*'T1 NSA'!E43)),$D$163)),"N/A",ROUND(('T1 NSA'!E16-('T1 NSA'!E39*'T1 NSA'!E43))/(('T1 NSA'!E39*'T1 NSA'!E42)-('T1 NSA'!E39*'T1 NSA'!E43)),$D$163))=ROUND('T1 NSA'!E44,$D$163),"N/A")</f>
        <v>1</v>
      </c>
      <c r="H163" s="182" t="b">
        <f>IF('T1 NSA'!F16&gt;0,IF(ISERROR(ROUND(('T1 NSA'!F16-('T1 NSA'!F39*'T1 NSA'!F43))/(('T1 NSA'!F39*'T1 NSA'!F42)-('T1 NSA'!F39*'T1 NSA'!F43)),$D$163)),"N/A",ROUND(('T1 NSA'!F16-('T1 NSA'!F39*'T1 NSA'!F43))/(('T1 NSA'!F39*'T1 NSA'!F42)-('T1 NSA'!F39*'T1 NSA'!F43)),$D$163))=ROUND('T1 NSA'!F44,$D$163),"N/A")</f>
        <v>1</v>
      </c>
      <c r="I163" s="182" t="b">
        <f>IF('T1 NSA'!G16&gt;0,IF(ISERROR(ROUND(('T1 NSA'!G16-('T1 NSA'!G39*'T1 NSA'!G43))/(('T1 NSA'!G39*'T1 NSA'!G42)-('T1 NSA'!G39*'T1 NSA'!G43)),$D$163)),"N/A",ROUND(('T1 NSA'!G16-('T1 NSA'!G39*'T1 NSA'!G43))/(('T1 NSA'!G39*'T1 NSA'!G42)-('T1 NSA'!G39*'T1 NSA'!G43)),$D$163))=ROUND('T1 NSA'!G44,$D$163),"N/A")</f>
        <v>1</v>
      </c>
      <c r="J163" s="182" t="b">
        <f>IF('T1 NSA'!H16&gt;0,IF(ISERROR(ROUND(('T1 NSA'!H16-('T1 NSA'!H39*'T1 NSA'!H43))/(('T1 NSA'!H39*'T1 NSA'!H42)-('T1 NSA'!H39*'T1 NSA'!H43)),$D$163)),"N/A",ROUND(('T1 NSA'!H16-('T1 NSA'!H39*'T1 NSA'!H43))/(('T1 NSA'!H39*'T1 NSA'!H42)-('T1 NSA'!H39*'T1 NSA'!H43)),$D$163))=ROUND('T1 NSA'!H44,$D$163),"N/A")</f>
        <v>1</v>
      </c>
      <c r="K163" s="182" t="b">
        <f>IF('T1 NSA'!I16&gt;0,IF(ISERROR(ROUND(('T1 NSA'!I16-('T1 NSA'!I39*'T1 NSA'!I43))/(('T1 NSA'!I39*'T1 NSA'!I42)-('T1 NSA'!I39*'T1 NSA'!I43)),$D$163)),"N/A",ROUND(('T1 NSA'!I16-('T1 NSA'!I39*'T1 NSA'!I43))/(('T1 NSA'!I39*'T1 NSA'!I42)-('T1 NSA'!I39*'T1 NSA'!I43)),$D$163))=ROUND('T1 NSA'!I44,$D$163),"N/A")</f>
        <v>1</v>
      </c>
      <c r="L163" s="182" t="b">
        <f>IF('T1 NSA'!J16&gt;0,IF(ISERROR(ROUND(('T1 NSA'!J16-('T1 NSA'!J39*'T1 NSA'!J43))/(('T1 NSA'!J39*'T1 NSA'!J42)-('T1 NSA'!J39*'T1 NSA'!J43)),$D$163)),"N/A",ROUND(('T1 NSA'!J16-('T1 NSA'!J39*'T1 NSA'!J43))/(('T1 NSA'!J39*'T1 NSA'!J42)-('T1 NSA'!J39*'T1 NSA'!J43)),$D$163))=ROUND('T1 NSA'!J44,$D$163),"N/A")</f>
        <v>0</v>
      </c>
      <c r="M163" s="182" t="b">
        <f>IF('T1 NSA'!K16&gt;0,IF(ISERROR(ROUND(('T1 NSA'!K16-('T1 NSA'!K39*'T1 NSA'!K43))/(('T1 NSA'!K39*'T1 NSA'!K42)-('T1 NSA'!K39*'T1 NSA'!K43)),$D$163)),"N/A",ROUND(('T1 NSA'!K16-('T1 NSA'!K39*'T1 NSA'!K43))/(('T1 NSA'!K39*'T1 NSA'!K42)-('T1 NSA'!K39*'T1 NSA'!K43)),$D$163))=ROUND('T1 NSA'!K44,$D$163),"N/A")</f>
        <v>1</v>
      </c>
      <c r="N163" s="182" t="b">
        <f>IF('T1 NSA'!L16&gt;0,IF(ISERROR(ROUND(('T1 NSA'!L16-('T1 NSA'!L39*'T1 NSA'!L43))/(('T1 NSA'!L39*'T1 NSA'!L42)-('T1 NSA'!L39*'T1 NSA'!L43)),$D$163)),"N/A",ROUND(('T1 NSA'!L16-('T1 NSA'!L39*'T1 NSA'!L43))/(('T1 NSA'!L39*'T1 NSA'!L42)-('T1 NSA'!L39*'T1 NSA'!L43)),$D$163))=ROUND('T1 NSA'!L44,$D$163),"N/A")</f>
        <v>1</v>
      </c>
      <c r="O163" s="182" t="b">
        <f>IF('T1 NSA'!M16&gt;0,IF(ISERROR(ROUND(('T1 NSA'!M16-('T1 NSA'!M39*'T1 NSA'!M43))/(('T1 NSA'!M39*'T1 NSA'!M42)-('T1 NSA'!M39*'T1 NSA'!M43)),$D$163)),"N/A",ROUND(('T1 NSA'!M16-('T1 NSA'!M39*'T1 NSA'!M43))/(('T1 NSA'!M39*'T1 NSA'!M42)-('T1 NSA'!M39*'T1 NSA'!M43)),$D$163))=ROUND('T1 NSA'!M44,$D$163),"N/A")</f>
        <v>1</v>
      </c>
      <c r="P163" s="182" t="b">
        <f>IF('T1 NSA'!N16&gt;0,IF(ISERROR(ROUND(('T1 NSA'!N16-('T1 NSA'!N39*'T1 NSA'!N43))/(('T1 NSA'!N39*'T1 NSA'!N42)-('T1 NSA'!N39*'T1 NSA'!N43)),$D$163)),"N/A",ROUND(('T1 NSA'!N16-('T1 NSA'!N39*'T1 NSA'!N43))/(('T1 NSA'!N39*'T1 NSA'!N42)-('T1 NSA'!N39*'T1 NSA'!N43)),$D$163))=ROUND('T1 NSA'!N44,$D$163),"N/A")</f>
        <v>0</v>
      </c>
      <c r="Q163" s="182" t="b">
        <f>IF('T1 NSA'!O16&gt;0,IF(ISERROR(ROUND(('T1 NSA'!O16-('T1 NSA'!O39*'T1 NSA'!O43))/(('T1 NSA'!O39*'T1 NSA'!O42)-('T1 NSA'!O39*'T1 NSA'!O43)),$D$163)),"N/A",ROUND(('T1 NSA'!O16-('T1 NSA'!O39*'T1 NSA'!O43))/(('T1 NSA'!O39*'T1 NSA'!O42)-('T1 NSA'!O39*'T1 NSA'!O43)),$D$163))=ROUND('T1 NSA'!O44,$D$163),"N/A")</f>
        <v>0</v>
      </c>
      <c r="R163" s="162"/>
      <c r="S163" s="182" t="b">
        <f>IF('T1 NSA'!T16&gt;0,IF(ISERROR(ROUND(('T1 NSA'!T16-('T1 NSA'!T39*'T1 NSA'!T43))/(('T1 NSA'!T39*'T1 NSA'!T42)-('T1 NSA'!T39*'T1 NSA'!T43)),$D$163)),"N/A",ROUND(('T1 NSA'!T16-('T1 NSA'!T39*'T1 NSA'!T43))/(('T1 NSA'!T39*'T1 NSA'!T42)-('T1 NSA'!T39*'T1 NSA'!T43)),$D$163))=ROUND('T1 NSA'!T44,$D$163),"N/A")</f>
        <v>0</v>
      </c>
      <c r="T163" s="182" t="b">
        <f>IF('T1 NSA'!U16&gt;0,IF(ISERROR(ROUND(('T1 NSA'!U16-('T1 NSA'!U39*'T1 NSA'!U43))/(('T1 NSA'!U39*'T1 NSA'!U42)-('T1 NSA'!U39*'T1 NSA'!U43)),$D$163)),"N/A",ROUND(('T1 NSA'!U16-('T1 NSA'!U39*'T1 NSA'!U43))/(('T1 NSA'!U39*'T1 NSA'!U42)-('T1 NSA'!U39*'T1 NSA'!U43)),$D$163))=ROUND('T1 NSA'!U44,$D$163),"N/A")</f>
        <v>0</v>
      </c>
      <c r="U163" s="182" t="b">
        <f>IF('T1 NSA'!V16&gt;0,IF(ISERROR(ROUND(('T1 NSA'!V16-('T1 NSA'!V39*'T1 NSA'!V43))/(('T1 NSA'!V39*'T1 NSA'!V42)-('T1 NSA'!V39*'T1 NSA'!V43)),$D$163)),"N/A",ROUND(('T1 NSA'!V16-('T1 NSA'!V39*'T1 NSA'!V43))/(('T1 NSA'!V39*'T1 NSA'!V42)-('T1 NSA'!V39*'T1 NSA'!V43)),$D$163))=ROUND('T1 NSA'!V44,$D$163),"N/A")</f>
        <v>0</v>
      </c>
    </row>
    <row r="164" spans="1:23" s="189" customFormat="1" ht="15" customHeight="1" outlineLevel="1">
      <c r="A164" s="184"/>
      <c r="B164" s="185"/>
      <c r="C164" s="203" t="s">
        <v>83</v>
      </c>
      <c r="D164" s="190"/>
      <c r="E164" s="204">
        <f>IF(ISERROR(ROUND(('T1 NSA'!C16-('T1 NSA'!C39*'T1 NSA'!C43))/(('T1 NSA'!C39*'T1 NSA'!C42)-('T1 NSA'!C39*'T1 NSA'!C43)),$D$163)),"N/A",ROUND(('T1 NSA'!C16-('T1 NSA'!C39*'T1 NSA'!C43))/(('T1 NSA'!C39*'T1 NSA'!C42)-('T1 NSA'!C39*'T1 NSA'!C43)),$D$163))</f>
        <v>0.72</v>
      </c>
      <c r="F164" s="204">
        <f>IF(ISERROR(ROUND(('T1 NSA'!D16-('T1 NSA'!D39*'T1 NSA'!D43))/(('T1 NSA'!D39*'T1 NSA'!D42)-('T1 NSA'!D39*'T1 NSA'!D43)),$D$163)),"N/A",ROUND(('T1 NSA'!D16-('T1 NSA'!D39*'T1 NSA'!D43))/(('T1 NSA'!D39*'T1 NSA'!D42)-('T1 NSA'!D39*'T1 NSA'!D43)),$D$163))</f>
        <v>0.69</v>
      </c>
      <c r="G164" s="204">
        <f>IF(ISERROR(ROUND(('T1 NSA'!E16-('T1 NSA'!E39*'T1 NSA'!E43))/(('T1 NSA'!E39*'T1 NSA'!E42)-('T1 NSA'!E39*'T1 NSA'!E43)),$D$163)),"N/A",ROUND(('T1 NSA'!E16-('T1 NSA'!E39*'T1 NSA'!E43))/(('T1 NSA'!E39*'T1 NSA'!E42)-('T1 NSA'!E39*'T1 NSA'!E43)),$D$163))</f>
        <v>0.67</v>
      </c>
      <c r="H164" s="204">
        <f>IF(ISERROR(ROUND(('T1 NSA'!F16-('T1 NSA'!F39*'T1 NSA'!F43))/(('T1 NSA'!F39*'T1 NSA'!F42)-('T1 NSA'!F39*'T1 NSA'!F43)),$D$163)),"N/A",ROUND(('T1 NSA'!F16-('T1 NSA'!F39*'T1 NSA'!F43))/(('T1 NSA'!F39*'T1 NSA'!F42)-('T1 NSA'!F39*'T1 NSA'!F43)),$D$163))</f>
        <v>0.68</v>
      </c>
      <c r="I164" s="204">
        <f>IF(ISERROR(ROUND(('T1 NSA'!G16-('T1 NSA'!G39*'T1 NSA'!G43))/(('T1 NSA'!G39*'T1 NSA'!G42)-('T1 NSA'!G39*'T1 NSA'!G43)),$D$163)),"N/A",ROUND(('T1 NSA'!G16-('T1 NSA'!G39*'T1 NSA'!G43))/(('T1 NSA'!G39*'T1 NSA'!G42)-('T1 NSA'!G39*'T1 NSA'!G43)),$D$163))</f>
        <v>0.68</v>
      </c>
      <c r="J164" s="204">
        <f>IF(ISERROR(ROUND(('T1 NSA'!H16-('T1 NSA'!H39*'T1 NSA'!H43))/(('T1 NSA'!H39*'T1 NSA'!H42)-('T1 NSA'!H39*'T1 NSA'!H43)),$D$163)),"N/A",ROUND(('T1 NSA'!H16-('T1 NSA'!H39*'T1 NSA'!H43))/(('T1 NSA'!H39*'T1 NSA'!H42)-('T1 NSA'!H39*'T1 NSA'!H43)),$D$163))</f>
        <v>0.68</v>
      </c>
      <c r="K164" s="204">
        <f>IF(ISERROR(ROUND(('T1 NSA'!I16-('T1 NSA'!I39*'T1 NSA'!I43))/(('T1 NSA'!I39*'T1 NSA'!I42)-('T1 NSA'!I39*'T1 NSA'!I43)),$D$163)),"N/A",ROUND(('T1 NSA'!I16-('T1 NSA'!I39*'T1 NSA'!I43))/(('T1 NSA'!I39*'T1 NSA'!I42)-('T1 NSA'!I39*'T1 NSA'!I43)),$D$163))</f>
        <v>0.73</v>
      </c>
      <c r="L164" s="204">
        <f>IF(ISERROR(ROUND(('T1 NSA'!J16-('T1 NSA'!J39*'T1 NSA'!J43))/(('T1 NSA'!J39*'T1 NSA'!J42)-('T1 NSA'!J39*'T1 NSA'!J43)),$D$163)),"N/A",ROUND(('T1 NSA'!J16-('T1 NSA'!J39*'T1 NSA'!J43))/(('T1 NSA'!J39*'T1 NSA'!J42)-('T1 NSA'!J39*'T1 NSA'!J43)),$D$163))</f>
        <v>0.73</v>
      </c>
      <c r="M164" s="204">
        <f>IF(ISERROR(ROUND(('T1 NSA'!K16-('T1 NSA'!K39*'T1 NSA'!K43))/(('T1 NSA'!K39*'T1 NSA'!K42)-('T1 NSA'!K39*'T1 NSA'!K43)),$D$163)),"N/A",ROUND(('T1 NSA'!K16-('T1 NSA'!K39*'T1 NSA'!K43))/(('T1 NSA'!K39*'T1 NSA'!K42)-('T1 NSA'!K39*'T1 NSA'!K43)),$D$163))</f>
        <v>0.66</v>
      </c>
      <c r="N164" s="204">
        <f>IF(ISERROR(ROUND(('T1 NSA'!L16-('T1 NSA'!L39*'T1 NSA'!L43))/(('T1 NSA'!L39*'T1 NSA'!L42)-('T1 NSA'!L39*'T1 NSA'!L43)),$D$163)),"N/A",ROUND(('T1 NSA'!L16-('T1 NSA'!L39*'T1 NSA'!L43))/(('T1 NSA'!L39*'T1 NSA'!L42)-('T1 NSA'!L39*'T1 NSA'!L43)),$D$163))</f>
        <v>0.54</v>
      </c>
      <c r="O164" s="204">
        <f>IF(ISERROR(ROUND(('T1 NSA'!M16-('T1 NSA'!M39*'T1 NSA'!M43))/(('T1 NSA'!M39*'T1 NSA'!M42)-('T1 NSA'!M39*'T1 NSA'!M43)),$D$163)),"N/A",ROUND(('T1 NSA'!M16-('T1 NSA'!M39*'T1 NSA'!M43))/(('T1 NSA'!M39*'T1 NSA'!M42)-('T1 NSA'!M39*'T1 NSA'!M43)),$D$163))</f>
        <v>0.63</v>
      </c>
      <c r="P164" s="204">
        <f>IF(ISERROR(ROUND(('T1 NSA'!N16-('T1 NSA'!N39*'T1 NSA'!N43))/(('T1 NSA'!N39*'T1 NSA'!N42)-('T1 NSA'!N39*'T1 NSA'!N43)),$D$163)),"N/A",ROUND(('T1 NSA'!N16-('T1 NSA'!N39*'T1 NSA'!N43))/(('T1 NSA'!N39*'T1 NSA'!N42)-('T1 NSA'!N39*'T1 NSA'!N43)),$D$163))</f>
        <v>0.68</v>
      </c>
      <c r="Q164" s="204">
        <f>IF(ISERROR(ROUND(('T1 NSA'!O16-('T1 NSA'!O39*'T1 NSA'!O43))/(('T1 NSA'!O39*'T1 NSA'!O42)-('T1 NSA'!O39*'T1 NSA'!O43)),$D$163)),"N/A",ROUND(('T1 NSA'!O16-('T1 NSA'!O39*'T1 NSA'!O43))/(('T1 NSA'!O39*'T1 NSA'!O42)-('T1 NSA'!O39*'T1 NSA'!O43)),$D$163))</f>
        <v>0.68</v>
      </c>
      <c r="R164" s="162"/>
      <c r="S164" s="204">
        <f>IF(ISERROR(ROUND(('T1 NSA'!T16-('T1 NSA'!T39*'T1 NSA'!T43))/(('T1 NSA'!T39*'T1 NSA'!T42)-('T1 NSA'!T39*'T1 NSA'!T43)),$D$163)),"N/A",ROUND(('T1 NSA'!T16-('T1 NSA'!T39*'T1 NSA'!T43))/(('T1 NSA'!T39*'T1 NSA'!T42)-('T1 NSA'!T39*'T1 NSA'!T43)),$D$163))</f>
        <v>0.6</v>
      </c>
      <c r="T164" s="204">
        <f>IF(ISERROR(ROUND(('T1 NSA'!U16-('T1 NSA'!U39*'T1 NSA'!U43))/(('T1 NSA'!U39*'T1 NSA'!U42)-('T1 NSA'!U39*'T1 NSA'!U43)),$D$163)),"N/A",ROUND(('T1 NSA'!U16-('T1 NSA'!U39*'T1 NSA'!U43))/(('T1 NSA'!U39*'T1 NSA'!U42)-('T1 NSA'!U39*'T1 NSA'!U43)),$D$163))</f>
        <v>0.6</v>
      </c>
      <c r="U164" s="204">
        <f>IF(ISERROR(ROUND(('T1 NSA'!V16-('T1 NSA'!V39*'T1 NSA'!V43))/(('T1 NSA'!V39*'T1 NSA'!V42)-('T1 NSA'!V39*'T1 NSA'!V43)),$D$163)),"N/A",ROUND(('T1 NSA'!V16-('T1 NSA'!V39*'T1 NSA'!V43))/(('T1 NSA'!V39*'T1 NSA'!V42)-('T1 NSA'!V39*'T1 NSA'!V43)),$D$163))</f>
        <v>0.6</v>
      </c>
    </row>
    <row r="165" spans="1:23" s="189" customFormat="1" ht="15" customHeight="1" outlineLevel="1">
      <c r="A165" s="184"/>
      <c r="B165" s="185"/>
      <c r="C165" s="203" t="s">
        <v>84</v>
      </c>
      <c r="D165" s="190"/>
      <c r="E165" s="216">
        <f>ROUND('T1 NSA'!C44,$D$163)</f>
        <v>0.72</v>
      </c>
      <c r="F165" s="216">
        <f>ROUND('T1 NSA'!D44,$D$163)</f>
        <v>0.69</v>
      </c>
      <c r="G165" s="216">
        <f>ROUND('T1 NSA'!E44,$D$163)</f>
        <v>0.67</v>
      </c>
      <c r="H165" s="216">
        <f>ROUND('T1 NSA'!F44,$D$163)</f>
        <v>0.68</v>
      </c>
      <c r="I165" s="216">
        <f>ROUND('T1 NSA'!G44,$D$163)</f>
        <v>0.68</v>
      </c>
      <c r="J165" s="216">
        <f>ROUND('T1 NSA'!H44,$D$163)</f>
        <v>0.68</v>
      </c>
      <c r="K165" s="216">
        <f>ROUND('T1 NSA'!I44,$D$163)</f>
        <v>0.73</v>
      </c>
      <c r="L165" s="216">
        <f>ROUND('T1 NSA'!J44,$D$163)</f>
        <v>0.54</v>
      </c>
      <c r="M165" s="216">
        <f>ROUND('T1 NSA'!K44,$D$163)</f>
        <v>0.66</v>
      </c>
      <c r="N165" s="216">
        <f>ROUND('T1 NSA'!L44,$D$163)</f>
        <v>0.54</v>
      </c>
      <c r="O165" s="216">
        <f>ROUND('T1 NSA'!M44,$D$163)</f>
        <v>0.63</v>
      </c>
      <c r="P165" s="216">
        <f>ROUND('T1 NSA'!N44,$D$163)</f>
        <v>0.47</v>
      </c>
      <c r="Q165" s="216">
        <f>ROUND('T1 NSA'!O44,$D$163)</f>
        <v>0.77</v>
      </c>
      <c r="R165" s="162"/>
      <c r="S165" s="216">
        <f>ROUND('T1 NSA'!T44,$D$163)</f>
        <v>0.66</v>
      </c>
      <c r="T165" s="216">
        <f>ROUND('T1 NSA'!U44,$D$163)</f>
        <v>0.66</v>
      </c>
      <c r="U165" s="216">
        <f>ROUND('T1 NSA'!V44,$D$163)</f>
        <v>0.66</v>
      </c>
    </row>
    <row r="166" spans="1:23" s="183" customFormat="1" ht="15" customHeight="1">
      <c r="A166" s="178" t="s">
        <v>85</v>
      </c>
      <c r="B166" s="179" t="s">
        <v>86</v>
      </c>
      <c r="C166" s="180" t="s">
        <v>87</v>
      </c>
      <c r="D166" s="181">
        <v>3</v>
      </c>
      <c r="E166" s="182" t="b">
        <f>ROUND(SUM('T1 NSA'!C36:C38),$D$166)=ROUND('T1 NSA'!C39,$D$166)</f>
        <v>1</v>
      </c>
      <c r="F166" s="182" t="b">
        <f>ROUND(SUM('T1 NSA'!D36:D38),$D$166)=ROUND('T1 NSA'!D39,$D$166)</f>
        <v>1</v>
      </c>
      <c r="G166" s="182" t="b">
        <f>ROUND(SUM('T1 NSA'!E36:E38),$D$166)=ROUND('T1 NSA'!E39,$D$166)</f>
        <v>1</v>
      </c>
      <c r="H166" s="182" t="b">
        <f>ROUND(SUM('T1 NSA'!F36:F38),$D$166)=ROUND('T1 NSA'!F39,$D$166)</f>
        <v>1</v>
      </c>
      <c r="I166" s="182" t="b">
        <f>ROUND(SUM('T1 NSA'!G36:G38),$D$166)=ROUND('T1 NSA'!G39,$D$166)</f>
        <v>1</v>
      </c>
      <c r="J166" s="182" t="b">
        <f>ROUND(SUM('T1 NSA'!H36:H38),$D$166)=ROUND('T1 NSA'!H39,$D$166)</f>
        <v>1</v>
      </c>
      <c r="K166" s="182" t="b">
        <f>ROUND(SUM('T1 NSA'!I36:I38),$D$166)=ROUND('T1 NSA'!I39,$D$166)</f>
        <v>1</v>
      </c>
      <c r="L166" s="182" t="b">
        <f>ROUND(SUM('T1 NSA'!J36:J38),$D$166)=ROUND('T1 NSA'!J39,$D$166)</f>
        <v>1</v>
      </c>
      <c r="M166" s="182" t="b">
        <f>ROUND(SUM('T1 NSA'!K36:K38),$D$166)=ROUND('T1 NSA'!K39,$D$166)</f>
        <v>1</v>
      </c>
      <c r="N166" s="182" t="b">
        <f>ROUND(SUM('T1 NSA'!L36:L38),$D$166)=ROUND('T1 NSA'!L39,$D$166)</f>
        <v>1</v>
      </c>
      <c r="O166" s="182" t="b">
        <f>ROUND(SUM('T1 NSA'!M36:M38),$D$166)=ROUND('T1 NSA'!M39,$D$166)</f>
        <v>1</v>
      </c>
      <c r="P166" s="182" t="b">
        <f>ROUND(SUM('T1 NSA'!N36:N38),$D$166)=ROUND('T1 NSA'!N39,$D$166)</f>
        <v>1</v>
      </c>
      <c r="Q166" s="182" t="b">
        <f>ROUND(SUM('T1 NSA'!O36:O38),$D$166)=ROUND('T1 NSA'!O39,$D$166)</f>
        <v>1</v>
      </c>
      <c r="R166" s="162"/>
      <c r="S166" s="182" t="b">
        <f>ROUND(SUM('T1 NSA'!T36:T38),$D$166)=ROUND('T1 NSA'!T39,$D$166)</f>
        <v>1</v>
      </c>
      <c r="T166" s="182" t="b">
        <f>ROUND(SUM('T1 NSA'!U36:U38),$D$166)=ROUND('T1 NSA'!U39,$D$166)</f>
        <v>1</v>
      </c>
      <c r="U166" s="182" t="b">
        <f>ROUND(SUM('T1 NSA'!V36:V38),$D$166)=ROUND('T1 NSA'!V39,$D$166)</f>
        <v>1</v>
      </c>
    </row>
    <row r="167" spans="1:23" s="189" customFormat="1" ht="15" customHeight="1" outlineLevel="1">
      <c r="A167" s="184"/>
      <c r="B167" s="185"/>
      <c r="C167" s="186" t="s">
        <v>88</v>
      </c>
      <c r="D167" s="190"/>
      <c r="E167" s="860">
        <f>ROUND(SUM('T1 NSA'!C36:C38),$D$166)</f>
        <v>9162</v>
      </c>
      <c r="F167" s="860">
        <f>ROUND(SUM('T1 NSA'!D36:D38),$D$166)</f>
        <v>7860</v>
      </c>
      <c r="G167" s="860">
        <f>ROUND(SUM('T1 NSA'!E36:E38),$D$166)</f>
        <v>6558</v>
      </c>
      <c r="H167" s="860">
        <f>ROUND(SUM('T1 NSA'!F36:F38),$D$166)</f>
        <v>5256</v>
      </c>
      <c r="I167" s="860">
        <f>ROUND(SUM('T1 NSA'!G36:G38),$D$166)</f>
        <v>3954</v>
      </c>
      <c r="J167" s="860">
        <f>ROUND(SUM('T1 NSA'!H36:H38),$D$166)</f>
        <v>2652</v>
      </c>
      <c r="K167" s="860">
        <f>ROUND(SUM('T1 NSA'!I36:I38),$D$166)</f>
        <v>1350</v>
      </c>
      <c r="L167" s="860">
        <f>ROUND(SUM('T1 NSA'!J36:J38),$D$166)</f>
        <v>450</v>
      </c>
      <c r="M167" s="860">
        <f>ROUND(SUM('T1 NSA'!K36:K38),$D$166)</f>
        <v>1065</v>
      </c>
      <c r="N167" s="860">
        <f>ROUND(SUM('T1 NSA'!L36:L38),$D$166)</f>
        <v>935</v>
      </c>
      <c r="O167" s="860">
        <f>ROUND(SUM('T1 NSA'!M36:M38),$D$166)</f>
        <v>783</v>
      </c>
      <c r="P167" s="860">
        <f>ROUND(SUM('T1 NSA'!N36:N38),$D$166)</f>
        <v>637</v>
      </c>
      <c r="Q167" s="860">
        <f>ROUND(SUM('T1 NSA'!O36:O38),$D$166)</f>
        <v>505</v>
      </c>
      <c r="R167" s="162"/>
      <c r="S167" s="860">
        <f>ROUND(SUM('T1 NSA'!T36:T38),$D$166)</f>
        <v>1065</v>
      </c>
      <c r="T167" s="860">
        <f>ROUND(SUM('T1 NSA'!U36:U38),$D$166)</f>
        <v>935</v>
      </c>
      <c r="U167" s="860">
        <f>ROUND(SUM('T1 NSA'!V36:V38),$D$166)</f>
        <v>783</v>
      </c>
    </row>
    <row r="168" spans="1:23" s="189" customFormat="1" ht="15" customHeight="1" outlineLevel="1">
      <c r="A168" s="184"/>
      <c r="B168" s="185"/>
      <c r="C168" s="186" t="s">
        <v>89</v>
      </c>
      <c r="D168" s="190"/>
      <c r="E168" s="860">
        <f>ROUND('T1 NSA'!C39,$D$166)</f>
        <v>9162</v>
      </c>
      <c r="F168" s="860">
        <f>ROUND('T1 NSA'!D39,$D$166)</f>
        <v>7860</v>
      </c>
      <c r="G168" s="860">
        <f>ROUND('T1 NSA'!E39,$D$166)</f>
        <v>6558</v>
      </c>
      <c r="H168" s="860">
        <f>ROUND('T1 NSA'!F39,$D$166)</f>
        <v>5256</v>
      </c>
      <c r="I168" s="860">
        <f>ROUND('T1 NSA'!G39,$D$166)</f>
        <v>3954</v>
      </c>
      <c r="J168" s="860">
        <f>ROUND('T1 NSA'!H39,$D$166)</f>
        <v>2652</v>
      </c>
      <c r="K168" s="860">
        <f>ROUND('T1 NSA'!I39,$D$166)</f>
        <v>1350</v>
      </c>
      <c r="L168" s="860">
        <f>ROUND('T1 NSA'!J39,$D$166)</f>
        <v>450</v>
      </c>
      <c r="M168" s="860">
        <f>ROUND('T1 NSA'!K39,$D$166)</f>
        <v>1065</v>
      </c>
      <c r="N168" s="860">
        <f>ROUND('T1 NSA'!L39,$D$166)</f>
        <v>935</v>
      </c>
      <c r="O168" s="860">
        <f>ROUND('T1 NSA'!M39,$D$166)</f>
        <v>783</v>
      </c>
      <c r="P168" s="860">
        <f>ROUND('T1 NSA'!N39,$D$166)</f>
        <v>637</v>
      </c>
      <c r="Q168" s="860">
        <f>ROUND('T1 NSA'!O39,$D$166)</f>
        <v>505</v>
      </c>
      <c r="R168" s="162"/>
      <c r="S168" s="860">
        <f>ROUND('T1 NSA'!T39,$D$166)</f>
        <v>1065</v>
      </c>
      <c r="T168" s="860">
        <f>ROUND('T1 NSA'!U39,$D$166)</f>
        <v>935</v>
      </c>
      <c r="U168" s="860">
        <f>ROUND('T1 NSA'!V39,$D$166)</f>
        <v>783</v>
      </c>
    </row>
    <row r="169" spans="1:23" s="183" customFormat="1" ht="15" customHeight="1">
      <c r="A169" s="178" t="s">
        <v>90</v>
      </c>
      <c r="B169" s="179" t="s">
        <v>86</v>
      </c>
      <c r="C169" s="202" t="s">
        <v>91</v>
      </c>
      <c r="D169" s="181">
        <v>3</v>
      </c>
      <c r="E169" s="182" t="b">
        <f>IF(ROUND('T1 NSA'!C39,$D$169)=0,ROUND('T1 NSA'!C16,$D$169)=0,TRUE)</f>
        <v>1</v>
      </c>
      <c r="F169" s="182" t="b">
        <f>IF(ROUND('T1 NSA'!D39,$D$169)=0,ROUND('T1 NSA'!D16,$D$169)=0,TRUE)</f>
        <v>1</v>
      </c>
      <c r="G169" s="182" t="b">
        <f>IF(ROUND('T1 NSA'!E39,$D$169)=0,ROUND('T1 NSA'!E16,$D$169)=0,TRUE)</f>
        <v>1</v>
      </c>
      <c r="H169" s="182" t="b">
        <f>IF(ROUND('T1 NSA'!F39,$D$169)=0,ROUND('T1 NSA'!F16,$D$169)=0,TRUE)</f>
        <v>1</v>
      </c>
      <c r="I169" s="182" t="b">
        <f>IF(ROUND('T1 NSA'!G39,$D$169)=0,ROUND('T1 NSA'!G16,$D$169)=0,TRUE)</f>
        <v>1</v>
      </c>
      <c r="J169" s="182" t="b">
        <f>IF(ROUND('T1 NSA'!H39,$D$169)=0,ROUND('T1 NSA'!H16,$D$169)=0,TRUE)</f>
        <v>1</v>
      </c>
      <c r="K169" s="182" t="b">
        <f>IF(ROUND('T1 NSA'!I39,$D$169)=0,ROUND('T1 NSA'!I16,$D$169)=0,TRUE)</f>
        <v>1</v>
      </c>
      <c r="L169" s="182" t="b">
        <f>IF(ROUND('T1 NSA'!J39,$D$169)=0,ROUND('T1 NSA'!J16,$D$169)=0,TRUE)</f>
        <v>1</v>
      </c>
      <c r="M169" s="182" t="b">
        <f>IF(ROUND('T1 NSA'!K39,$D$169)=0,ROUND('T1 NSA'!K16,$D$169)=0,TRUE)</f>
        <v>1</v>
      </c>
      <c r="N169" s="182" t="b">
        <f>IF(ROUND('T1 NSA'!L39,$D$169)=0,ROUND('T1 NSA'!L16,$D$169)=0,TRUE)</f>
        <v>1</v>
      </c>
      <c r="O169" s="182" t="b">
        <f>IF(ROUND('T1 NSA'!M39,$D$169)=0,ROUND('T1 NSA'!M16,$D$169)=0,TRUE)</f>
        <v>1</v>
      </c>
      <c r="P169" s="182" t="b">
        <f>IF(ROUND('T1 NSA'!N39,$D$169)=0,ROUND('T1 NSA'!N16,$D$169)=0,TRUE)</f>
        <v>1</v>
      </c>
      <c r="Q169" s="182" t="b">
        <f>IF(ROUND('T1 NSA'!O39,$D$169)=0,ROUND('T1 NSA'!O16,$D$169)=0,TRUE)</f>
        <v>1</v>
      </c>
      <c r="R169" s="162"/>
      <c r="S169" s="182" t="b">
        <f>IF(ROUND('T1 NSA'!T39,$D$169)=0,ROUND('T1 NSA'!T16,$D$169)=0,TRUE)</f>
        <v>1</v>
      </c>
      <c r="T169" s="182" t="b">
        <f>IF(ROUND('T1 NSA'!U39,$D$169)=0,ROUND('T1 NSA'!U16,$D$169)=0,TRUE)</f>
        <v>1</v>
      </c>
      <c r="U169" s="182" t="b">
        <f>IF(ROUND('T1 NSA'!V39,$D$169)=0,ROUND('T1 NSA'!V16,$D$169)=0,TRUE)</f>
        <v>1</v>
      </c>
    </row>
    <row r="170" spans="1:23" s="189" customFormat="1" ht="15" customHeight="1" outlineLevel="1">
      <c r="A170" s="184"/>
      <c r="B170" s="185"/>
      <c r="C170" s="186" t="s">
        <v>89</v>
      </c>
      <c r="D170" s="190"/>
      <c r="E170" s="860">
        <f>ROUND('T1 NSA'!C39,$D$169)</f>
        <v>9162</v>
      </c>
      <c r="F170" s="860">
        <f>ROUND('T1 NSA'!D39,$D$169)</f>
        <v>7860</v>
      </c>
      <c r="G170" s="860">
        <f>ROUND('T1 NSA'!E39,$D$169)</f>
        <v>6558</v>
      </c>
      <c r="H170" s="860">
        <f>ROUND('T1 NSA'!F39,$D$169)</f>
        <v>5256</v>
      </c>
      <c r="I170" s="860">
        <f>ROUND('T1 NSA'!G39,$D$169)</f>
        <v>3954</v>
      </c>
      <c r="J170" s="860">
        <f>ROUND('T1 NSA'!H39,$D$169)</f>
        <v>2652</v>
      </c>
      <c r="K170" s="860">
        <f>ROUND('T1 NSA'!I39,$D$169)</f>
        <v>1350</v>
      </c>
      <c r="L170" s="860">
        <f>ROUND('T1 NSA'!J39,$D$169)</f>
        <v>450</v>
      </c>
      <c r="M170" s="860">
        <f>ROUND('T1 NSA'!K39,$D$169)</f>
        <v>1065</v>
      </c>
      <c r="N170" s="860">
        <f>ROUND('T1 NSA'!L39,$D$169)</f>
        <v>935</v>
      </c>
      <c r="O170" s="860">
        <f>ROUND('T1 NSA'!M39,$D$169)</f>
        <v>783</v>
      </c>
      <c r="P170" s="860">
        <f>ROUND('T1 NSA'!N39,$D$169)</f>
        <v>637</v>
      </c>
      <c r="Q170" s="860">
        <f>ROUND('T1 NSA'!O39,$D$169)</f>
        <v>505</v>
      </c>
      <c r="R170" s="162"/>
      <c r="S170" s="860">
        <f>ROUND('T1 NSA'!T39,$D$169)</f>
        <v>1065</v>
      </c>
      <c r="T170" s="860">
        <f>ROUND('T1 NSA'!U39,$D$169)</f>
        <v>935</v>
      </c>
      <c r="U170" s="860">
        <f>ROUND('T1 NSA'!V39,$D$169)</f>
        <v>783</v>
      </c>
    </row>
    <row r="171" spans="1:23" s="189" customFormat="1" ht="15" customHeight="1" outlineLevel="1">
      <c r="A171" s="184"/>
      <c r="B171" s="185"/>
      <c r="C171" s="186" t="s">
        <v>92</v>
      </c>
      <c r="D171" s="190"/>
      <c r="E171" s="860">
        <f>ROUND('T1 NSA'!C16,$D$169)</f>
        <v>427</v>
      </c>
      <c r="F171" s="860">
        <f>ROUND('T1 NSA'!D16,$D$169)</f>
        <v>365</v>
      </c>
      <c r="G171" s="860">
        <f>ROUND('T1 NSA'!E16,$D$169)</f>
        <v>304</v>
      </c>
      <c r="H171" s="860">
        <f>ROUND('T1 NSA'!F16,$D$169)</f>
        <v>244</v>
      </c>
      <c r="I171" s="860">
        <f>ROUND('T1 NSA'!G16,$D$169)</f>
        <v>183.46600000000001</v>
      </c>
      <c r="J171" s="860">
        <f>ROUND('T1 NSA'!H16,$D$169)</f>
        <v>123</v>
      </c>
      <c r="K171" s="860">
        <f>ROUND('T1 NSA'!I16,$D$169)</f>
        <v>63.002000000000002</v>
      </c>
      <c r="L171" s="860">
        <f>ROUND('T1 NSA'!J16,$D$169)</f>
        <v>21</v>
      </c>
      <c r="M171" s="860">
        <f>ROUND('T1 NSA'!K16,$D$169)</f>
        <v>49.323</v>
      </c>
      <c r="N171" s="860">
        <f>ROUND('T1 NSA'!L16,$D$169)</f>
        <v>42.734000000000002</v>
      </c>
      <c r="O171" s="860">
        <f>ROUND('T1 NSA'!M16,$D$169)</f>
        <v>36.146000000000001</v>
      </c>
      <c r="P171" s="860">
        <f>ROUND('T1 NSA'!N16,$D$169)</f>
        <v>29.556999999999999</v>
      </c>
      <c r="Q171" s="860">
        <f>ROUND('T1 NSA'!O16,$D$169)</f>
        <v>23.431999999999999</v>
      </c>
      <c r="R171" s="162"/>
      <c r="S171" s="860">
        <f>ROUND('T1 NSA'!T16,$D$169)</f>
        <v>49</v>
      </c>
      <c r="T171" s="860">
        <f>ROUND('T1 NSA'!U16,$D$169)</f>
        <v>43</v>
      </c>
      <c r="U171" s="860">
        <f>ROUND('T1 NSA'!V16,$D$169)</f>
        <v>36</v>
      </c>
    </row>
    <row r="172" spans="1:23" s="871" customFormat="1">
      <c r="A172" s="1538" t="s">
        <v>126</v>
      </c>
      <c r="B172" s="1538"/>
      <c r="C172" s="1538"/>
      <c r="D172" s="870"/>
      <c r="R172" s="162"/>
      <c r="S172" s="1539" t="s">
        <v>127</v>
      </c>
      <c r="T172" s="1540"/>
      <c r="U172" s="1540"/>
      <c r="V172" s="1540"/>
      <c r="W172" s="1541"/>
    </row>
    <row r="173" spans="1:23" s="871" customFormat="1" ht="21" customHeight="1">
      <c r="A173" s="1538"/>
      <c r="B173" s="1538"/>
      <c r="C173" s="1538"/>
      <c r="D173" s="870"/>
      <c r="R173" s="162"/>
      <c r="S173" s="169">
        <v>2020</v>
      </c>
      <c r="T173" s="170">
        <v>2021</v>
      </c>
      <c r="U173" s="170">
        <v>2022</v>
      </c>
      <c r="V173" s="170">
        <v>2023</v>
      </c>
      <c r="W173" s="171">
        <v>2024</v>
      </c>
    </row>
    <row r="174" spans="1:23" s="874" customFormat="1" ht="18">
      <c r="A174" s="172" t="s">
        <v>13</v>
      </c>
      <c r="B174" s="173" t="s">
        <v>14</v>
      </c>
      <c r="C174" s="174" t="s">
        <v>128</v>
      </c>
      <c r="D174" s="872"/>
      <c r="E174" s="873"/>
      <c r="F174" s="873"/>
      <c r="G174" s="873"/>
      <c r="H174" s="873"/>
      <c r="I174" s="873"/>
      <c r="J174" s="873"/>
      <c r="K174" s="873"/>
      <c r="L174" s="873"/>
      <c r="M174" s="873"/>
      <c r="N174" s="873"/>
      <c r="O174" s="873"/>
      <c r="P174" s="873"/>
      <c r="Q174" s="873"/>
      <c r="R174" s="162"/>
      <c r="S174" s="873"/>
      <c r="T174" s="873"/>
      <c r="U174" s="873"/>
      <c r="V174" s="873"/>
      <c r="W174" s="873"/>
    </row>
    <row r="175" spans="1:23" s="878" customFormat="1">
      <c r="A175" s="875" t="s">
        <v>129</v>
      </c>
      <c r="B175" s="876" t="s">
        <v>54</v>
      </c>
      <c r="C175" s="877" t="s">
        <v>130</v>
      </c>
      <c r="D175" s="863">
        <v>3</v>
      </c>
      <c r="E175" s="871"/>
      <c r="F175" s="871"/>
      <c r="G175" s="871"/>
      <c r="H175" s="871"/>
      <c r="I175" s="871"/>
      <c r="R175" s="162"/>
      <c r="S175" s="879" t="b">
        <f>ROUND('T2'!C12,$D$175)=ROUND('T1'!K61,$D$175)</f>
        <v>1</v>
      </c>
      <c r="T175" s="879" t="b">
        <f>ROUND('T2'!D12,$D$175)=ROUND('T1'!L61,$D$175)</f>
        <v>1</v>
      </c>
      <c r="U175" s="879" t="b">
        <f>ROUND('T2'!E12,$D$175)=ROUND('T1'!M61,$D$175)</f>
        <v>1</v>
      </c>
      <c r="V175" s="879" t="b">
        <f>ROUND('T2'!F12,$D$175)=ROUND('T1'!N61,$D$175)</f>
        <v>1</v>
      </c>
      <c r="W175" s="879" t="b">
        <f>ROUND('T2'!G12,$D$175)=ROUND('T1'!O61,$D$175)</f>
        <v>1</v>
      </c>
    </row>
    <row r="176" spans="1:23" s="882" customFormat="1" outlineLevel="1">
      <c r="A176" s="875"/>
      <c r="B176" s="876"/>
      <c r="C176" s="880" t="s">
        <v>131</v>
      </c>
      <c r="D176" s="881"/>
      <c r="E176" s="871"/>
      <c r="F176" s="871"/>
      <c r="G176" s="871"/>
      <c r="H176" s="871"/>
      <c r="I176" s="871"/>
      <c r="R176" s="162"/>
      <c r="S176" s="883">
        <f>ROUND('T2'!C12,$D$175)</f>
        <v>790418.9</v>
      </c>
      <c r="T176" s="883">
        <f>ROUND('T2'!D12,$D$175)</f>
        <v>775027.03399999999</v>
      </c>
      <c r="U176" s="883">
        <f>ROUND('T2'!E12,$D$175)</f>
        <v>790935.59299999999</v>
      </c>
      <c r="V176" s="883">
        <f>ROUND('T2'!F12,$D$175)</f>
        <v>873485.10900000005</v>
      </c>
      <c r="W176" s="883">
        <f>ROUND('T2'!G12,$D$175)</f>
        <v>889282.98699999996</v>
      </c>
    </row>
    <row r="177" spans="1:23" s="882" customFormat="1" outlineLevel="1">
      <c r="A177" s="875"/>
      <c r="B177" s="876"/>
      <c r="C177" s="880" t="s">
        <v>132</v>
      </c>
      <c r="D177" s="881"/>
      <c r="E177" s="871"/>
      <c r="F177" s="871"/>
      <c r="G177" s="871"/>
      <c r="H177" s="871"/>
      <c r="I177" s="871"/>
      <c r="R177" s="162"/>
      <c r="S177" s="883">
        <f>ROUND('T1'!K61,$D$175)</f>
        <v>790418.9</v>
      </c>
      <c r="T177" s="883">
        <f>ROUND('T1'!L61,$D$175)</f>
        <v>775027.03399999999</v>
      </c>
      <c r="U177" s="883">
        <f>ROUND('T1'!M61,$D$175)</f>
        <v>790935.59299999999</v>
      </c>
      <c r="V177" s="883">
        <f>ROUND('T1'!N61,$D$175)</f>
        <v>873485.10900000005</v>
      </c>
      <c r="W177" s="883">
        <f>ROUND('T1'!O61,$D$175)</f>
        <v>889282.98699999996</v>
      </c>
    </row>
    <row r="178" spans="1:23" s="878" customFormat="1">
      <c r="A178" s="875" t="s">
        <v>133</v>
      </c>
      <c r="B178" s="876" t="s">
        <v>52</v>
      </c>
      <c r="C178" s="877" t="s">
        <v>134</v>
      </c>
      <c r="D178" s="863">
        <v>3</v>
      </c>
      <c r="E178" s="871"/>
      <c r="F178" s="871"/>
      <c r="G178" s="871"/>
      <c r="H178" s="871"/>
      <c r="I178" s="871"/>
      <c r="R178" s="162"/>
      <c r="S178" s="879" t="b">
        <f>ROUND('T2'!C15,$D$178)=ROUND('T1'!K61-'T1 ANSP'!K15-'T1 ANSP'!K16-'T1 MET'!K15-'T1 MET'!K16-'T1 NSA'!K61,$D$178)</f>
        <v>0</v>
      </c>
      <c r="T178" s="879" t="b">
        <f>ROUND('T2'!D15,$D$178)=ROUND('T1'!L61-'T1 ANSP'!L15-'T1 ANSP'!L16-'T1 MET'!L15-'T1 MET'!L16-'T1 NSA'!L61,$D$178)</f>
        <v>0</v>
      </c>
      <c r="U178" s="879" t="b">
        <f>ROUND('T2'!E15,$D$178)=ROUND('T1'!M61-'T1 ANSP'!M15-'T1 ANSP'!M16-'T1 MET'!M15-'T1 MET'!M16-'T1 NSA'!M61,$D$178)</f>
        <v>0</v>
      </c>
      <c r="V178" s="879" t="b">
        <f>ROUND('T2'!F15,$D$178)=ROUND('T1'!N61-'T1 ANSP'!N15-'T1 ANSP'!N16-'T1 MET'!N15-'T1 MET'!N16-'T1 NSA'!N61,$D$178)</f>
        <v>0</v>
      </c>
      <c r="W178" s="879" t="b">
        <f>ROUND('T2'!G15,$D$178)=ROUND('T1'!O61-'T1 ANSP'!O15-'T1 ANSP'!O16-'T1 MET'!O15-'T1 MET'!O16-'T1 NSA'!O61,$D$178)</f>
        <v>0</v>
      </c>
    </row>
    <row r="179" spans="1:23" s="882" customFormat="1" outlineLevel="1">
      <c r="A179" s="875"/>
      <c r="B179" s="876"/>
      <c r="C179" s="880" t="s">
        <v>135</v>
      </c>
      <c r="D179" s="881"/>
      <c r="E179" s="871"/>
      <c r="F179" s="871"/>
      <c r="G179" s="871"/>
      <c r="H179" s="871"/>
      <c r="I179" s="871"/>
      <c r="R179" s="162"/>
      <c r="S179" s="883">
        <f>ROUND('T2'!C15,$D$178)</f>
        <v>720893.33299999998</v>
      </c>
      <c r="T179" s="883">
        <f>ROUND('T2'!D15,$D$178)</f>
        <v>704464.75600000005</v>
      </c>
      <c r="U179" s="883">
        <f>ROUND('T2'!E15,$D$178)</f>
        <v>720371.22699999996</v>
      </c>
      <c r="V179" s="883">
        <f>ROUND('T2'!F15,$D$178)</f>
        <v>793891.571</v>
      </c>
      <c r="W179" s="883">
        <f>ROUND('T2'!G15,$D$178)</f>
        <v>809173.43500000006</v>
      </c>
    </row>
    <row r="180" spans="1:23" s="882" customFormat="1" outlineLevel="1">
      <c r="A180" s="875"/>
      <c r="B180" s="876"/>
      <c r="C180" s="880" t="s">
        <v>136</v>
      </c>
      <c r="D180" s="881"/>
      <c r="E180" s="871"/>
      <c r="F180" s="871"/>
      <c r="G180" s="871"/>
      <c r="H180" s="871"/>
      <c r="I180" s="871"/>
      <c r="R180" s="162"/>
      <c r="S180" s="883">
        <f>ROUND('T1'!K61-'T1 ANSP'!K15-'T1 ANSP'!K16-'T1 MET'!K15-'T1 MET'!K16-'T1 NSA'!K61,$D$178)</f>
        <v>514224.505</v>
      </c>
      <c r="T180" s="883">
        <f>ROUND('T1'!L61-'T1 ANSP'!L15-'T1 ANSP'!L16-'T1 MET'!L15-'T1 MET'!L16-'T1 NSA'!L61,$D$178)</f>
        <v>521829.12300000002</v>
      </c>
      <c r="U180" s="883">
        <f>ROUND('T1'!M61-'T1 ANSP'!M15-'T1 ANSP'!M16-'T1 MET'!M15-'T1 MET'!M16-'T1 NSA'!M61,$D$178)</f>
        <v>548439.02399999998</v>
      </c>
      <c r="V180" s="883">
        <f>ROUND('T1'!N61-'T1 ANSP'!N15-'T1 ANSP'!N16-'T1 MET'!N15-'T1 MET'!N16-'T1 NSA'!N61,$D$178)</f>
        <v>595758.12300000002</v>
      </c>
      <c r="W180" s="883">
        <f>ROUND('T1'!O61-'T1 ANSP'!O15-'T1 ANSP'!O16-'T1 MET'!O15-'T1 MET'!O16-'T1 NSA'!O61,$D$178)</f>
        <v>600171.07299999997</v>
      </c>
    </row>
    <row r="181" spans="1:23" s="878" customFormat="1">
      <c r="A181" s="875" t="s">
        <v>137</v>
      </c>
      <c r="B181" s="876" t="s">
        <v>138</v>
      </c>
      <c r="C181" s="877" t="s">
        <v>139</v>
      </c>
      <c r="D181" s="881"/>
      <c r="E181" s="871"/>
      <c r="F181" s="871"/>
      <c r="G181" s="871"/>
      <c r="H181" s="871"/>
      <c r="I181" s="871"/>
      <c r="R181" s="162"/>
      <c r="S181" s="879" t="b">
        <f>'T2'!C16='T1'!K65</f>
        <v>1</v>
      </c>
      <c r="T181" s="879" t="b">
        <f>'T2'!D16='T1'!L65</f>
        <v>1</v>
      </c>
      <c r="U181" s="879" t="b">
        <f>'T2'!E16='T1'!M65</f>
        <v>1</v>
      </c>
      <c r="V181" s="879" t="b">
        <f>'T2'!F16='T1'!N65</f>
        <v>1</v>
      </c>
      <c r="W181" s="879" t="b">
        <f>'T2'!G16='T1'!O65</f>
        <v>1</v>
      </c>
    </row>
    <row r="182" spans="1:23" s="882" customFormat="1" outlineLevel="1">
      <c r="A182" s="875"/>
      <c r="B182" s="876"/>
      <c r="C182" s="880" t="s">
        <v>140</v>
      </c>
      <c r="D182" s="881"/>
      <c r="E182" s="871"/>
      <c r="F182" s="871"/>
      <c r="G182" s="871"/>
      <c r="H182" s="871"/>
      <c r="I182" s="871"/>
      <c r="R182" s="162"/>
      <c r="S182" s="884">
        <f>'T2'!C16</f>
        <v>106.44304700754891</v>
      </c>
      <c r="T182" s="884">
        <f>'T2'!D16</f>
        <v>108.5719079476999</v>
      </c>
      <c r="U182" s="884">
        <f>'T2'!E16</f>
        <v>110.7433461066539</v>
      </c>
      <c r="V182" s="884">
        <f>'T2'!F16</f>
        <v>118.73399586480322</v>
      </c>
      <c r="W182" s="884">
        <f>'T2'!G16</f>
        <v>119.75124598510098</v>
      </c>
    </row>
    <row r="183" spans="1:23" s="882" customFormat="1" outlineLevel="1">
      <c r="A183" s="875"/>
      <c r="B183" s="876"/>
      <c r="C183" s="880" t="s">
        <v>141</v>
      </c>
      <c r="D183" s="881"/>
      <c r="E183" s="871"/>
      <c r="F183" s="871"/>
      <c r="G183" s="871"/>
      <c r="H183" s="871"/>
      <c r="I183" s="871"/>
      <c r="R183" s="162"/>
      <c r="S183" s="884">
        <f>'T1'!K65</f>
        <v>106.44304700754891</v>
      </c>
      <c r="T183" s="884">
        <f>'T1'!L65</f>
        <v>108.5719079476999</v>
      </c>
      <c r="U183" s="884">
        <f>'T1'!M65</f>
        <v>110.7433461066539</v>
      </c>
      <c r="V183" s="884">
        <f>'T1'!N65</f>
        <v>118.73399586480322</v>
      </c>
      <c r="W183" s="884">
        <f>'T1'!O65</f>
        <v>119.75124598510098</v>
      </c>
    </row>
    <row r="184" spans="1:23" s="878" customFormat="1">
      <c r="A184" s="875" t="s">
        <v>142</v>
      </c>
      <c r="B184" s="876" t="s">
        <v>143</v>
      </c>
      <c r="C184" s="877" t="s">
        <v>144</v>
      </c>
      <c r="D184" s="881"/>
      <c r="E184" s="871"/>
      <c r="F184" s="871"/>
      <c r="G184" s="871"/>
      <c r="H184" s="871"/>
      <c r="I184" s="871"/>
      <c r="J184" s="871"/>
      <c r="K184" s="871"/>
      <c r="L184" s="871"/>
      <c r="M184" s="871"/>
      <c r="N184" s="871"/>
      <c r="R184" s="162"/>
      <c r="S184" s="871"/>
    </row>
    <row r="185" spans="1:23" s="882" customFormat="1" outlineLevel="1">
      <c r="A185" s="875"/>
      <c r="B185" s="876"/>
      <c r="C185" s="880" t="s">
        <v>145</v>
      </c>
      <c r="D185" s="881"/>
      <c r="E185" s="871"/>
      <c r="F185" s="871"/>
      <c r="G185" s="871"/>
      <c r="H185" s="871"/>
      <c r="I185" s="871"/>
      <c r="J185" s="871"/>
      <c r="K185" s="871"/>
      <c r="L185" s="871"/>
      <c r="M185" s="871"/>
      <c r="N185" s="871"/>
      <c r="R185" s="162"/>
      <c r="S185" s="871"/>
    </row>
    <row r="186" spans="1:23" s="882" customFormat="1" outlineLevel="1">
      <c r="A186" s="875"/>
      <c r="B186" s="876"/>
      <c r="C186" s="880" t="s">
        <v>146</v>
      </c>
      <c r="D186" s="881"/>
      <c r="E186" s="871"/>
      <c r="F186" s="871"/>
      <c r="G186" s="871"/>
      <c r="H186" s="871"/>
      <c r="I186" s="871"/>
      <c r="J186" s="871"/>
      <c r="K186" s="871"/>
      <c r="L186" s="871"/>
      <c r="M186" s="871"/>
      <c r="N186" s="871"/>
      <c r="R186" s="162"/>
      <c r="S186" s="871"/>
    </row>
    <row r="187" spans="1:23" s="878" customFormat="1">
      <c r="A187" s="875" t="s">
        <v>147</v>
      </c>
      <c r="B187" s="876" t="s">
        <v>148</v>
      </c>
      <c r="C187" s="877" t="s">
        <v>149</v>
      </c>
      <c r="D187" s="881"/>
      <c r="E187" s="871"/>
      <c r="F187" s="871"/>
      <c r="G187" s="871"/>
      <c r="H187" s="871"/>
      <c r="I187" s="871"/>
      <c r="J187" s="871"/>
      <c r="K187" s="871"/>
      <c r="L187" s="871"/>
      <c r="M187" s="871"/>
      <c r="N187" s="871"/>
      <c r="R187" s="162"/>
      <c r="S187" s="871"/>
    </row>
    <row r="188" spans="1:23" s="882" customFormat="1" outlineLevel="1">
      <c r="A188" s="875"/>
      <c r="B188" s="876"/>
      <c r="C188" s="880" t="s">
        <v>150</v>
      </c>
      <c r="D188" s="881"/>
      <c r="E188" s="871"/>
      <c r="F188" s="871"/>
      <c r="G188" s="871"/>
      <c r="H188" s="871"/>
      <c r="I188" s="871"/>
      <c r="J188" s="871"/>
      <c r="K188" s="871"/>
      <c r="L188" s="871"/>
      <c r="M188" s="871"/>
      <c r="N188" s="871"/>
      <c r="R188" s="162"/>
      <c r="S188" s="871"/>
    </row>
    <row r="189" spans="1:23" s="882" customFormat="1" outlineLevel="1">
      <c r="A189" s="875"/>
      <c r="B189" s="876"/>
      <c r="C189" s="880" t="s">
        <v>151</v>
      </c>
      <c r="D189" s="881"/>
      <c r="E189" s="871"/>
      <c r="F189" s="871"/>
      <c r="G189" s="871"/>
      <c r="H189" s="871"/>
      <c r="I189" s="871"/>
      <c r="J189" s="871"/>
      <c r="K189" s="871"/>
      <c r="L189" s="871"/>
      <c r="M189" s="871"/>
      <c r="N189" s="871"/>
      <c r="R189" s="162"/>
      <c r="S189" s="871"/>
    </row>
    <row r="190" spans="1:23" s="878" customFormat="1">
      <c r="A190" s="875" t="s">
        <v>152</v>
      </c>
      <c r="B190" s="876">
        <v>2.5</v>
      </c>
      <c r="C190" s="885" t="s">
        <v>153</v>
      </c>
      <c r="D190" s="863">
        <v>3</v>
      </c>
      <c r="E190" s="871"/>
      <c r="F190" s="871"/>
      <c r="G190" s="871"/>
      <c r="H190" s="871"/>
      <c r="I190" s="871"/>
      <c r="J190" s="871"/>
      <c r="K190" s="871"/>
      <c r="L190" s="871"/>
      <c r="M190" s="871"/>
      <c r="N190" s="871"/>
      <c r="R190" s="162"/>
    </row>
    <row r="191" spans="1:23" s="882" customFormat="1" outlineLevel="1">
      <c r="A191" s="875"/>
      <c r="B191" s="876"/>
      <c r="C191" s="886" t="s">
        <v>154</v>
      </c>
      <c r="D191" s="887"/>
      <c r="E191" s="871"/>
      <c r="G191" s="871"/>
      <c r="H191" s="871"/>
      <c r="I191" s="871"/>
      <c r="J191" s="871"/>
      <c r="K191" s="871"/>
      <c r="L191" s="871"/>
      <c r="M191" s="871"/>
      <c r="N191" s="871"/>
      <c r="R191" s="162"/>
    </row>
    <row r="192" spans="1:23" s="882" customFormat="1" outlineLevel="1">
      <c r="A192" s="875"/>
      <c r="B192" s="876"/>
      <c r="C192" s="886" t="s">
        <v>155</v>
      </c>
      <c r="D192" s="887"/>
      <c r="E192" s="871"/>
      <c r="F192" s="871"/>
      <c r="G192" s="871"/>
      <c r="H192" s="871"/>
      <c r="I192" s="871"/>
      <c r="J192" s="871"/>
      <c r="K192" s="871"/>
      <c r="L192" s="871"/>
      <c r="M192" s="871"/>
      <c r="N192" s="871"/>
      <c r="R192" s="162"/>
    </row>
    <row r="193" spans="1:23" s="878" customFormat="1">
      <c r="A193" s="875" t="s">
        <v>156</v>
      </c>
      <c r="B193" s="876" t="s">
        <v>81</v>
      </c>
      <c r="C193" s="877" t="s">
        <v>157</v>
      </c>
      <c r="D193" s="863">
        <v>3</v>
      </c>
      <c r="E193" s="871"/>
      <c r="F193" s="871"/>
      <c r="G193" s="871"/>
      <c r="H193" s="871"/>
      <c r="I193" s="871"/>
      <c r="J193" s="871"/>
      <c r="K193" s="871"/>
      <c r="L193" s="871"/>
      <c r="M193" s="871"/>
      <c r="N193" s="871"/>
      <c r="R193" s="162"/>
    </row>
    <row r="194" spans="1:23" s="882" customFormat="1" outlineLevel="1">
      <c r="A194" s="875"/>
      <c r="B194" s="876"/>
      <c r="C194" s="880" t="s">
        <v>158</v>
      </c>
      <c r="D194" s="881"/>
      <c r="E194" s="871"/>
      <c r="F194" s="871"/>
      <c r="G194" s="871"/>
      <c r="H194" s="871"/>
      <c r="I194" s="871"/>
      <c r="J194" s="871"/>
      <c r="K194" s="871"/>
      <c r="L194" s="871"/>
      <c r="M194" s="871"/>
      <c r="N194" s="871"/>
      <c r="R194" s="162"/>
    </row>
    <row r="195" spans="1:23" s="882" customFormat="1" outlineLevel="1">
      <c r="A195" s="875"/>
      <c r="B195" s="876"/>
      <c r="C195" s="865" t="s">
        <v>159</v>
      </c>
      <c r="D195" s="881"/>
      <c r="E195" s="871"/>
      <c r="F195" s="871"/>
      <c r="G195" s="871"/>
      <c r="H195" s="871"/>
      <c r="I195" s="871"/>
      <c r="J195" s="871"/>
      <c r="K195" s="871"/>
      <c r="L195" s="871"/>
      <c r="M195" s="871"/>
      <c r="N195" s="871"/>
      <c r="R195" s="162"/>
    </row>
    <row r="196" spans="1:23" s="878" customFormat="1">
      <c r="A196" s="875" t="s">
        <v>160</v>
      </c>
      <c r="B196" s="876" t="s">
        <v>161</v>
      </c>
      <c r="C196" s="877" t="s">
        <v>162</v>
      </c>
      <c r="D196" s="863">
        <v>3</v>
      </c>
      <c r="E196" s="871"/>
      <c r="F196" s="871"/>
      <c r="G196" s="871"/>
      <c r="H196" s="871"/>
      <c r="I196" s="871"/>
      <c r="R196" s="162"/>
      <c r="S196" s="879" t="b">
        <f>ROUND('T2'!C33,$D$196)=ROUND('T1 ANSP'!K61-'T1 ANSP'!K28,$D$196)</f>
        <v>1</v>
      </c>
      <c r="T196" s="879" t="b">
        <f>ROUND('T2'!D33,$D$196)=ROUND('T1 ANSP'!L61-'T1 ANSP'!L28,$D$196)</f>
        <v>1</v>
      </c>
      <c r="U196" s="879" t="b">
        <f>ROUND('T2'!E33,$D$196)=ROUND('T1 ANSP'!M61-'T1 ANSP'!M28,$D$196)</f>
        <v>1</v>
      </c>
      <c r="V196" s="879" t="b">
        <f>ROUND('T2'!F33,$D$196)=ROUND('T1 ANSP'!N61-'T1 ANSP'!N28,$D$196)</f>
        <v>1</v>
      </c>
      <c r="W196" s="879" t="b">
        <f>ROUND('T2'!G33,$D$196)=ROUND('T1 ANSP'!O61-'T1 ANSP'!O28,$D$196)</f>
        <v>1</v>
      </c>
    </row>
    <row r="197" spans="1:23" s="882" customFormat="1" outlineLevel="1">
      <c r="A197" s="875"/>
      <c r="B197" s="876"/>
      <c r="C197" s="880" t="s">
        <v>163</v>
      </c>
      <c r="D197" s="881"/>
      <c r="E197" s="871"/>
      <c r="F197" s="871"/>
      <c r="G197" s="871"/>
      <c r="H197" s="871"/>
      <c r="I197" s="871"/>
      <c r="R197" s="162"/>
      <c r="S197" s="883">
        <f>ROUND('T2'!C33,$D$196)</f>
        <v>689955.37800000003</v>
      </c>
      <c r="T197" s="883">
        <f>ROUND('T2'!D33,$D$196)</f>
        <v>674270.83200000005</v>
      </c>
      <c r="U197" s="883">
        <f>ROUND('T2'!E33,$D$196)</f>
        <v>688739.42299999995</v>
      </c>
      <c r="V197" s="883">
        <f>ROUND('T2'!F33,$D$196)</f>
        <v>758911.57700000005</v>
      </c>
      <c r="W197" s="883">
        <f>ROUND('T2'!G33,$D$196)</f>
        <v>770018.8</v>
      </c>
    </row>
    <row r="198" spans="1:23" s="882" customFormat="1" outlineLevel="1">
      <c r="A198" s="875"/>
      <c r="B198" s="876"/>
      <c r="C198" s="880" t="s">
        <v>164</v>
      </c>
      <c r="D198" s="881"/>
      <c r="E198" s="871"/>
      <c r="F198" s="871"/>
      <c r="G198" s="871"/>
      <c r="H198" s="871"/>
      <c r="I198" s="871"/>
      <c r="R198" s="162"/>
      <c r="S198" s="883">
        <f>ROUND('T1 ANSP'!K61-'T1 ANSP'!K28,$D$196)</f>
        <v>689955.37800000003</v>
      </c>
      <c r="T198" s="883">
        <f>ROUND('T1 ANSP'!L61-'T1 ANSP'!L28,$D$196)</f>
        <v>674270.83200000005</v>
      </c>
      <c r="U198" s="883">
        <f>ROUND('T1 ANSP'!M61-'T1 ANSP'!M28,$D$196)</f>
        <v>688739.42299999995</v>
      </c>
      <c r="V198" s="883">
        <f>ROUND('T1 ANSP'!N61-'T1 ANSP'!N28,$D$196)</f>
        <v>758911.57700000005</v>
      </c>
      <c r="W198" s="883">
        <f>ROUND('T1 ANSP'!O61-'T1 ANSP'!O28,$D$196)</f>
        <v>770018.8</v>
      </c>
    </row>
    <row r="199" spans="1:23" s="878" customFormat="1">
      <c r="A199" s="875" t="s">
        <v>165</v>
      </c>
      <c r="B199" s="876" t="s">
        <v>166</v>
      </c>
      <c r="C199" s="877" t="s">
        <v>167</v>
      </c>
      <c r="D199" s="863">
        <v>3</v>
      </c>
      <c r="E199" s="871"/>
      <c r="F199" s="871"/>
      <c r="G199" s="871"/>
      <c r="H199" s="871"/>
      <c r="I199" s="871"/>
      <c r="R199" s="162"/>
      <c r="S199" s="879" t="b">
        <f>ROUND('T2'!C38,$D$199)=ROUND('T1'!K68,$D$199)</f>
        <v>1</v>
      </c>
      <c r="T199" s="879" t="b">
        <f>ROUND('T2'!D38,$D$199)=ROUND('T1'!L68,$D$199)</f>
        <v>1</v>
      </c>
      <c r="U199" s="879" t="b">
        <f>ROUND('T2'!E38,$D$199)=ROUND('T1'!M68,$D$199)</f>
        <v>1</v>
      </c>
      <c r="V199" s="879" t="b">
        <f>ROUND('T2'!F38,$D$199)=ROUND('T1'!N68,$D$199)</f>
        <v>1</v>
      </c>
      <c r="W199" s="879" t="b">
        <f>ROUND('T2'!G38,$D$199)=ROUND('T1'!O68,$D$199)</f>
        <v>1</v>
      </c>
    </row>
    <row r="200" spans="1:23" s="882" customFormat="1" outlineLevel="1">
      <c r="A200" s="875"/>
      <c r="B200" s="876"/>
      <c r="C200" s="880" t="s">
        <v>168</v>
      </c>
      <c r="D200" s="881"/>
      <c r="E200" s="871"/>
      <c r="F200" s="871"/>
      <c r="G200" s="871"/>
      <c r="H200" s="871"/>
      <c r="I200" s="871"/>
      <c r="R200" s="162"/>
      <c r="S200" s="883">
        <f>ROUND('T2'!C38,$D$199)</f>
        <v>12647.945</v>
      </c>
      <c r="T200" s="883">
        <f>ROUND('T2'!D38,$D$199)</f>
        <v>12891</v>
      </c>
      <c r="U200" s="883">
        <f>ROUND('T2'!E38,$D$199)</f>
        <v>13183</v>
      </c>
      <c r="V200" s="883">
        <f>ROUND('T2'!F38,$D$199)</f>
        <v>11956</v>
      </c>
      <c r="W200" s="883">
        <f>ROUND('T2'!G38,$D$199)</f>
        <v>12930</v>
      </c>
    </row>
    <row r="201" spans="1:23" s="882" customFormat="1" outlineLevel="1">
      <c r="A201" s="875"/>
      <c r="B201" s="876"/>
      <c r="C201" s="880" t="s">
        <v>169</v>
      </c>
      <c r="D201" s="881"/>
      <c r="E201" s="871"/>
      <c r="F201" s="871"/>
      <c r="G201" s="871"/>
      <c r="H201" s="871"/>
      <c r="I201" s="871"/>
      <c r="R201" s="162"/>
      <c r="S201" s="883">
        <f>ROUND('T1'!K68,$D$199)</f>
        <v>12647.945</v>
      </c>
      <c r="T201" s="883">
        <f>ROUND('T1'!L68,$D$199)</f>
        <v>12891</v>
      </c>
      <c r="U201" s="883">
        <f>ROUND('T1'!M68,$D$199)</f>
        <v>13183</v>
      </c>
      <c r="V201" s="883">
        <f>ROUND('T1'!N68,$D$199)</f>
        <v>11956</v>
      </c>
      <c r="W201" s="883">
        <f>ROUND('T1'!O68,$D$199)</f>
        <v>12930</v>
      </c>
    </row>
    <row r="202" spans="1:23" s="878" customFormat="1">
      <c r="A202" s="875" t="s">
        <v>170</v>
      </c>
      <c r="B202" s="876">
        <v>4.7</v>
      </c>
      <c r="C202" s="885" t="s">
        <v>171</v>
      </c>
      <c r="D202" s="863">
        <v>3</v>
      </c>
      <c r="E202" s="871"/>
      <c r="F202" s="871"/>
      <c r="G202" s="871"/>
      <c r="H202" s="871"/>
      <c r="I202" s="871"/>
      <c r="J202" s="871"/>
      <c r="K202" s="871"/>
      <c r="L202" s="871"/>
      <c r="M202" s="871"/>
      <c r="N202" s="871"/>
      <c r="R202" s="162"/>
    </row>
    <row r="203" spans="1:23" s="882" customFormat="1" outlineLevel="1">
      <c r="A203" s="875"/>
      <c r="B203" s="876"/>
      <c r="C203" s="886" t="s">
        <v>172</v>
      </c>
      <c r="D203" s="887"/>
      <c r="E203" s="871"/>
      <c r="F203" s="871"/>
      <c r="G203" s="871"/>
      <c r="H203" s="871"/>
      <c r="I203" s="871"/>
      <c r="J203" s="871"/>
      <c r="K203" s="871"/>
      <c r="L203" s="871"/>
      <c r="M203" s="871"/>
      <c r="N203" s="871"/>
      <c r="R203" s="162"/>
    </row>
    <row r="204" spans="1:23" s="882" customFormat="1" outlineLevel="1">
      <c r="A204" s="875"/>
      <c r="B204" s="876"/>
      <c r="C204" s="886" t="s">
        <v>173</v>
      </c>
      <c r="D204" s="887"/>
      <c r="E204" s="871"/>
      <c r="F204" s="871"/>
      <c r="G204" s="871"/>
      <c r="H204" s="871"/>
      <c r="I204" s="871"/>
      <c r="J204" s="871"/>
      <c r="K204" s="871"/>
      <c r="L204" s="871"/>
      <c r="M204" s="871"/>
      <c r="N204" s="871"/>
      <c r="R204" s="162"/>
    </row>
    <row r="205" spans="1:23" s="878" customFormat="1">
      <c r="A205" s="875" t="s">
        <v>174</v>
      </c>
      <c r="B205" s="876">
        <v>4.8</v>
      </c>
      <c r="C205" s="885" t="s">
        <v>175</v>
      </c>
      <c r="D205" s="863">
        <v>3</v>
      </c>
      <c r="E205" s="871"/>
      <c r="F205" s="871"/>
      <c r="G205" s="871"/>
      <c r="H205" s="871"/>
      <c r="I205" s="871"/>
      <c r="J205" s="871"/>
      <c r="K205" s="871"/>
      <c r="L205" s="871"/>
      <c r="M205" s="871"/>
      <c r="N205" s="871"/>
      <c r="R205" s="162"/>
    </row>
    <row r="206" spans="1:23" s="882" customFormat="1" outlineLevel="1">
      <c r="A206" s="875"/>
      <c r="B206" s="876"/>
      <c r="C206" s="886" t="s">
        <v>176</v>
      </c>
      <c r="D206" s="887"/>
      <c r="E206" s="871"/>
      <c r="F206" s="871"/>
      <c r="G206" s="871"/>
      <c r="H206" s="871"/>
      <c r="I206" s="871"/>
      <c r="J206" s="871"/>
      <c r="K206" s="871"/>
      <c r="L206" s="871"/>
      <c r="M206" s="871"/>
      <c r="N206" s="871"/>
      <c r="R206" s="162"/>
    </row>
    <row r="207" spans="1:23" s="882" customFormat="1" outlineLevel="1">
      <c r="A207" s="875"/>
      <c r="B207" s="876"/>
      <c r="C207" s="886" t="s">
        <v>177</v>
      </c>
      <c r="D207" s="887"/>
      <c r="E207" s="871"/>
      <c r="F207" s="871"/>
      <c r="G207" s="871"/>
      <c r="H207" s="871"/>
      <c r="I207" s="871"/>
      <c r="J207" s="871"/>
      <c r="K207" s="871"/>
      <c r="L207" s="871"/>
      <c r="M207" s="871"/>
      <c r="N207" s="871"/>
      <c r="R207" s="162"/>
    </row>
    <row r="208" spans="1:23" s="878" customFormat="1">
      <c r="A208" s="875" t="s">
        <v>178</v>
      </c>
      <c r="B208" s="876" t="s">
        <v>179</v>
      </c>
      <c r="C208" s="885" t="s">
        <v>180</v>
      </c>
      <c r="D208" s="863">
        <v>3</v>
      </c>
      <c r="E208" s="871"/>
      <c r="F208" s="871"/>
      <c r="G208" s="871"/>
      <c r="H208" s="871"/>
      <c r="I208" s="871"/>
      <c r="J208" s="871"/>
      <c r="K208" s="871"/>
      <c r="L208" s="871"/>
      <c r="M208" s="871"/>
      <c r="N208" s="871"/>
      <c r="R208" s="162"/>
    </row>
    <row r="209" spans="1:18" s="882" customFormat="1" outlineLevel="1">
      <c r="A209" s="875"/>
      <c r="B209" s="876"/>
      <c r="C209" s="886" t="s">
        <v>181</v>
      </c>
      <c r="D209" s="881"/>
      <c r="E209" s="871"/>
      <c r="F209" s="871"/>
      <c r="G209" s="871"/>
      <c r="H209" s="871"/>
      <c r="I209" s="871"/>
      <c r="J209" s="871"/>
      <c r="K209" s="871"/>
      <c r="L209" s="871"/>
      <c r="M209" s="871"/>
      <c r="N209" s="871"/>
      <c r="R209" s="162"/>
    </row>
    <row r="210" spans="1:18" s="882" customFormat="1" outlineLevel="1">
      <c r="A210" s="875"/>
      <c r="B210" s="876"/>
      <c r="C210" s="886" t="s">
        <v>182</v>
      </c>
      <c r="D210" s="881"/>
      <c r="E210" s="871"/>
      <c r="F210" s="871"/>
      <c r="G210" s="871"/>
      <c r="H210" s="871"/>
      <c r="I210" s="871"/>
      <c r="J210" s="871"/>
      <c r="K210" s="871"/>
      <c r="L210" s="871"/>
      <c r="M210" s="871"/>
      <c r="N210" s="871"/>
      <c r="R210" s="162"/>
    </row>
    <row r="211" spans="1:18" s="878" customFormat="1">
      <c r="A211" s="875" t="s">
        <v>183</v>
      </c>
      <c r="B211" s="876" t="s">
        <v>34</v>
      </c>
      <c r="C211" s="877" t="s">
        <v>184</v>
      </c>
      <c r="D211" s="863">
        <v>3</v>
      </c>
      <c r="E211" s="871"/>
      <c r="F211" s="871"/>
      <c r="G211" s="871"/>
      <c r="H211" s="871"/>
      <c r="I211" s="871"/>
      <c r="J211" s="871"/>
      <c r="K211" s="871"/>
      <c r="L211" s="871"/>
      <c r="M211" s="871"/>
      <c r="N211" s="871"/>
      <c r="R211" s="162"/>
    </row>
    <row r="212" spans="1:18" s="882" customFormat="1" outlineLevel="1">
      <c r="A212" s="875"/>
      <c r="B212" s="876"/>
      <c r="C212" s="880" t="s">
        <v>185</v>
      </c>
      <c r="D212" s="881"/>
      <c r="E212" s="871"/>
      <c r="F212" s="871"/>
      <c r="G212" s="871"/>
      <c r="H212" s="871"/>
      <c r="I212" s="871"/>
      <c r="J212" s="871"/>
      <c r="K212" s="871"/>
      <c r="L212" s="871"/>
      <c r="M212" s="871"/>
      <c r="N212" s="871"/>
      <c r="R212" s="162"/>
    </row>
    <row r="213" spans="1:18" s="882" customFormat="1" outlineLevel="1">
      <c r="A213" s="875"/>
      <c r="B213" s="876"/>
      <c r="C213" s="880" t="s">
        <v>186</v>
      </c>
      <c r="D213" s="881"/>
      <c r="E213" s="871"/>
      <c r="F213" s="871"/>
      <c r="G213" s="871"/>
      <c r="H213" s="871"/>
      <c r="I213" s="871"/>
      <c r="J213" s="871"/>
      <c r="K213" s="871"/>
      <c r="L213" s="871"/>
      <c r="M213" s="871"/>
      <c r="N213" s="871"/>
      <c r="R213" s="162"/>
    </row>
    <row r="214" spans="1:18" s="878" customFormat="1">
      <c r="A214" s="875" t="s">
        <v>183</v>
      </c>
      <c r="B214" s="876" t="s">
        <v>38</v>
      </c>
      <c r="C214" s="877" t="s">
        <v>187</v>
      </c>
      <c r="D214" s="863">
        <v>3</v>
      </c>
      <c r="E214" s="871"/>
      <c r="F214" s="871"/>
      <c r="G214" s="871"/>
      <c r="H214" s="871"/>
      <c r="I214" s="871"/>
      <c r="J214" s="871"/>
      <c r="K214" s="871"/>
      <c r="L214" s="871"/>
      <c r="M214" s="871"/>
      <c r="N214" s="871"/>
      <c r="R214" s="162"/>
    </row>
    <row r="215" spans="1:18" s="882" customFormat="1" outlineLevel="1">
      <c r="A215" s="875"/>
      <c r="B215" s="876"/>
      <c r="C215" s="880" t="s">
        <v>185</v>
      </c>
      <c r="D215" s="881"/>
      <c r="E215" s="871"/>
      <c r="F215" s="871"/>
      <c r="G215" s="871"/>
      <c r="H215" s="871"/>
      <c r="I215" s="871"/>
      <c r="J215" s="871"/>
      <c r="K215" s="871"/>
      <c r="L215" s="871"/>
      <c r="M215" s="871"/>
      <c r="N215" s="871"/>
      <c r="R215" s="162"/>
    </row>
    <row r="216" spans="1:18" s="882" customFormat="1" outlineLevel="1">
      <c r="A216" s="875"/>
      <c r="B216" s="876"/>
      <c r="C216" s="880" t="s">
        <v>186</v>
      </c>
      <c r="D216" s="881"/>
      <c r="E216" s="871"/>
      <c r="F216" s="871"/>
      <c r="G216" s="871"/>
      <c r="H216" s="871"/>
      <c r="I216" s="871"/>
      <c r="J216" s="871"/>
      <c r="K216" s="871"/>
      <c r="L216" s="871"/>
      <c r="M216" s="871"/>
      <c r="N216" s="871"/>
      <c r="R216" s="162"/>
    </row>
    <row r="217" spans="1:18" s="878" customFormat="1">
      <c r="A217" s="875" t="s">
        <v>183</v>
      </c>
      <c r="B217" s="876" t="s">
        <v>58</v>
      </c>
      <c r="C217" s="877" t="s">
        <v>188</v>
      </c>
      <c r="D217" s="863">
        <v>3</v>
      </c>
      <c r="E217" s="871"/>
      <c r="F217" s="871"/>
      <c r="G217" s="871"/>
      <c r="H217" s="871"/>
      <c r="I217" s="871"/>
      <c r="J217" s="871"/>
      <c r="K217" s="871"/>
      <c r="L217" s="871"/>
      <c r="M217" s="871"/>
      <c r="N217" s="871"/>
      <c r="R217" s="162"/>
    </row>
    <row r="218" spans="1:18" s="882" customFormat="1" outlineLevel="1">
      <c r="A218" s="875"/>
      <c r="B218" s="876"/>
      <c r="C218" s="880" t="s">
        <v>189</v>
      </c>
      <c r="D218" s="881"/>
      <c r="E218" s="871"/>
      <c r="F218" s="871"/>
      <c r="G218" s="871"/>
      <c r="H218" s="871"/>
      <c r="I218" s="871"/>
      <c r="J218" s="871"/>
      <c r="K218" s="871"/>
      <c r="L218" s="871"/>
      <c r="M218" s="871"/>
      <c r="N218" s="871"/>
      <c r="R218" s="162"/>
    </row>
    <row r="219" spans="1:18" s="882" customFormat="1" outlineLevel="1">
      <c r="A219" s="875"/>
      <c r="B219" s="876"/>
      <c r="C219" s="880" t="s">
        <v>190</v>
      </c>
      <c r="D219" s="881"/>
      <c r="E219" s="871"/>
      <c r="F219" s="871"/>
      <c r="G219" s="871"/>
      <c r="H219" s="871"/>
      <c r="I219" s="871"/>
      <c r="J219" s="871"/>
      <c r="K219" s="871"/>
      <c r="L219" s="871"/>
      <c r="M219" s="871"/>
      <c r="N219" s="871"/>
      <c r="R219" s="162"/>
    </row>
    <row r="220" spans="1:18" s="878" customFormat="1">
      <c r="A220" s="875" t="s">
        <v>191</v>
      </c>
      <c r="B220" s="876" t="s">
        <v>192</v>
      </c>
      <c r="C220" s="877" t="s">
        <v>193</v>
      </c>
      <c r="D220" s="863">
        <v>3</v>
      </c>
      <c r="E220" s="871"/>
      <c r="F220" s="871"/>
      <c r="G220" s="871"/>
      <c r="H220" s="871"/>
      <c r="I220" s="871"/>
      <c r="J220" s="871"/>
      <c r="K220" s="871"/>
      <c r="L220" s="871"/>
      <c r="M220" s="871"/>
      <c r="N220" s="871"/>
      <c r="R220" s="162"/>
    </row>
    <row r="221" spans="1:18" s="882" customFormat="1" outlineLevel="1">
      <c r="A221" s="875"/>
      <c r="B221" s="876"/>
      <c r="C221" s="880" t="s">
        <v>194</v>
      </c>
      <c r="D221" s="881"/>
      <c r="E221" s="871"/>
      <c r="F221" s="871"/>
      <c r="G221" s="871"/>
      <c r="H221" s="871"/>
      <c r="I221" s="871"/>
      <c r="J221" s="871"/>
      <c r="K221" s="871"/>
      <c r="L221" s="871"/>
      <c r="M221" s="871"/>
      <c r="N221" s="871"/>
      <c r="R221" s="162"/>
    </row>
    <row r="222" spans="1:18" s="882" customFormat="1" outlineLevel="1">
      <c r="A222" s="875"/>
      <c r="B222" s="876"/>
      <c r="C222" s="865" t="s">
        <v>195</v>
      </c>
      <c r="D222" s="881"/>
      <c r="E222" s="871"/>
      <c r="F222" s="871"/>
      <c r="G222" s="871"/>
      <c r="H222" s="871"/>
      <c r="I222" s="871"/>
      <c r="J222" s="871"/>
      <c r="K222" s="871"/>
      <c r="L222" s="871"/>
      <c r="M222" s="871"/>
      <c r="N222" s="871"/>
      <c r="R222" s="162"/>
    </row>
    <row r="223" spans="1:18" s="878" customFormat="1">
      <c r="A223" s="875" t="s">
        <v>196</v>
      </c>
      <c r="B223" s="876" t="s">
        <v>197</v>
      </c>
      <c r="C223" s="877" t="s">
        <v>198</v>
      </c>
      <c r="D223" s="863">
        <v>3</v>
      </c>
      <c r="E223" s="871"/>
      <c r="F223" s="871"/>
      <c r="G223" s="871"/>
      <c r="H223" s="871"/>
      <c r="I223" s="871"/>
      <c r="J223" s="871"/>
      <c r="K223" s="871"/>
      <c r="L223" s="871"/>
      <c r="M223" s="871"/>
      <c r="N223" s="871"/>
      <c r="R223" s="162"/>
    </row>
    <row r="224" spans="1:18" s="882" customFormat="1" outlineLevel="1">
      <c r="A224" s="875"/>
      <c r="B224" s="876"/>
      <c r="C224" s="880" t="s">
        <v>199</v>
      </c>
      <c r="D224" s="881"/>
      <c r="E224" s="871"/>
      <c r="F224" s="871"/>
      <c r="G224" s="871"/>
      <c r="H224" s="871"/>
      <c r="I224" s="871"/>
      <c r="J224" s="871"/>
      <c r="K224" s="871"/>
      <c r="L224" s="871"/>
      <c r="M224" s="871"/>
      <c r="N224" s="871"/>
      <c r="R224" s="162"/>
    </row>
    <row r="225" spans="1:23" s="882" customFormat="1" outlineLevel="1">
      <c r="A225" s="875"/>
      <c r="B225" s="876"/>
      <c r="C225" s="865" t="s">
        <v>200</v>
      </c>
      <c r="D225" s="881"/>
      <c r="E225" s="871"/>
      <c r="F225" s="871"/>
      <c r="G225" s="871"/>
      <c r="H225" s="871"/>
      <c r="I225" s="871"/>
      <c r="J225" s="871"/>
      <c r="K225" s="871"/>
      <c r="L225" s="871"/>
      <c r="M225" s="871"/>
      <c r="N225" s="871"/>
      <c r="R225" s="162"/>
    </row>
    <row r="226" spans="1:23" s="878" customFormat="1">
      <c r="A226" s="875" t="s">
        <v>133</v>
      </c>
      <c r="B226" s="876" t="s">
        <v>201</v>
      </c>
      <c r="C226" s="877" t="s">
        <v>202</v>
      </c>
      <c r="D226" s="863">
        <v>3</v>
      </c>
      <c r="E226" s="871"/>
      <c r="F226" s="871"/>
      <c r="G226" s="871"/>
      <c r="H226" s="871"/>
      <c r="I226" s="871"/>
      <c r="R226" s="162"/>
      <c r="S226" s="879" t="b">
        <f>ROUND('T2'!C81,$D$226)=ROUND('T2'!C12,$D$226)</f>
        <v>1</v>
      </c>
      <c r="T226" s="879" t="b">
        <f>ROUND('T2'!D81,$D$226)=ROUND('T2'!D12,$D$226)</f>
        <v>1</v>
      </c>
      <c r="U226" s="879" t="b">
        <f>ROUND('T2'!E81,$D$226)=ROUND('T2'!E12,$D$226)</f>
        <v>1</v>
      </c>
      <c r="V226" s="879" t="b">
        <f>ROUND('T2'!F81,$D$226)=ROUND('T2'!F12,$D$226)</f>
        <v>1</v>
      </c>
      <c r="W226" s="879" t="b">
        <f>ROUND('T2'!G81,$D$226)=ROUND('T2'!G12,$D$226)</f>
        <v>1</v>
      </c>
    </row>
    <row r="227" spans="1:23" s="882" customFormat="1" outlineLevel="1">
      <c r="A227" s="875"/>
      <c r="B227" s="876"/>
      <c r="C227" s="880" t="s">
        <v>203</v>
      </c>
      <c r="D227" s="881"/>
      <c r="E227" s="871"/>
      <c r="F227" s="871"/>
      <c r="G227" s="871"/>
      <c r="H227" s="871"/>
      <c r="I227" s="871"/>
      <c r="R227" s="162"/>
      <c r="S227" s="883">
        <f>ROUND('T2'!C81,$D$226)</f>
        <v>790418.9</v>
      </c>
      <c r="T227" s="883">
        <f>ROUND('T2'!D81,$D$226)</f>
        <v>775027.03399999999</v>
      </c>
      <c r="U227" s="883">
        <f>ROUND('T2'!E81,$D$226)</f>
        <v>790935.59299999999</v>
      </c>
      <c r="V227" s="883">
        <f>ROUND('T2'!F81,$D$226)</f>
        <v>873485.10900000005</v>
      </c>
      <c r="W227" s="883">
        <f>ROUND('T2'!G81,$D$226)</f>
        <v>889282.98699999996</v>
      </c>
    </row>
    <row r="228" spans="1:23" s="882" customFormat="1" outlineLevel="1">
      <c r="A228" s="875"/>
      <c r="B228" s="876"/>
      <c r="C228" s="880" t="s">
        <v>204</v>
      </c>
      <c r="D228" s="881"/>
      <c r="E228" s="871"/>
      <c r="F228" s="871"/>
      <c r="G228" s="871"/>
      <c r="H228" s="871"/>
      <c r="I228" s="871"/>
      <c r="R228" s="162"/>
      <c r="S228" s="883">
        <f>ROUND('T2'!C12,$D$226)</f>
        <v>790418.9</v>
      </c>
      <c r="T228" s="883">
        <f>ROUND('T2'!D12,$D$226)</f>
        <v>775027.03399999999</v>
      </c>
      <c r="U228" s="883">
        <f>ROUND('T2'!E12,$D$226)</f>
        <v>790935.59299999999</v>
      </c>
      <c r="V228" s="883">
        <f>ROUND('T2'!F12,$D$226)</f>
        <v>873485.10900000005</v>
      </c>
      <c r="W228" s="883">
        <f>ROUND('T2'!G12,$D$226)</f>
        <v>889282.98699999996</v>
      </c>
    </row>
    <row r="229" spans="1:23">
      <c r="A229" s="875" t="s">
        <v>205</v>
      </c>
      <c r="B229" s="876" t="s">
        <v>206</v>
      </c>
      <c r="C229" s="888" t="s">
        <v>207</v>
      </c>
      <c r="D229" s="863">
        <v>3</v>
      </c>
      <c r="E229" s="871"/>
      <c r="F229" s="871"/>
      <c r="G229" s="871"/>
      <c r="H229" s="871"/>
      <c r="I229" s="871"/>
      <c r="J229" s="162"/>
      <c r="K229" s="162"/>
      <c r="L229" s="162"/>
      <c r="S229" s="879" t="b">
        <f>ROUND('T2'!C82,$D$229)=ROUND('T3'!E21,$D$229)</f>
        <v>1</v>
      </c>
      <c r="T229" s="879" t="b">
        <f>ROUND('T2'!D82,$D$229)=ROUND('T3'!F21,$D$229)</f>
        <v>1</v>
      </c>
      <c r="U229" s="879" t="b">
        <f>ROUND('T2'!E82,$D$229)=ROUND('T3'!G21,$D$229)</f>
        <v>1</v>
      </c>
      <c r="V229" s="879" t="b">
        <f>ROUND('T2'!F82,$D$229)=ROUND('T3'!H21,$D$229)</f>
        <v>1</v>
      </c>
      <c r="W229" s="879" t="b">
        <f>ROUND('T2'!G82,$D$229)=ROUND('T3'!I21,$D$229)</f>
        <v>0</v>
      </c>
    </row>
    <row r="230" spans="1:23" outlineLevel="1">
      <c r="A230" s="876"/>
      <c r="B230" s="876"/>
      <c r="C230" s="889" t="s">
        <v>208</v>
      </c>
      <c r="D230" s="890"/>
      <c r="E230" s="871"/>
      <c r="F230" s="871"/>
      <c r="G230" s="871"/>
      <c r="H230" s="871"/>
      <c r="I230" s="871"/>
      <c r="J230" s="162"/>
      <c r="K230" s="162"/>
      <c r="L230" s="162"/>
      <c r="S230" s="883">
        <f>ROUND('T2'!C82,$D$229)</f>
        <v>-15141.944</v>
      </c>
      <c r="T230" s="883">
        <f>ROUND('T2'!D82,$D$229)</f>
        <v>-16221.846</v>
      </c>
      <c r="U230" s="883">
        <f>ROUND('T2'!E82,$D$229)</f>
        <v>-7849.02</v>
      </c>
      <c r="V230" s="883">
        <f>ROUND('T2'!F82,$D$229)</f>
        <v>-4122.9369999999999</v>
      </c>
      <c r="W230" s="883">
        <f>ROUND('T2'!G82,$D$229)</f>
        <v>45361.957000000002</v>
      </c>
    </row>
    <row r="231" spans="1:23" outlineLevel="1">
      <c r="A231" s="876"/>
      <c r="B231" s="876"/>
      <c r="C231" s="889" t="s">
        <v>209</v>
      </c>
      <c r="D231" s="890"/>
      <c r="E231" s="871"/>
      <c r="F231" s="871"/>
      <c r="G231" s="871"/>
      <c r="H231" s="871"/>
      <c r="I231" s="871"/>
      <c r="J231" s="162"/>
      <c r="K231" s="162"/>
      <c r="L231" s="162"/>
      <c r="S231" s="883">
        <f>ROUND('T3'!E21,$D$229)</f>
        <v>-15141.944</v>
      </c>
      <c r="T231" s="883">
        <f>ROUND('T3'!F21,$D$229)</f>
        <v>-16221.846</v>
      </c>
      <c r="U231" s="883">
        <f>ROUND('T3'!G21,$D$229)</f>
        <v>-7849.02</v>
      </c>
      <c r="V231" s="883">
        <f>ROUND('T3'!H21,$D$229)</f>
        <v>-4122.9369999999999</v>
      </c>
      <c r="W231" s="883">
        <f>ROUND('T3'!I21,$D$229)</f>
        <v>46237.285000000003</v>
      </c>
    </row>
    <row r="232" spans="1:23">
      <c r="A232" s="876" t="s">
        <v>210</v>
      </c>
      <c r="B232" s="876" t="s">
        <v>211</v>
      </c>
      <c r="C232" s="888" t="s">
        <v>212</v>
      </c>
      <c r="D232" s="863">
        <v>3</v>
      </c>
      <c r="E232" s="871"/>
      <c r="F232" s="871"/>
      <c r="G232" s="871"/>
      <c r="H232" s="871"/>
      <c r="I232" s="871"/>
      <c r="J232" s="162"/>
      <c r="K232" s="162"/>
      <c r="L232" s="162"/>
      <c r="S232" s="879" t="b">
        <f>ROUND('T2'!C83,$D$232)=ROUND('T3'!E36,$D$232)</f>
        <v>1</v>
      </c>
      <c r="T232" s="879" t="b">
        <f>ROUND('T2'!D83,$D$232)=ROUND('T3'!F36,$D$232)</f>
        <v>1</v>
      </c>
      <c r="U232" s="879" t="b">
        <f>ROUND('T2'!E83,$D$232)=ROUND('T3'!G36,$D$232)</f>
        <v>1</v>
      </c>
      <c r="V232" s="879" t="b">
        <f>ROUND('T2'!F83,$D$232)=ROUND('T3'!H36,$D$232)</f>
        <v>1</v>
      </c>
      <c r="W232" s="879" t="b">
        <f>ROUND('T2'!G83,$D$232)=ROUND('T3'!I36,$D$232)</f>
        <v>1</v>
      </c>
    </row>
    <row r="233" spans="1:23" outlineLevel="1">
      <c r="A233" s="876"/>
      <c r="B233" s="876"/>
      <c r="C233" s="889" t="s">
        <v>208</v>
      </c>
      <c r="D233" s="890"/>
      <c r="E233" s="871"/>
      <c r="F233" s="871"/>
      <c r="G233" s="871"/>
      <c r="H233" s="871"/>
      <c r="I233" s="871"/>
      <c r="J233" s="162"/>
      <c r="K233" s="162"/>
      <c r="L233" s="162"/>
      <c r="S233" s="883">
        <f>ROUND('T2'!C83,$D$232)</f>
        <v>-52765.667000000001</v>
      </c>
      <c r="T233" s="883">
        <f>ROUND('T2'!D83,$D$232)</f>
        <v>-62057.379000000001</v>
      </c>
      <c r="U233" s="883">
        <f>ROUND('T2'!E83,$D$232)</f>
        <v>0</v>
      </c>
      <c r="V233" s="883">
        <f>ROUND('T2'!F83,$D$232)</f>
        <v>24929.271000000001</v>
      </c>
      <c r="W233" s="883">
        <f>ROUND('T2'!G83,$D$232)</f>
        <v>18063.629000000001</v>
      </c>
    </row>
    <row r="234" spans="1:23" outlineLevel="1">
      <c r="A234" s="876"/>
      <c r="B234" s="876"/>
      <c r="C234" s="889" t="s">
        <v>209</v>
      </c>
      <c r="D234" s="890"/>
      <c r="E234" s="871"/>
      <c r="F234" s="871"/>
      <c r="G234" s="871"/>
      <c r="H234" s="871"/>
      <c r="I234" s="871"/>
      <c r="J234" s="162"/>
      <c r="K234" s="162"/>
      <c r="L234" s="162"/>
      <c r="S234" s="883">
        <f>ROUND('T3'!E36,$D$232)</f>
        <v>-52765.667000000001</v>
      </c>
      <c r="T234" s="883">
        <f>ROUND('T3'!F36,$D$232)</f>
        <v>-62057.379000000001</v>
      </c>
      <c r="U234" s="883">
        <f>ROUND('T3'!G36,$D$232)</f>
        <v>0</v>
      </c>
      <c r="V234" s="883">
        <f>ROUND('T3'!H36,$D$232)</f>
        <v>24929.271000000001</v>
      </c>
      <c r="W234" s="883">
        <f>ROUND('T3'!I36,$D$232)</f>
        <v>18063.629000000001</v>
      </c>
    </row>
    <row r="235" spans="1:23">
      <c r="A235" s="876" t="s">
        <v>213</v>
      </c>
      <c r="B235" s="876" t="s">
        <v>214</v>
      </c>
      <c r="C235" s="888" t="s">
        <v>215</v>
      </c>
      <c r="D235" s="863">
        <v>3</v>
      </c>
      <c r="E235" s="871"/>
      <c r="F235" s="871"/>
      <c r="G235" s="871"/>
      <c r="H235" s="871"/>
      <c r="I235" s="871"/>
      <c r="J235" s="162"/>
      <c r="K235" s="162"/>
      <c r="L235" s="162"/>
      <c r="S235" s="879" t="b">
        <f>ROUND('T2'!C84,$D$235)=ROUND('T3'!E47+'T3'!E58+'T3'!E69+'T3'!E80+'T3'!E91+'T3'!E102+'T3'!E111,$D$235)</f>
        <v>0</v>
      </c>
      <c r="T235" s="879" t="b">
        <f>ROUND('T2'!D84,$D$235)=ROUND('T3'!F47+'T3'!F58+'T3'!F69+'T3'!F80+'T3'!F91+'T3'!F102+'T3'!F111,$D$235)</f>
        <v>0</v>
      </c>
      <c r="U235" s="879" t="b">
        <f>ROUND('T2'!E84,$D$235)=ROUND('T3'!G47+'T3'!G58+'T3'!G69+'T3'!G80+'T3'!G91+'T3'!G102+'T3'!G111,$D$235)</f>
        <v>0</v>
      </c>
      <c r="V235" s="879" t="b">
        <f>ROUND('T2'!F84,$D$235)=ROUND('T3'!H47+'T3'!H58+'T3'!H69+'T3'!H80+'T3'!H91+'T3'!H102+'T3'!H111,$D$235)</f>
        <v>1</v>
      </c>
      <c r="W235" s="879" t="b">
        <f>ROUND('T2'!G84,$D$235)=ROUND('T3'!I47+'T3'!I58+'T3'!I69+'T3'!I80+'T3'!I91+'T3'!I102+'T3'!I111,$D$235)</f>
        <v>1</v>
      </c>
    </row>
    <row r="236" spans="1:23" outlineLevel="1">
      <c r="A236" s="876"/>
      <c r="B236" s="876"/>
      <c r="C236" s="889" t="s">
        <v>208</v>
      </c>
      <c r="D236" s="890"/>
      <c r="E236" s="871"/>
      <c r="F236" s="871"/>
      <c r="G236" s="871"/>
      <c r="H236" s="871"/>
      <c r="I236" s="871"/>
      <c r="J236" s="162"/>
      <c r="K236" s="162"/>
      <c r="L236" s="162"/>
      <c r="S236" s="883">
        <f>ROUND('T2'!C84,$D$235)</f>
        <v>1590.664</v>
      </c>
      <c r="T236" s="883">
        <f>ROUND('T2'!D84,$D$235)</f>
        <v>2414.7139999999999</v>
      </c>
      <c r="U236" s="883">
        <f>ROUND('T2'!E84,$D$235)</f>
        <v>510.178</v>
      </c>
      <c r="V236" s="883">
        <f>ROUND('T2'!F84,$D$235)</f>
        <v>2542.5070000000001</v>
      </c>
      <c r="W236" s="883">
        <f>ROUND('T2'!G84,$D$235)</f>
        <v>9841.5779999999995</v>
      </c>
    </row>
    <row r="237" spans="1:23" outlineLevel="1">
      <c r="A237" s="876"/>
      <c r="B237" s="876"/>
      <c r="C237" s="889" t="s">
        <v>209</v>
      </c>
      <c r="D237" s="890"/>
      <c r="E237" s="871"/>
      <c r="F237" s="871"/>
      <c r="G237" s="871"/>
      <c r="H237" s="871"/>
      <c r="I237" s="871"/>
      <c r="J237" s="162"/>
      <c r="K237" s="162"/>
      <c r="L237" s="162"/>
      <c r="S237" s="883">
        <f>ROUND('T3'!E47+'T3'!E58+'T3'!E69+'T3'!E80+'T3'!E91+'T3'!E102+'T3'!E111,$D$235)</f>
        <v>0</v>
      </c>
      <c r="T237" s="883">
        <f>ROUND('T3'!F47+'T3'!F58+'T3'!F69+'T3'!F80+'T3'!F91+'T3'!F102+'T3'!F111,$D$235)</f>
        <v>0</v>
      </c>
      <c r="U237" s="883">
        <f>ROUND('T3'!G47+'T3'!G58+'T3'!G69+'T3'!G80+'T3'!G91+'T3'!G102+'T3'!G111,$D$235)</f>
        <v>-7519.6360000000004</v>
      </c>
      <c r="V237" s="883">
        <f>ROUND('T3'!H47+'T3'!H58+'T3'!H69+'T3'!H80+'T3'!H91+'T3'!H102+'T3'!H111,$D$235)</f>
        <v>2542.5070000000001</v>
      </c>
      <c r="W237" s="883">
        <f>ROUND('T3'!I47+'T3'!I58+'T3'!I69+'T3'!I80+'T3'!I91+'T3'!I102+'T3'!I111,$D$235)</f>
        <v>9841.5779999999995</v>
      </c>
    </row>
    <row r="238" spans="1:23">
      <c r="A238" s="876" t="s">
        <v>216</v>
      </c>
      <c r="B238" s="876" t="s">
        <v>217</v>
      </c>
      <c r="C238" s="888" t="s">
        <v>218</v>
      </c>
      <c r="D238" s="863">
        <v>3</v>
      </c>
      <c r="E238" s="871"/>
      <c r="F238" s="871"/>
      <c r="G238" s="871"/>
      <c r="H238" s="871"/>
      <c r="I238" s="871"/>
      <c r="J238" s="162"/>
      <c r="K238" s="162"/>
      <c r="L238" s="162"/>
      <c r="S238" s="879" t="b">
        <f>ROUND('T2'!C85,$D$238)=ROUND('T3'!E126,$D$238)</f>
        <v>1</v>
      </c>
      <c r="T238" s="879" t="b">
        <f>ROUND('T2'!D85,$D$238)=ROUND('T3'!F126,$D$238)</f>
        <v>1</v>
      </c>
      <c r="U238" s="879" t="b">
        <f>ROUND('T2'!E85,$D$238)=ROUND('T3'!G126,$D$238)</f>
        <v>1</v>
      </c>
      <c r="V238" s="879" t="b">
        <f>ROUND('T2'!F85,$D$238)=ROUND('T3'!H126,$D$238)</f>
        <v>1</v>
      </c>
      <c r="W238" s="879" t="b">
        <f>ROUND('T2'!G85,$D$238)=ROUND('T3'!I126,$D$238)</f>
        <v>1</v>
      </c>
    </row>
    <row r="239" spans="1:23" outlineLevel="1">
      <c r="A239" s="876"/>
      <c r="B239" s="876"/>
      <c r="C239" s="889" t="s">
        <v>208</v>
      </c>
      <c r="D239" s="890"/>
      <c r="E239" s="871"/>
      <c r="F239" s="871"/>
      <c r="G239" s="871"/>
      <c r="H239" s="871"/>
      <c r="I239" s="871"/>
      <c r="J239" s="162"/>
      <c r="K239" s="162"/>
      <c r="L239" s="162"/>
      <c r="S239" s="883">
        <f>ROUND('T2'!C85,$D$238)</f>
        <v>-264.10899999999998</v>
      </c>
      <c r="T239" s="883">
        <f>ROUND('T2'!D85,$D$238)</f>
        <v>228.011</v>
      </c>
      <c r="U239" s="883">
        <f>ROUND('T2'!E85,$D$238)</f>
        <v>0</v>
      </c>
      <c r="V239" s="883">
        <f>ROUND('T2'!F85,$D$238)</f>
        <v>0</v>
      </c>
      <c r="W239" s="883">
        <f>ROUND('T2'!G85,$D$238)</f>
        <v>0</v>
      </c>
    </row>
    <row r="240" spans="1:23" outlineLevel="1">
      <c r="A240" s="876"/>
      <c r="B240" s="876"/>
      <c r="C240" s="889" t="s">
        <v>209</v>
      </c>
      <c r="D240" s="890"/>
      <c r="E240" s="871"/>
      <c r="F240" s="871"/>
      <c r="G240" s="871"/>
      <c r="H240" s="871"/>
      <c r="I240" s="871"/>
      <c r="J240" s="162"/>
      <c r="K240" s="162"/>
      <c r="L240" s="162"/>
      <c r="S240" s="883">
        <f>ROUND('T3'!E126,$D$238)</f>
        <v>-264.10899999999998</v>
      </c>
      <c r="T240" s="883">
        <f>ROUND('T3'!F126,$D$238)</f>
        <v>228.011</v>
      </c>
      <c r="U240" s="883">
        <f>ROUND('T3'!G126,$D$238)</f>
        <v>0</v>
      </c>
      <c r="V240" s="883">
        <f>ROUND('T3'!H126,$D$238)</f>
        <v>0</v>
      </c>
      <c r="W240" s="883">
        <f>ROUND('T3'!I126,$D$238)</f>
        <v>0</v>
      </c>
    </row>
    <row r="241" spans="1:26">
      <c r="A241" s="876" t="s">
        <v>219</v>
      </c>
      <c r="B241" s="876" t="s">
        <v>220</v>
      </c>
      <c r="C241" s="888" t="s">
        <v>221</v>
      </c>
      <c r="D241" s="863">
        <v>3</v>
      </c>
      <c r="E241" s="871"/>
      <c r="F241" s="871"/>
      <c r="G241" s="871"/>
      <c r="H241" s="871"/>
      <c r="I241" s="871"/>
      <c r="J241" s="162"/>
      <c r="K241" s="162"/>
      <c r="L241" s="162"/>
      <c r="S241" s="879" t="b">
        <f>ROUND('T2'!C86,$D$241)=ROUND('T3'!E97,$D$241)</f>
        <v>1</v>
      </c>
      <c r="T241" s="879" t="b">
        <f>ROUND('T2'!D86,$D$241)=ROUND('T3'!F97,$D$241)</f>
        <v>1</v>
      </c>
      <c r="U241" s="879" t="b">
        <f>ROUND('T2'!E86,$D$241)=ROUND('T3'!G97,$D$241)</f>
        <v>1</v>
      </c>
      <c r="V241" s="879" t="b">
        <f>ROUND('T2'!F86,$D$241)=ROUND('T3'!H97,$D$241)</f>
        <v>1</v>
      </c>
      <c r="W241" s="879" t="b">
        <f>ROUND('T2'!G86,$D$241)=ROUND('T3'!I97,$D$241)</f>
        <v>1</v>
      </c>
    </row>
    <row r="242" spans="1:26" outlineLevel="1">
      <c r="A242" s="876"/>
      <c r="B242" s="876"/>
      <c r="C242" s="889" t="s">
        <v>208</v>
      </c>
      <c r="D242" s="890"/>
      <c r="E242" s="871"/>
      <c r="F242" s="871"/>
      <c r="G242" s="871"/>
      <c r="H242" s="871"/>
      <c r="I242" s="871"/>
      <c r="J242" s="162"/>
      <c r="K242" s="162"/>
      <c r="L242" s="162"/>
      <c r="S242" s="883">
        <f>ROUND('T2'!C86,$D$241)</f>
        <v>0</v>
      </c>
      <c r="T242" s="883">
        <f>ROUND('T2'!D86,$D$241)</f>
        <v>0</v>
      </c>
      <c r="U242" s="883">
        <f>ROUND('T2'!E86,$D$241)</f>
        <v>0</v>
      </c>
      <c r="V242" s="883">
        <f>ROUND('T2'!F86,$D$241)</f>
        <v>0</v>
      </c>
      <c r="W242" s="883">
        <f>ROUND('T2'!G86,$D$241)</f>
        <v>0</v>
      </c>
    </row>
    <row r="243" spans="1:26" outlineLevel="1">
      <c r="A243" s="876"/>
      <c r="B243" s="876"/>
      <c r="C243" s="889" t="s">
        <v>209</v>
      </c>
      <c r="D243" s="890"/>
      <c r="E243" s="871"/>
      <c r="F243" s="871"/>
      <c r="G243" s="871"/>
      <c r="H243" s="871"/>
      <c r="I243" s="871"/>
      <c r="J243" s="162"/>
      <c r="K243" s="162"/>
      <c r="L243" s="162"/>
      <c r="S243" s="883">
        <f>ROUND('T3'!E97,$D$241)</f>
        <v>0</v>
      </c>
      <c r="T243" s="883">
        <f>ROUND('T3'!F97,$D$241)</f>
        <v>0</v>
      </c>
      <c r="U243" s="883">
        <f>ROUND('T3'!G97,$D$241)</f>
        <v>0</v>
      </c>
      <c r="V243" s="883">
        <f>ROUND('T3'!H97,$D$241)</f>
        <v>0</v>
      </c>
      <c r="W243" s="883">
        <f>ROUND('T3'!I97,$D$241)</f>
        <v>0</v>
      </c>
    </row>
    <row r="244" spans="1:26">
      <c r="A244" s="876" t="s">
        <v>222</v>
      </c>
      <c r="B244" s="876" t="s">
        <v>223</v>
      </c>
      <c r="C244" s="888" t="s">
        <v>224</v>
      </c>
      <c r="D244" s="863">
        <v>3</v>
      </c>
      <c r="E244" s="871"/>
      <c r="F244" s="871"/>
      <c r="G244" s="871"/>
      <c r="H244" s="871"/>
      <c r="I244" s="871"/>
      <c r="J244" s="162"/>
      <c r="K244" s="162"/>
      <c r="L244" s="162"/>
      <c r="S244" s="879" t="b">
        <f>ROUND('T2'!C87,$D$244)=ROUND('T3'!E166,$D$244)</f>
        <v>1</v>
      </c>
      <c r="T244" s="879" t="b">
        <f>ROUND('T2'!D87,$D$244)=ROUND('T3'!F166,$D$244)</f>
        <v>1</v>
      </c>
      <c r="U244" s="879" t="b">
        <f>ROUND('T2'!E87,$D$244)=ROUND('T3'!G166,$D$244)</f>
        <v>1</v>
      </c>
      <c r="V244" s="879" t="b">
        <f>ROUND('T2'!F87,$D$244)=ROUND('T3'!H166,$D$244)</f>
        <v>1</v>
      </c>
      <c r="W244" s="879" t="b">
        <f>ROUND('T2'!G87,$D$244)=ROUND('T3'!I166,$D$244)</f>
        <v>1</v>
      </c>
    </row>
    <row r="245" spans="1:26" outlineLevel="1">
      <c r="A245" s="876"/>
      <c r="B245" s="876"/>
      <c r="C245" s="889" t="s">
        <v>208</v>
      </c>
      <c r="D245" s="890"/>
      <c r="E245" s="871"/>
      <c r="F245" s="871"/>
      <c r="G245" s="871"/>
      <c r="H245" s="871"/>
      <c r="I245" s="871"/>
      <c r="J245" s="162"/>
      <c r="K245" s="162"/>
      <c r="L245" s="162"/>
      <c r="S245" s="883">
        <f>ROUND('T2'!C87,$D$244)</f>
        <v>-7397.3310000000001</v>
      </c>
      <c r="T245" s="883">
        <f>ROUND('T2'!D87,$D$244)</f>
        <v>1511.415</v>
      </c>
      <c r="U245" s="883">
        <f>ROUND('T2'!E87,$D$244)</f>
        <v>11347.106</v>
      </c>
      <c r="V245" s="883">
        <f>ROUND('T2'!F87,$D$244)</f>
        <v>8166.3289999999997</v>
      </c>
      <c r="W245" s="883">
        <f>ROUND('T2'!G87,$D$244)</f>
        <v>15452.626</v>
      </c>
    </row>
    <row r="246" spans="1:26" outlineLevel="1">
      <c r="A246" s="876"/>
      <c r="B246" s="876"/>
      <c r="C246" s="889" t="s">
        <v>209</v>
      </c>
      <c r="D246" s="890"/>
      <c r="E246" s="871"/>
      <c r="F246" s="871"/>
      <c r="G246" s="871"/>
      <c r="H246" s="871"/>
      <c r="I246" s="871"/>
      <c r="J246" s="162"/>
      <c r="K246" s="162"/>
      <c r="L246" s="162"/>
      <c r="S246" s="883">
        <f>ROUND('T3'!E166,$D$244)</f>
        <v>-7397.3310000000001</v>
      </c>
      <c r="T246" s="883">
        <f>ROUND('T3'!F166,$D$244)</f>
        <v>1511.415</v>
      </c>
      <c r="U246" s="883">
        <f>ROUND('T3'!G166,$D$244)</f>
        <v>11347.106</v>
      </c>
      <c r="V246" s="883">
        <f>ROUND('T3'!H166,$D$244)</f>
        <v>8166.3289999999997</v>
      </c>
      <c r="W246" s="883">
        <f>ROUND('T3'!I166,$D$244)</f>
        <v>15452.626</v>
      </c>
    </row>
    <row r="247" spans="1:26">
      <c r="A247" s="876" t="s">
        <v>225</v>
      </c>
      <c r="B247" s="876" t="s">
        <v>226</v>
      </c>
      <c r="C247" s="888" t="s">
        <v>227</v>
      </c>
      <c r="D247" s="863">
        <v>3</v>
      </c>
      <c r="E247" s="871"/>
      <c r="F247" s="871"/>
      <c r="G247" s="871"/>
      <c r="H247" s="871"/>
      <c r="I247" s="871"/>
      <c r="J247" s="162"/>
      <c r="K247" s="162"/>
      <c r="L247" s="162"/>
      <c r="S247" s="879" t="b">
        <f>ROUND('T2'!C88,$D$247)=ROUND('T3'!E181+'T3'!E196+'T3'!E211+'T3'!E226,$D$247)</f>
        <v>1</v>
      </c>
      <c r="T247" s="879" t="b">
        <f>ROUND('T2'!D88,$D$247)=ROUND('T3'!F181+'T3'!F196+'T3'!F211+'T3'!F226,$D$247)</f>
        <v>1</v>
      </c>
      <c r="U247" s="879" t="b">
        <f>ROUND('T2'!E88,$D$247)=ROUND('T3'!G181+'T3'!G196+'T3'!G211+'T3'!G226,$D$247)</f>
        <v>1</v>
      </c>
      <c r="V247" s="879" t="b">
        <f>ROUND('T2'!F88,$D$247)=ROUND('T3'!H181+'T3'!H196+'T3'!H211+'T3'!H226,$D$247)</f>
        <v>1</v>
      </c>
      <c r="W247" s="879" t="b">
        <f>ROUND('T2'!G88,$D$247)=ROUND('T3'!I181+'T3'!I196+'T3'!I211+'T3'!I226,$D$247)</f>
        <v>1</v>
      </c>
    </row>
    <row r="248" spans="1:26" outlineLevel="1">
      <c r="A248" s="876"/>
      <c r="B248" s="876"/>
      <c r="C248" s="889" t="s">
        <v>208</v>
      </c>
      <c r="D248" s="890"/>
      <c r="E248" s="871"/>
      <c r="F248" s="871"/>
      <c r="G248" s="871"/>
      <c r="H248" s="871"/>
      <c r="I248" s="871"/>
      <c r="J248" s="162"/>
      <c r="K248" s="162"/>
      <c r="L248" s="162"/>
      <c r="S248" s="883">
        <f>ROUND('T2'!C88,$D$247)</f>
        <v>-7473.076</v>
      </c>
      <c r="T248" s="883">
        <f>ROUND('T2'!D88,$D$247)</f>
        <v>-13037.437</v>
      </c>
      <c r="U248" s="883">
        <f>ROUND('T2'!E88,$D$247)</f>
        <v>-31197.739000000001</v>
      </c>
      <c r="V248" s="883">
        <f>ROUND('T2'!F88,$D$247)</f>
        <v>-5462.5370000000003</v>
      </c>
      <c r="W248" s="883">
        <f>ROUND('T2'!G88,$D$247)</f>
        <v>-3040.8229999999999</v>
      </c>
    </row>
    <row r="249" spans="1:26" outlineLevel="1">
      <c r="A249" s="876"/>
      <c r="B249" s="876"/>
      <c r="C249" s="889" t="s">
        <v>209</v>
      </c>
      <c r="D249" s="890"/>
      <c r="E249" s="871"/>
      <c r="F249" s="871"/>
      <c r="G249" s="871"/>
      <c r="H249" s="871"/>
      <c r="I249" s="871"/>
      <c r="J249" s="162"/>
      <c r="K249" s="162"/>
      <c r="L249" s="162"/>
      <c r="S249" s="883">
        <f>ROUND('T3'!E181+'T3'!E196+'T3'!E211+'T3'!E226,$D$247)</f>
        <v>-7473.076</v>
      </c>
      <c r="T249" s="883">
        <f>ROUND('T3'!F181+'T3'!F196+'T3'!F211+'T3'!F226,$D$247)</f>
        <v>-13037.437</v>
      </c>
      <c r="U249" s="883">
        <f>ROUND('T3'!G181+'T3'!G196+'T3'!G211+'T3'!G226,$D$247)</f>
        <v>-31197.739000000001</v>
      </c>
      <c r="V249" s="883">
        <f>ROUND('T3'!H181+'T3'!H196+'T3'!H211+'T3'!H226,$D$247)</f>
        <v>-5462.5370000000003</v>
      </c>
      <c r="W249" s="883">
        <f>ROUND('T3'!I181+'T3'!I196+'T3'!I211+'T3'!I226,$D$247)</f>
        <v>-3040.8229999999999</v>
      </c>
    </row>
    <row r="250" spans="1:26">
      <c r="A250" s="876" t="s">
        <v>228</v>
      </c>
      <c r="B250" s="876" t="s">
        <v>229</v>
      </c>
      <c r="C250" s="888" t="s">
        <v>230</v>
      </c>
      <c r="D250" s="863">
        <v>3</v>
      </c>
      <c r="E250" s="871"/>
      <c r="F250" s="871"/>
      <c r="G250" s="871"/>
      <c r="H250" s="871"/>
      <c r="I250" s="871"/>
      <c r="J250" s="162"/>
      <c r="K250" s="162"/>
      <c r="L250" s="162"/>
      <c r="S250" s="879" t="b">
        <f>ROUND('T2'!C89,$D$250)=ROUND('T3'!E248,$D$250)</f>
        <v>1</v>
      </c>
      <c r="T250" s="879" t="b">
        <f>ROUND('T2'!D89,$D$250)=ROUND('T3'!F248,$D$250)</f>
        <v>1</v>
      </c>
      <c r="U250" s="879" t="b">
        <f>ROUND('T2'!E89,$D$250)=ROUND('T3'!G248,$D$250)</f>
        <v>1</v>
      </c>
      <c r="V250" s="879" t="b">
        <f>ROUND('T2'!F89,$D$250)=ROUND('T3'!H248,$D$250)</f>
        <v>1</v>
      </c>
      <c r="W250" s="879" t="b">
        <f>ROUND('T2'!G89,$D$250)=ROUND('T3'!I248,$D$250)</f>
        <v>1</v>
      </c>
    </row>
    <row r="251" spans="1:26" outlineLevel="1">
      <c r="A251" s="876"/>
      <c r="B251" s="876"/>
      <c r="C251" s="889" t="s">
        <v>208</v>
      </c>
      <c r="D251" s="890"/>
      <c r="E251" s="871"/>
      <c r="F251" s="871"/>
      <c r="G251" s="871"/>
      <c r="H251" s="871"/>
      <c r="I251" s="871"/>
      <c r="J251" s="162"/>
      <c r="K251" s="162"/>
      <c r="L251" s="162"/>
      <c r="S251" s="883">
        <f>ROUND('T2'!C89,$D$250)</f>
        <v>0</v>
      </c>
      <c r="T251" s="883">
        <f>ROUND('T2'!D89,$D$250)</f>
        <v>0</v>
      </c>
      <c r="U251" s="883">
        <f>ROUND('T2'!E89,$D$250)</f>
        <v>0</v>
      </c>
      <c r="V251" s="883">
        <f>ROUND('T2'!F89,$D$250)</f>
        <v>0</v>
      </c>
      <c r="W251" s="883">
        <f>ROUND('T2'!G89,$D$250)</f>
        <v>0</v>
      </c>
    </row>
    <row r="252" spans="1:26" outlineLevel="1">
      <c r="A252" s="876"/>
      <c r="B252" s="876"/>
      <c r="C252" s="889" t="s">
        <v>209</v>
      </c>
      <c r="D252" s="890"/>
      <c r="E252" s="871"/>
      <c r="F252" s="871"/>
      <c r="G252" s="871"/>
      <c r="H252" s="871"/>
      <c r="I252" s="871"/>
      <c r="J252" s="162"/>
      <c r="K252" s="162"/>
      <c r="L252" s="162"/>
      <c r="S252" s="883">
        <f>ROUND('T3'!E248,$D$250)</f>
        <v>0</v>
      </c>
      <c r="T252" s="883">
        <f>ROUND('T3'!F248,$D$250)</f>
        <v>0</v>
      </c>
      <c r="U252" s="883">
        <f>ROUND('T3'!G248,$D$250)</f>
        <v>0</v>
      </c>
      <c r="V252" s="883">
        <f>ROUND('T3'!H248,$D$250)</f>
        <v>0</v>
      </c>
      <c r="W252" s="883">
        <f>ROUND('T3'!I248,$D$250)</f>
        <v>0</v>
      </c>
    </row>
    <row r="253" spans="1:26">
      <c r="A253" s="876" t="s">
        <v>231</v>
      </c>
      <c r="B253" s="876" t="s">
        <v>232</v>
      </c>
      <c r="C253" s="888" t="s">
        <v>233</v>
      </c>
      <c r="D253" s="863">
        <v>3</v>
      </c>
      <c r="E253" s="871"/>
      <c r="F253" s="871"/>
      <c r="G253" s="871"/>
      <c r="H253" s="871"/>
      <c r="I253" s="871"/>
      <c r="J253" s="162"/>
      <c r="K253" s="162"/>
      <c r="L253" s="162"/>
      <c r="S253" s="879" t="b">
        <f>ROUND('T2'!C90,$D$253)=ROUND('T3'!E237,$D$253)</f>
        <v>1</v>
      </c>
      <c r="T253" s="879" t="b">
        <f>ROUND('T2'!D90,$D$253)=ROUND('T3'!F237,$D$253)</f>
        <v>1</v>
      </c>
      <c r="U253" s="879" t="b">
        <f>ROUND('T2'!E90,$D$253)=ROUND('T3'!G237,$D$253)</f>
        <v>1</v>
      </c>
      <c r="V253" s="879" t="b">
        <f>ROUND('T2'!F90,$D$253)=ROUND('T3'!H237,$D$253)</f>
        <v>1</v>
      </c>
      <c r="W253" s="879" t="b">
        <f>ROUND('T2'!G90,$D$253)=ROUND('T3'!I237,$D$253)</f>
        <v>1</v>
      </c>
    </row>
    <row r="254" spans="1:26" outlineLevel="1">
      <c r="A254" s="876"/>
      <c r="B254" s="876"/>
      <c r="C254" s="889" t="s">
        <v>208</v>
      </c>
      <c r="D254" s="890"/>
      <c r="E254" s="871"/>
      <c r="F254" s="871"/>
      <c r="G254" s="871"/>
      <c r="H254" s="871"/>
      <c r="I254" s="871"/>
      <c r="J254" s="162"/>
      <c r="K254" s="162"/>
      <c r="L254" s="162"/>
      <c r="S254" s="883">
        <f>ROUND('T2'!C90,$D$253)</f>
        <v>0</v>
      </c>
      <c r="T254" s="883">
        <f>ROUND('T2'!D90,$D$253)</f>
        <v>0</v>
      </c>
      <c r="U254" s="883">
        <f>ROUND('T2'!E90,$D$253)</f>
        <v>4635.6629999999996</v>
      </c>
      <c r="V254" s="883">
        <f>ROUND('T2'!F90,$D$253)</f>
        <v>0</v>
      </c>
      <c r="W254" s="883">
        <f>ROUND('T2'!G90,$D$253)</f>
        <v>0</v>
      </c>
    </row>
    <row r="255" spans="1:26" outlineLevel="1">
      <c r="A255" s="876"/>
      <c r="B255" s="876"/>
      <c r="C255" s="889" t="s">
        <v>209</v>
      </c>
      <c r="D255" s="890"/>
      <c r="E255" s="871"/>
      <c r="F255" s="871"/>
      <c r="G255" s="871"/>
      <c r="H255" s="871"/>
      <c r="I255" s="871"/>
      <c r="J255" s="162"/>
      <c r="K255" s="162"/>
      <c r="L255" s="162"/>
      <c r="S255" s="883">
        <f>ROUND('T3'!E237,$D$253)</f>
        <v>0</v>
      </c>
      <c r="T255" s="883">
        <f>ROUND('T3'!F237,$D$253)</f>
        <v>0</v>
      </c>
      <c r="U255" s="883">
        <f>ROUND('T3'!G237,$D$253)</f>
        <v>4635.6629999999996</v>
      </c>
      <c r="V255" s="883">
        <f>ROUND('T3'!H237,$D$253)</f>
        <v>0</v>
      </c>
      <c r="W255" s="883">
        <f>ROUND('T3'!I237,$D$253)</f>
        <v>0</v>
      </c>
    </row>
    <row r="256" spans="1:26" s="891" customFormat="1">
      <c r="A256" s="875" t="s">
        <v>234</v>
      </c>
      <c r="B256" s="876" t="s">
        <v>235</v>
      </c>
      <c r="C256" s="888" t="s">
        <v>236</v>
      </c>
      <c r="D256" s="863">
        <v>3</v>
      </c>
      <c r="E256" s="871"/>
      <c r="F256" s="871"/>
      <c r="G256" s="871"/>
      <c r="H256" s="871"/>
      <c r="I256" s="871"/>
      <c r="R256" s="162"/>
      <c r="S256" s="879" t="b">
        <f>ROUND(SUM('T2'!C82:C90),$D$256)=ROUND('T3'!E251,$D$256)</f>
        <v>1</v>
      </c>
      <c r="T256" s="879" t="b">
        <f>ROUND(SUM('T2'!D82:D90),$D$256)=ROUND('T3'!F251,$D$256)</f>
        <v>1</v>
      </c>
      <c r="U256" s="879" t="b">
        <f>ROUND(SUM('T2'!E82:E90),$D$256)=ROUND('T3'!G251,$D$256)</f>
        <v>1</v>
      </c>
      <c r="V256" s="879" t="b">
        <f>ROUND(SUM('T2'!F82:F90),$D$256)=ROUND('T3'!H251,$D$256)</f>
        <v>1</v>
      </c>
      <c r="W256" s="879" t="b">
        <f>ROUND(SUM('T2'!G82:G90),$D$256)=ROUND('T3'!I251,$D$256)</f>
        <v>0</v>
      </c>
      <c r="X256" s="871"/>
      <c r="Y256" s="871"/>
      <c r="Z256" s="871"/>
    </row>
    <row r="257" spans="1:26" outlineLevel="1">
      <c r="A257" s="876"/>
      <c r="B257" s="876"/>
      <c r="C257" s="889" t="s">
        <v>237</v>
      </c>
      <c r="D257" s="890"/>
      <c r="E257" s="871"/>
      <c r="F257" s="871"/>
      <c r="G257" s="871"/>
      <c r="H257" s="871"/>
      <c r="I257" s="871"/>
      <c r="J257" s="162"/>
      <c r="K257" s="162"/>
      <c r="L257" s="162"/>
      <c r="S257" s="883">
        <f>ROUND(SUM('T2'!C82:C90),$D$256)</f>
        <v>-81451.464000000007</v>
      </c>
      <c r="T257" s="883">
        <f>ROUND(SUM('T2'!D82:D90),$D$256)</f>
        <v>-87162.524000000005</v>
      </c>
      <c r="U257" s="883">
        <f>ROUND(SUM('T2'!E82:E90),$D$256)</f>
        <v>-22553.812000000002</v>
      </c>
      <c r="V257" s="883">
        <f>ROUND(SUM('T2'!F82:F90),$D$256)</f>
        <v>26052.633000000002</v>
      </c>
      <c r="W257" s="883">
        <f>ROUND(SUM('T2'!G82:G90),$D$256)</f>
        <v>85678.967999999993</v>
      </c>
      <c r="X257" s="871"/>
      <c r="Y257" s="871"/>
      <c r="Z257" s="871"/>
    </row>
    <row r="258" spans="1:26" outlineLevel="1">
      <c r="A258" s="876"/>
      <c r="B258" s="876"/>
      <c r="C258" s="889" t="s">
        <v>238</v>
      </c>
      <c r="D258" s="890"/>
      <c r="E258" s="871"/>
      <c r="F258" s="871"/>
      <c r="G258" s="871"/>
      <c r="H258" s="871"/>
      <c r="I258" s="871"/>
      <c r="J258" s="162"/>
      <c r="K258" s="162"/>
      <c r="L258" s="162"/>
      <c r="S258" s="883">
        <f>ROUND('T3'!E251,$D$256)</f>
        <v>-81451.464000000007</v>
      </c>
      <c r="T258" s="883">
        <f>ROUND('T3'!F251,$D$256)</f>
        <v>-87162.524000000005</v>
      </c>
      <c r="U258" s="883">
        <f>ROUND('T3'!G251,$D$256)</f>
        <v>-22553.812000000002</v>
      </c>
      <c r="V258" s="883">
        <f>ROUND('T3'!H251,$D$256)</f>
        <v>26052.633000000002</v>
      </c>
      <c r="W258" s="883">
        <f>ROUND('T3'!I251,$D$256)</f>
        <v>86554.297000000006</v>
      </c>
      <c r="X258" s="871"/>
      <c r="Y258" s="871"/>
      <c r="Z258" s="871"/>
    </row>
    <row r="259" spans="1:26" s="878" customFormat="1">
      <c r="A259" s="875" t="s">
        <v>239</v>
      </c>
      <c r="B259" s="876" t="s">
        <v>240</v>
      </c>
      <c r="C259" s="877" t="s">
        <v>241</v>
      </c>
      <c r="D259" s="863">
        <v>3</v>
      </c>
      <c r="E259" s="871"/>
      <c r="F259" s="871"/>
      <c r="G259" s="871"/>
      <c r="H259" s="871"/>
      <c r="I259" s="871"/>
      <c r="R259" s="162"/>
      <c r="S259" s="879" t="b">
        <f>ROUND('T2'!C91,$D$259)=ROUND(SUM('T2'!C81:C90),$D$259)</f>
        <v>1</v>
      </c>
      <c r="T259" s="879" t="b">
        <f>ROUND('T2'!D91,$D$259)=ROUND(SUM('T2'!D81:D90),$D$259)</f>
        <v>1</v>
      </c>
      <c r="U259" s="879" t="b">
        <f>ROUND('T2'!E91,$D$259)=ROUND(SUM('T2'!E81:E90),$D$259)</f>
        <v>1</v>
      </c>
      <c r="V259" s="879" t="b">
        <f>ROUND('T2'!F91,$D$259)=ROUND(SUM('T2'!F81:F90),$D$259)</f>
        <v>1</v>
      </c>
      <c r="W259" s="879" t="b">
        <f>ROUND('T2'!G91,$D$259)=ROUND(SUM('T2'!G81:G90),$D$259)</f>
        <v>1</v>
      </c>
    </row>
    <row r="260" spans="1:26" s="882" customFormat="1" outlineLevel="1">
      <c r="A260" s="875"/>
      <c r="B260" s="876"/>
      <c r="C260" s="880" t="s">
        <v>242</v>
      </c>
      <c r="D260" s="881"/>
      <c r="E260" s="871"/>
      <c r="F260" s="871"/>
      <c r="G260" s="871"/>
      <c r="H260" s="871"/>
      <c r="I260" s="871"/>
      <c r="R260" s="162"/>
      <c r="S260" s="883">
        <f>ROUND('T2'!C91,$D$259)</f>
        <v>708967.43599999999</v>
      </c>
      <c r="T260" s="883">
        <f>ROUND('T2'!D91,$D$259)</f>
        <v>687864.51100000006</v>
      </c>
      <c r="U260" s="883">
        <f>ROUND('T2'!E91,$D$259)</f>
        <v>768381.78099999996</v>
      </c>
      <c r="V260" s="883">
        <f>ROUND('T2'!F91,$D$259)</f>
        <v>899537.74199999997</v>
      </c>
      <c r="W260" s="883">
        <f>ROUND('T2'!G91,$D$259)</f>
        <v>974961.95600000001</v>
      </c>
    </row>
    <row r="261" spans="1:26" s="882" customFormat="1" outlineLevel="1">
      <c r="A261" s="875"/>
      <c r="B261" s="876"/>
      <c r="C261" s="865" t="s">
        <v>243</v>
      </c>
      <c r="D261" s="881"/>
      <c r="E261" s="871"/>
      <c r="F261" s="871"/>
      <c r="G261" s="871"/>
      <c r="H261" s="871"/>
      <c r="I261" s="871"/>
      <c r="R261" s="162"/>
      <c r="S261" s="883">
        <f>ROUND(SUM('T2'!C81:C90),$D$259)</f>
        <v>708967.43599999999</v>
      </c>
      <c r="T261" s="883">
        <f>ROUND(SUM('T2'!D81:D90),$D$259)</f>
        <v>687864.51100000006</v>
      </c>
      <c r="U261" s="883">
        <f>ROUND(SUM('T2'!E81:E90),$D$259)</f>
        <v>768381.78099999996</v>
      </c>
      <c r="V261" s="883">
        <f>ROUND(SUM('T2'!F81:F90),$D$259)</f>
        <v>899537.74199999997</v>
      </c>
      <c r="W261" s="883">
        <f>ROUND(SUM('T2'!G81:G90),$D$259)</f>
        <v>974961.95600000001</v>
      </c>
    </row>
    <row r="262" spans="1:26" s="878" customFormat="1">
      <c r="A262" s="875" t="s">
        <v>244</v>
      </c>
      <c r="B262" s="876" t="s">
        <v>245</v>
      </c>
      <c r="C262" s="877" t="s">
        <v>246</v>
      </c>
      <c r="D262" s="863">
        <v>3</v>
      </c>
      <c r="E262" s="871"/>
      <c r="F262" s="871"/>
      <c r="G262" s="871"/>
      <c r="H262" s="871"/>
      <c r="I262" s="871"/>
      <c r="R262" s="162"/>
      <c r="S262" s="879" t="b">
        <f>ROUND('T2'!C92,$D$262)=ROUND('T2'!C38,$D$262)</f>
        <v>1</v>
      </c>
      <c r="T262" s="879" t="b">
        <f>ROUND('T2'!D92,$D$262)=ROUND('T2'!D38,$D$262)</f>
        <v>1</v>
      </c>
      <c r="U262" s="879" t="b">
        <f>ROUND('T2'!E92,$D$262)=ROUND('T2'!E38,$D$262)</f>
        <v>1</v>
      </c>
      <c r="V262" s="879" t="b">
        <f>ROUND('T2'!F92,$D$262)=ROUND('T2'!F38,$D$262)</f>
        <v>1</v>
      </c>
      <c r="W262" s="879" t="b">
        <f>ROUND('T2'!G92,$D$262)=ROUND('T2'!G38,$D$262)</f>
        <v>1</v>
      </c>
    </row>
    <row r="263" spans="1:26" s="882" customFormat="1" outlineLevel="1">
      <c r="A263" s="875"/>
      <c r="B263" s="876"/>
      <c r="C263" s="880" t="s">
        <v>247</v>
      </c>
      <c r="D263" s="881"/>
      <c r="E263" s="871"/>
      <c r="F263" s="871"/>
      <c r="G263" s="871"/>
      <c r="H263" s="871"/>
      <c r="I263" s="871"/>
      <c r="R263" s="162"/>
      <c r="S263" s="883">
        <f>ROUND('T2'!C92,$D$262)</f>
        <v>12647.945</v>
      </c>
      <c r="T263" s="883">
        <f>ROUND('T2'!D92,$D$262)</f>
        <v>12891</v>
      </c>
      <c r="U263" s="883">
        <f>ROUND('T2'!E92,$D$262)</f>
        <v>13183</v>
      </c>
      <c r="V263" s="883">
        <f>ROUND('T2'!F92,$D$262)</f>
        <v>11956</v>
      </c>
      <c r="W263" s="883">
        <f>ROUND('T2'!G92,$D$262)</f>
        <v>12930</v>
      </c>
    </row>
    <row r="264" spans="1:26" s="882" customFormat="1" outlineLevel="1">
      <c r="A264" s="875"/>
      <c r="B264" s="876"/>
      <c r="C264" s="880" t="s">
        <v>248</v>
      </c>
      <c r="D264" s="881"/>
      <c r="E264" s="871"/>
      <c r="F264" s="871"/>
      <c r="G264" s="871"/>
      <c r="H264" s="871"/>
      <c r="I264" s="871"/>
      <c r="R264" s="162"/>
      <c r="S264" s="883">
        <f>ROUND('T2'!C38,$D$262)</f>
        <v>12647.945</v>
      </c>
      <c r="T264" s="883">
        <f>ROUND('T2'!D38,$D$262)</f>
        <v>12891</v>
      </c>
      <c r="U264" s="883">
        <f>ROUND('T2'!E38,$D$262)</f>
        <v>13183</v>
      </c>
      <c r="V264" s="883">
        <f>ROUND('T2'!F38,$D$262)</f>
        <v>11956</v>
      </c>
      <c r="W264" s="883">
        <f>ROUND('T2'!G38,$D$262)</f>
        <v>12930</v>
      </c>
    </row>
    <row r="265" spans="1:26" s="878" customFormat="1">
      <c r="A265" s="875" t="s">
        <v>249</v>
      </c>
      <c r="B265" s="876" t="s">
        <v>250</v>
      </c>
      <c r="C265" s="877" t="s">
        <v>251</v>
      </c>
      <c r="D265" s="863">
        <v>2</v>
      </c>
      <c r="E265" s="871"/>
      <c r="F265" s="871"/>
      <c r="G265" s="871"/>
      <c r="H265" s="871"/>
      <c r="I265" s="871"/>
      <c r="R265" s="162"/>
      <c r="S265" s="892" t="b">
        <f>ROUND('T2'!C93,$D$265)=ROUND('T2'!C91/'T2'!C92,$D$265)</f>
        <v>1</v>
      </c>
      <c r="T265" s="892" t="b">
        <f>ROUND('T2'!D93,$D$265)=ROUND('T2'!D91/'T2'!D92,$D$265)</f>
        <v>1</v>
      </c>
      <c r="U265" s="892" t="b">
        <f>ROUND('T2'!E93,$D$265)=ROUND('T2'!E91/'T2'!E92,$D$265)</f>
        <v>1</v>
      </c>
      <c r="V265" s="892" t="b">
        <f>ROUND('T2'!F93,$D$265)=ROUND('T2'!F91/'T2'!F92,$D$265)</f>
        <v>1</v>
      </c>
      <c r="W265" s="892" t="b">
        <f>ROUND('T2'!G93,$D$265)=ROUND('T2'!G91/'T2'!G92,$D$265)</f>
        <v>1</v>
      </c>
    </row>
    <row r="266" spans="1:26" s="882" customFormat="1" outlineLevel="1">
      <c r="A266" s="875"/>
      <c r="B266" s="876"/>
      <c r="C266" s="880" t="s">
        <v>252</v>
      </c>
      <c r="D266" s="881"/>
      <c r="E266" s="871"/>
      <c r="F266" s="871"/>
      <c r="G266" s="871"/>
      <c r="H266" s="871"/>
      <c r="I266" s="871"/>
      <c r="R266" s="162"/>
      <c r="S266" s="884">
        <f>ROUND('T2'!C93,$D$265)</f>
        <v>56.05</v>
      </c>
      <c r="T266" s="884">
        <f>ROUND('T2'!D93,$D$265)</f>
        <v>53.36</v>
      </c>
      <c r="U266" s="884">
        <f>ROUND('T2'!E93,$D$265)</f>
        <v>58.29</v>
      </c>
      <c r="V266" s="884">
        <f>ROUND('T2'!F93,$D$265)</f>
        <v>75.239999999999995</v>
      </c>
      <c r="W266" s="884">
        <f>ROUND('T2'!G93,$D$265)</f>
        <v>75.400000000000006</v>
      </c>
    </row>
    <row r="267" spans="1:26" s="882" customFormat="1" outlineLevel="1">
      <c r="A267" s="875"/>
      <c r="B267" s="876"/>
      <c r="C267" s="865" t="s">
        <v>253</v>
      </c>
      <c r="D267" s="881"/>
      <c r="E267" s="871"/>
      <c r="F267" s="871"/>
      <c r="G267" s="871"/>
      <c r="H267" s="871"/>
      <c r="I267" s="871"/>
      <c r="R267" s="162"/>
      <c r="S267" s="884">
        <f>ROUND('T2'!C91/'T2'!C92,$D$265)</f>
        <v>56.05</v>
      </c>
      <c r="T267" s="884">
        <f>ROUND('T2'!D91/'T2'!D92,$D$265)</f>
        <v>53.36</v>
      </c>
      <c r="U267" s="884">
        <f>ROUND('T2'!E91/'T2'!E92,$D$265)</f>
        <v>58.29</v>
      </c>
      <c r="V267" s="884">
        <f>ROUND('T2'!F91/'T2'!F92,$D$265)</f>
        <v>75.239999999999995</v>
      </c>
      <c r="W267" s="884">
        <f>ROUND('T2'!G91/'T2'!G92,$D$265)</f>
        <v>75.400000000000006</v>
      </c>
    </row>
    <row r="268" spans="1:26" s="878" customFormat="1">
      <c r="A268" s="875" t="s">
        <v>254</v>
      </c>
      <c r="B268" s="876" t="s">
        <v>255</v>
      </c>
      <c r="C268" s="877" t="s">
        <v>256</v>
      </c>
      <c r="D268" s="863">
        <v>2</v>
      </c>
      <c r="E268" s="871"/>
      <c r="F268" s="871"/>
      <c r="G268" s="871"/>
      <c r="H268" s="871"/>
      <c r="I268" s="871"/>
      <c r="R268" s="162"/>
      <c r="S268" s="892" t="b">
        <f>ROUND('T2'!C96,$D$268)=ROUND('T2'!C93-'T2'!C94,$D$268)</f>
        <v>1</v>
      </c>
      <c r="T268" s="892" t="b">
        <f>ROUND('T2'!D96,$D$268)=ROUND('T2'!D93-'T2'!D94,$D$268)</f>
        <v>1</v>
      </c>
      <c r="U268" s="892" t="b">
        <f>ROUND('T2'!E96,$D$268)=ROUND('T2'!E93-'T2'!E94,$D$268)</f>
        <v>1</v>
      </c>
      <c r="V268" s="892" t="b">
        <f>ROUND('T2'!F96,$D$268)=ROUND('T2'!F93-'T2'!F94,$D$268)</f>
        <v>0</v>
      </c>
      <c r="W268" s="892" t="b">
        <f>ROUND('T2'!G96,$D$268)=ROUND('T2'!G93-'T2'!G94,$D$268)</f>
        <v>1</v>
      </c>
    </row>
    <row r="269" spans="1:26" s="882" customFormat="1" outlineLevel="1">
      <c r="A269" s="875"/>
      <c r="B269" s="876"/>
      <c r="C269" s="880" t="s">
        <v>257</v>
      </c>
      <c r="D269" s="881"/>
      <c r="E269" s="871"/>
      <c r="F269" s="871"/>
      <c r="G269" s="871"/>
      <c r="H269" s="871"/>
      <c r="I269" s="871"/>
      <c r="R269" s="162"/>
      <c r="S269" s="884">
        <f>ROUND('T2'!C96,$D$268)</f>
        <v>56.05</v>
      </c>
      <c r="T269" s="884">
        <f>ROUND('T2'!D96,$D$268)</f>
        <v>53.36</v>
      </c>
      <c r="U269" s="884">
        <f>ROUND('T2'!E96,$D$268)</f>
        <v>58.29</v>
      </c>
      <c r="V269" s="884">
        <f>ROUND('T2'!F96,$D$268)</f>
        <v>75.14</v>
      </c>
      <c r="W269" s="884">
        <f>ROUND('T2'!G96,$D$268)</f>
        <v>75.400000000000006</v>
      </c>
    </row>
    <row r="270" spans="1:26" s="882" customFormat="1" outlineLevel="1">
      <c r="A270" s="875"/>
      <c r="B270" s="876"/>
      <c r="C270" s="880" t="s">
        <v>258</v>
      </c>
      <c r="D270" s="881"/>
      <c r="E270" s="871"/>
      <c r="F270" s="871"/>
      <c r="G270" s="871"/>
      <c r="H270" s="871"/>
      <c r="I270" s="871"/>
      <c r="R270" s="162"/>
      <c r="S270" s="884">
        <f>ROUND('T2'!C93-'T2'!C94,$D$268)</f>
        <v>56.05</v>
      </c>
      <c r="T270" s="884">
        <f>ROUND('T2'!D93-'T2'!D94,$D$268)</f>
        <v>53.36</v>
      </c>
      <c r="U270" s="884">
        <f>ROUND('T2'!E93-'T2'!E94,$D$268)</f>
        <v>58.29</v>
      </c>
      <c r="V270" s="884">
        <f>ROUND('T2'!F93-'T2'!F94,$D$268)</f>
        <v>75.34</v>
      </c>
      <c r="W270" s="884">
        <f>ROUND('T2'!G93-'T2'!G94,$D$268)</f>
        <v>75.400000000000006</v>
      </c>
    </row>
    <row r="271" spans="1:26" s="874" customFormat="1" ht="18">
      <c r="A271" s="172" t="s">
        <v>13</v>
      </c>
      <c r="B271" s="173" t="s">
        <v>14</v>
      </c>
      <c r="C271" s="174" t="s">
        <v>259</v>
      </c>
      <c r="D271" s="872"/>
      <c r="E271" s="873"/>
      <c r="F271" s="873"/>
      <c r="G271" s="873"/>
      <c r="H271" s="873"/>
      <c r="I271" s="873"/>
      <c r="J271" s="873"/>
      <c r="K271" s="873"/>
      <c r="L271" s="873"/>
      <c r="M271" s="873"/>
      <c r="N271" s="873"/>
      <c r="O271" s="873"/>
      <c r="P271" s="873"/>
      <c r="Q271" s="873"/>
      <c r="R271" s="162"/>
      <c r="S271" s="873"/>
      <c r="T271" s="873"/>
      <c r="U271" s="873"/>
      <c r="V271" s="873"/>
      <c r="W271" s="873"/>
    </row>
    <row r="272" spans="1:26" s="878" customFormat="1">
      <c r="A272" s="875" t="s">
        <v>129</v>
      </c>
      <c r="B272" s="876" t="s">
        <v>54</v>
      </c>
      <c r="C272" s="877" t="s">
        <v>130</v>
      </c>
      <c r="D272" s="863">
        <v>3</v>
      </c>
      <c r="E272" s="871"/>
      <c r="F272" s="871"/>
      <c r="G272" s="871"/>
      <c r="H272" s="871"/>
      <c r="I272" s="871"/>
      <c r="R272" s="162"/>
      <c r="S272" s="879" t="b">
        <f>ROUND('T2 ANSP'!C12,$D$272)=ROUND('T1 ANSP'!K61,$D$272)</f>
        <v>1</v>
      </c>
      <c r="T272" s="879" t="b">
        <f>ROUND('T2 ANSP'!D12,$D$272)=ROUND('T1 ANSP'!L61,$D$272)</f>
        <v>1</v>
      </c>
      <c r="U272" s="879" t="b">
        <f>ROUND('T2 ANSP'!E12,$D$272)=ROUND('T1 ANSP'!M61,$D$272)</f>
        <v>1</v>
      </c>
      <c r="V272" s="879" t="b">
        <f>ROUND('T2 ANSP'!F12,$D$272)=ROUND('T1 ANSP'!N61,$D$272)</f>
        <v>1</v>
      </c>
      <c r="W272" s="879" t="b">
        <f>ROUND('T2 ANSP'!G12,$D$272)=ROUND('T1 ANSP'!O61,$D$272)</f>
        <v>1</v>
      </c>
    </row>
    <row r="273" spans="1:23" s="882" customFormat="1" outlineLevel="1">
      <c r="A273" s="875"/>
      <c r="B273" s="876"/>
      <c r="C273" s="880" t="s">
        <v>131</v>
      </c>
      <c r="D273" s="881"/>
      <c r="E273" s="871"/>
      <c r="F273" s="871"/>
      <c r="G273" s="871"/>
      <c r="H273" s="871"/>
      <c r="I273" s="871"/>
      <c r="R273" s="162"/>
      <c r="S273" s="883">
        <f>ROUND('T2 ANSP'!C12,$D$272)</f>
        <v>689955.37800000003</v>
      </c>
      <c r="T273" s="883">
        <f>ROUND('T2 ANSP'!D12,$D$272)</f>
        <v>674270.83200000005</v>
      </c>
      <c r="U273" s="883">
        <f>ROUND('T2 ANSP'!E12,$D$272)</f>
        <v>688739.42299999995</v>
      </c>
      <c r="V273" s="883">
        <f>ROUND('T2 ANSP'!F12,$D$272)</f>
        <v>758911.57700000005</v>
      </c>
      <c r="W273" s="883">
        <f>ROUND('T2 ANSP'!G12,$D$272)</f>
        <v>770018.8</v>
      </c>
    </row>
    <row r="274" spans="1:23" s="882" customFormat="1" outlineLevel="1">
      <c r="A274" s="875"/>
      <c r="B274" s="876"/>
      <c r="C274" s="880" t="s">
        <v>132</v>
      </c>
      <c r="D274" s="881"/>
      <c r="E274" s="871"/>
      <c r="F274" s="871"/>
      <c r="G274" s="871"/>
      <c r="H274" s="871"/>
      <c r="I274" s="871"/>
      <c r="R274" s="162"/>
      <c r="S274" s="883">
        <f>ROUND('T1 ANSP'!K61,$D$272)</f>
        <v>689955.37800000003</v>
      </c>
      <c r="T274" s="883">
        <f>ROUND('T1 ANSP'!L61,$D$272)</f>
        <v>674270.83200000005</v>
      </c>
      <c r="U274" s="883">
        <f>ROUND('T1 ANSP'!M61,$D$272)</f>
        <v>688739.42299999995</v>
      </c>
      <c r="V274" s="883">
        <f>ROUND('T1 ANSP'!N61,$D$272)</f>
        <v>758911.57700000005</v>
      </c>
      <c r="W274" s="883">
        <f>ROUND('T1 ANSP'!O61,$D$272)</f>
        <v>770018.8</v>
      </c>
    </row>
    <row r="275" spans="1:23" s="878" customFormat="1">
      <c r="A275" s="875" t="s">
        <v>133</v>
      </c>
      <c r="B275" s="876" t="s">
        <v>52</v>
      </c>
      <c r="C275" s="877" t="s">
        <v>134</v>
      </c>
      <c r="D275" s="863">
        <v>3</v>
      </c>
      <c r="E275" s="871"/>
      <c r="F275" s="871"/>
      <c r="G275" s="871"/>
      <c r="H275" s="871"/>
      <c r="I275" s="871"/>
      <c r="R275" s="162"/>
      <c r="S275" s="879" t="b">
        <f>ROUND('T2 ANSP'!C15,$D$275)=ROUND('T1 ANSP'!K61-'T1 ANSP'!K15-'T1 ANSP'!K16,$D$275)</f>
        <v>0</v>
      </c>
      <c r="T275" s="879" t="b">
        <f>ROUND('T2 ANSP'!D15,$D$275)=ROUND('T1 ANSP'!L61-'T1 ANSP'!L15-'T1 ANSP'!L16,$D$275)</f>
        <v>0</v>
      </c>
      <c r="U275" s="879" t="b">
        <f>ROUND('T2 ANSP'!E15,$D$275)=ROUND('T1 ANSP'!M61-'T1 ANSP'!M15-'T1 ANSP'!M16,$D$275)</f>
        <v>0</v>
      </c>
      <c r="V275" s="879" t="b">
        <f>ROUND('T2 ANSP'!F15,$D$275)=ROUND('T1 ANSP'!N61-'T1 ANSP'!N15-'T1 ANSP'!N16,$D$275)</f>
        <v>0</v>
      </c>
      <c r="W275" s="879" t="b">
        <f>ROUND('T2 ANSP'!G15,$D$275)=ROUND('T1 ANSP'!O61-'T1 ANSP'!O15-'T1 ANSP'!O16,$D$275)</f>
        <v>0</v>
      </c>
    </row>
    <row r="276" spans="1:23" s="882" customFormat="1" outlineLevel="1">
      <c r="A276" s="875"/>
      <c r="B276" s="876"/>
      <c r="C276" s="880" t="s">
        <v>135</v>
      </c>
      <c r="D276" s="881"/>
      <c r="E276" s="871"/>
      <c r="F276" s="871"/>
      <c r="G276" s="871"/>
      <c r="H276" s="871"/>
      <c r="I276" s="871"/>
      <c r="R276" s="162"/>
      <c r="S276" s="883">
        <f>ROUND('T2 ANSP'!C15,$D$275)</f>
        <v>689955.37800000003</v>
      </c>
      <c r="T276" s="883">
        <f>ROUND('T2 ANSP'!D15,$D$275)</f>
        <v>674270.83200000005</v>
      </c>
      <c r="U276" s="883">
        <f>ROUND('T2 ANSP'!E15,$D$275)</f>
        <v>688739.42299999995</v>
      </c>
      <c r="V276" s="883">
        <f>ROUND('T2 ANSP'!F15,$D$275)</f>
        <v>758911.57700000005</v>
      </c>
      <c r="W276" s="883">
        <f>ROUND('T2 ANSP'!G15,$D$275)</f>
        <v>770018.8</v>
      </c>
    </row>
    <row r="277" spans="1:23" s="882" customFormat="1" outlineLevel="1">
      <c r="A277" s="875"/>
      <c r="B277" s="876"/>
      <c r="C277" s="880" t="s">
        <v>136</v>
      </c>
      <c r="D277" s="881"/>
      <c r="E277" s="871"/>
      <c r="F277" s="871"/>
      <c r="G277" s="871"/>
      <c r="H277" s="871"/>
      <c r="I277" s="871"/>
      <c r="R277" s="162"/>
      <c r="S277" s="883">
        <f>ROUND('T1 ANSP'!K61-'T1 ANSP'!K15-'T1 ANSP'!K16,$D$275)</f>
        <v>489271.47399999999</v>
      </c>
      <c r="T277" s="883">
        <f>ROUND('T1 ANSP'!L61-'T1 ANSP'!L15-'T1 ANSP'!L16,$D$275)</f>
        <v>497620.12300000002</v>
      </c>
      <c r="U277" s="883">
        <f>ROUND('T1 ANSP'!M61-'T1 ANSP'!M15-'T1 ANSP'!M16,$D$275)</f>
        <v>523908.14199999999</v>
      </c>
      <c r="V277" s="883">
        <f>ROUND('T1 ANSP'!N61-'T1 ANSP'!N15-'T1 ANSP'!N16,$D$275)</f>
        <v>567829.52300000004</v>
      </c>
      <c r="W277" s="883">
        <f>ROUND('T1 ANSP'!O61-'T1 ANSP'!O15-'T1 ANSP'!O16,$D$275)</f>
        <v>571200.90700000001</v>
      </c>
    </row>
    <row r="278" spans="1:23" s="878" customFormat="1">
      <c r="A278" s="875" t="s">
        <v>137</v>
      </c>
      <c r="B278" s="876" t="s">
        <v>138</v>
      </c>
      <c r="C278" s="877" t="s">
        <v>139</v>
      </c>
      <c r="D278" s="881"/>
      <c r="E278" s="871"/>
      <c r="F278" s="871"/>
      <c r="G278" s="871"/>
      <c r="H278" s="871"/>
      <c r="I278" s="871"/>
      <c r="R278" s="162"/>
      <c r="S278" s="879" t="b">
        <f>'T2 ANSP'!C16='T1 ANSP'!K65</f>
        <v>1</v>
      </c>
      <c r="T278" s="879" t="b">
        <f>'T2 ANSP'!D16='T1 ANSP'!L65</f>
        <v>1</v>
      </c>
      <c r="U278" s="879" t="b">
        <f>'T2 ANSP'!E16='T1 ANSP'!M65</f>
        <v>1</v>
      </c>
      <c r="V278" s="879" t="b">
        <f>'T2 ANSP'!F16='T1 ANSP'!N65</f>
        <v>1</v>
      </c>
      <c r="W278" s="879" t="b">
        <f>'T2 ANSP'!G16='T1 ANSP'!O65</f>
        <v>1</v>
      </c>
    </row>
    <row r="279" spans="1:23" s="882" customFormat="1" outlineLevel="1">
      <c r="A279" s="875"/>
      <c r="B279" s="876"/>
      <c r="C279" s="880" t="s">
        <v>140</v>
      </c>
      <c r="D279" s="881"/>
      <c r="E279" s="871"/>
      <c r="F279" s="871"/>
      <c r="G279" s="871"/>
      <c r="H279" s="871"/>
      <c r="I279" s="871"/>
      <c r="R279" s="162"/>
      <c r="S279" s="884">
        <f>'T2 ANSP'!C16</f>
        <v>106.44304700754891</v>
      </c>
      <c r="T279" s="884">
        <f>'T2 ANSP'!D16</f>
        <v>108.5719079476999</v>
      </c>
      <c r="U279" s="884">
        <f>'T2 ANSP'!E16</f>
        <v>110.7433461066539</v>
      </c>
      <c r="V279" s="884">
        <f>'T2 ANSP'!F16</f>
        <v>118.73399586480322</v>
      </c>
      <c r="W279" s="884">
        <f>'T2 ANSP'!G16</f>
        <v>119.75124598510098</v>
      </c>
    </row>
    <row r="280" spans="1:23" s="882" customFormat="1" outlineLevel="1">
      <c r="A280" s="875"/>
      <c r="B280" s="876"/>
      <c r="C280" s="880" t="s">
        <v>141</v>
      </c>
      <c r="D280" s="881"/>
      <c r="E280" s="871"/>
      <c r="F280" s="871"/>
      <c r="G280" s="871"/>
      <c r="H280" s="871"/>
      <c r="I280" s="871"/>
      <c r="R280" s="162"/>
      <c r="S280" s="884">
        <f>'T1 ANSP'!K65</f>
        <v>106.44304700754891</v>
      </c>
      <c r="T280" s="884">
        <f>'T1 ANSP'!L65</f>
        <v>108.5719079476999</v>
      </c>
      <c r="U280" s="884">
        <f>'T1 ANSP'!M65</f>
        <v>110.7433461066539</v>
      </c>
      <c r="V280" s="884">
        <f>'T1 ANSP'!N65</f>
        <v>118.73399586480322</v>
      </c>
      <c r="W280" s="884">
        <f>'T1 ANSP'!O65</f>
        <v>119.75124598510098</v>
      </c>
    </row>
    <row r="281" spans="1:23" s="878" customFormat="1">
      <c r="A281" s="875" t="s">
        <v>142</v>
      </c>
      <c r="B281" s="876" t="s">
        <v>143</v>
      </c>
      <c r="C281" s="877" t="s">
        <v>144</v>
      </c>
      <c r="D281" s="881"/>
      <c r="E281" s="871"/>
      <c r="F281" s="871"/>
      <c r="G281" s="871"/>
      <c r="H281" s="871"/>
      <c r="I281" s="871"/>
      <c r="J281" s="871"/>
      <c r="K281" s="871"/>
      <c r="L281" s="871"/>
      <c r="M281" s="871"/>
      <c r="N281" s="871"/>
      <c r="R281" s="162"/>
      <c r="S281" s="871"/>
    </row>
    <row r="282" spans="1:23" s="882" customFormat="1" outlineLevel="1">
      <c r="A282" s="875"/>
      <c r="B282" s="876"/>
      <c r="C282" s="880" t="s">
        <v>145</v>
      </c>
      <c r="D282" s="881"/>
      <c r="E282" s="871"/>
      <c r="F282" s="871"/>
      <c r="G282" s="871"/>
      <c r="H282" s="871"/>
      <c r="I282" s="871"/>
      <c r="J282" s="871"/>
      <c r="K282" s="871"/>
      <c r="L282" s="871"/>
      <c r="M282" s="871"/>
      <c r="N282" s="871"/>
      <c r="R282" s="162"/>
      <c r="S282" s="871"/>
    </row>
    <row r="283" spans="1:23" s="882" customFormat="1" outlineLevel="1">
      <c r="A283" s="875"/>
      <c r="B283" s="876"/>
      <c r="C283" s="880" t="s">
        <v>146</v>
      </c>
      <c r="D283" s="881"/>
      <c r="E283" s="871"/>
      <c r="F283" s="871"/>
      <c r="G283" s="871"/>
      <c r="H283" s="871"/>
      <c r="I283" s="871"/>
      <c r="J283" s="871"/>
      <c r="K283" s="871"/>
      <c r="L283" s="871"/>
      <c r="M283" s="871"/>
      <c r="N283" s="871"/>
      <c r="R283" s="162"/>
      <c r="S283" s="871"/>
    </row>
    <row r="284" spans="1:23" s="878" customFormat="1">
      <c r="A284" s="875" t="s">
        <v>147</v>
      </c>
      <c r="B284" s="876" t="s">
        <v>148</v>
      </c>
      <c r="C284" s="877" t="s">
        <v>149</v>
      </c>
      <c r="D284" s="881"/>
      <c r="E284" s="871"/>
      <c r="F284" s="871"/>
      <c r="G284" s="871"/>
      <c r="H284" s="871"/>
      <c r="I284" s="871"/>
      <c r="J284" s="871"/>
      <c r="K284" s="871"/>
      <c r="L284" s="871"/>
      <c r="M284" s="871"/>
      <c r="N284" s="871"/>
      <c r="R284" s="162"/>
      <c r="S284" s="871"/>
    </row>
    <row r="285" spans="1:23" s="882" customFormat="1" outlineLevel="1">
      <c r="A285" s="875"/>
      <c r="B285" s="876"/>
      <c r="C285" s="880" t="s">
        <v>150</v>
      </c>
      <c r="D285" s="881"/>
      <c r="E285" s="871"/>
      <c r="F285" s="871"/>
      <c r="G285" s="871"/>
      <c r="H285" s="871"/>
      <c r="I285" s="871"/>
      <c r="J285" s="871"/>
      <c r="K285" s="871"/>
      <c r="L285" s="871"/>
      <c r="M285" s="871"/>
      <c r="N285" s="871"/>
      <c r="R285" s="162"/>
      <c r="S285" s="871"/>
    </row>
    <row r="286" spans="1:23" s="882" customFormat="1" outlineLevel="1">
      <c r="A286" s="875"/>
      <c r="B286" s="876"/>
      <c r="C286" s="880" t="s">
        <v>151</v>
      </c>
      <c r="D286" s="881"/>
      <c r="E286" s="871"/>
      <c r="F286" s="871"/>
      <c r="G286" s="871"/>
      <c r="H286" s="871"/>
      <c r="I286" s="871"/>
      <c r="J286" s="871"/>
      <c r="K286" s="871"/>
      <c r="L286" s="871"/>
      <c r="M286" s="871"/>
      <c r="N286" s="871"/>
      <c r="R286" s="162"/>
      <c r="S286" s="871"/>
    </row>
    <row r="287" spans="1:23" s="878" customFormat="1">
      <c r="A287" s="875" t="s">
        <v>152</v>
      </c>
      <c r="B287" s="876">
        <v>2.5</v>
      </c>
      <c r="C287" s="885" t="s">
        <v>153</v>
      </c>
      <c r="D287" s="863">
        <v>3</v>
      </c>
      <c r="E287" s="871"/>
      <c r="F287" s="871"/>
      <c r="G287" s="871"/>
      <c r="H287" s="871"/>
      <c r="I287" s="871"/>
      <c r="J287" s="871"/>
      <c r="K287" s="871"/>
      <c r="L287" s="871"/>
      <c r="M287" s="871"/>
      <c r="N287" s="871"/>
      <c r="R287" s="162"/>
    </row>
    <row r="288" spans="1:23" s="882" customFormat="1" outlineLevel="1">
      <c r="A288" s="875"/>
      <c r="B288" s="876"/>
      <c r="C288" s="886" t="s">
        <v>154</v>
      </c>
      <c r="D288" s="887"/>
      <c r="E288" s="871"/>
      <c r="G288" s="871"/>
      <c r="H288" s="871"/>
      <c r="I288" s="871"/>
      <c r="J288" s="871"/>
      <c r="K288" s="871"/>
      <c r="L288" s="871"/>
      <c r="M288" s="871"/>
      <c r="N288" s="871"/>
      <c r="R288" s="162"/>
    </row>
    <row r="289" spans="1:23" s="882" customFormat="1" outlineLevel="1">
      <c r="A289" s="875"/>
      <c r="B289" s="876"/>
      <c r="C289" s="886" t="s">
        <v>155</v>
      </c>
      <c r="D289" s="887"/>
      <c r="E289" s="871"/>
      <c r="F289" s="871"/>
      <c r="G289" s="871"/>
      <c r="H289" s="871"/>
      <c r="I289" s="871"/>
      <c r="J289" s="871"/>
      <c r="K289" s="871"/>
      <c r="L289" s="871"/>
      <c r="M289" s="871"/>
      <c r="N289" s="871"/>
      <c r="R289" s="162"/>
    </row>
    <row r="290" spans="1:23" s="878" customFormat="1">
      <c r="A290" s="875" t="s">
        <v>156</v>
      </c>
      <c r="B290" s="876" t="s">
        <v>81</v>
      </c>
      <c r="C290" s="877" t="s">
        <v>157</v>
      </c>
      <c r="D290" s="863">
        <v>3</v>
      </c>
      <c r="E290" s="871"/>
      <c r="F290" s="871"/>
      <c r="G290" s="871"/>
      <c r="H290" s="871"/>
      <c r="I290" s="871"/>
      <c r="J290" s="871"/>
      <c r="K290" s="871"/>
      <c r="L290" s="871"/>
      <c r="M290" s="871"/>
      <c r="N290" s="871"/>
      <c r="R290" s="162"/>
    </row>
    <row r="291" spans="1:23" s="882" customFormat="1" outlineLevel="1">
      <c r="A291" s="875"/>
      <c r="B291" s="876"/>
      <c r="C291" s="880" t="s">
        <v>158</v>
      </c>
      <c r="D291" s="881"/>
      <c r="E291" s="871"/>
      <c r="F291" s="871"/>
      <c r="G291" s="871"/>
      <c r="H291" s="871"/>
      <c r="I291" s="871"/>
      <c r="J291" s="871"/>
      <c r="K291" s="871"/>
      <c r="L291" s="871"/>
      <c r="M291" s="871"/>
      <c r="N291" s="871"/>
      <c r="R291" s="162"/>
    </row>
    <row r="292" spans="1:23" s="882" customFormat="1" outlineLevel="1">
      <c r="A292" s="875"/>
      <c r="B292" s="876"/>
      <c r="C292" s="865" t="s">
        <v>159</v>
      </c>
      <c r="D292" s="881"/>
      <c r="E292" s="871"/>
      <c r="F292" s="871"/>
      <c r="G292" s="871"/>
      <c r="H292" s="871"/>
      <c r="I292" s="871"/>
      <c r="J292" s="871"/>
      <c r="K292" s="871"/>
      <c r="L292" s="871"/>
      <c r="M292" s="871"/>
      <c r="N292" s="871"/>
      <c r="R292" s="162"/>
    </row>
    <row r="293" spans="1:23" s="878" customFormat="1">
      <c r="A293" s="875" t="s">
        <v>160</v>
      </c>
      <c r="B293" s="876" t="s">
        <v>161</v>
      </c>
      <c r="C293" s="877" t="s">
        <v>162</v>
      </c>
      <c r="D293" s="863">
        <v>3</v>
      </c>
      <c r="E293" s="871"/>
      <c r="F293" s="871"/>
      <c r="G293" s="871"/>
      <c r="H293" s="871"/>
      <c r="I293" s="871"/>
      <c r="R293" s="162"/>
      <c r="S293" s="879" t="b">
        <f>IF(OR('T2 ANSP'!$A$5="MET",'T2 ANSP'!$A$5="NSA"),"N/A",ROUND('T2 ANSP'!C33,$D$293)=ROUND('T1 ANSP'!K61-'T1 ANSP'!K28,$D$293))</f>
        <v>1</v>
      </c>
      <c r="T293" s="879" t="b">
        <f>IF(OR('T2 ANSP'!$A$5="MET",'T2 ANSP'!$A$5="NSA"),"N/A",ROUND('T2 ANSP'!D33,$D$293)=ROUND('T1 ANSP'!L61-'T1 ANSP'!L28,$D$293))</f>
        <v>1</v>
      </c>
      <c r="U293" s="879" t="b">
        <f>IF(OR('T2 ANSP'!$A$5="MET",'T2 ANSP'!$A$5="NSA"),"N/A",ROUND('T2 ANSP'!E33,$D$293)=ROUND('T1 ANSP'!M61-'T1 ANSP'!M28,$D$293))</f>
        <v>1</v>
      </c>
      <c r="V293" s="879" t="b">
        <f>IF(OR('T2 ANSP'!$A$5="MET",'T2 ANSP'!$A$5="NSA"),"N/A",ROUND('T2 ANSP'!F33,$D$293)=ROUND('T1 ANSP'!N61-'T1 ANSP'!N28,$D$293))</f>
        <v>1</v>
      </c>
      <c r="W293" s="879" t="b">
        <f>IF(OR('T2 ANSP'!$A$5="MET",'T2 ANSP'!$A$5="NSA"),"N/A",ROUND('T2 ANSP'!G33,$D$293)=ROUND('T1 ANSP'!O61-'T1 ANSP'!O28,$D$293))</f>
        <v>1</v>
      </c>
    </row>
    <row r="294" spans="1:23" s="882" customFormat="1" outlineLevel="1">
      <c r="A294" s="875"/>
      <c r="B294" s="876"/>
      <c r="C294" s="880" t="s">
        <v>163</v>
      </c>
      <c r="D294" s="881"/>
      <c r="E294" s="871"/>
      <c r="F294" s="871"/>
      <c r="G294" s="871"/>
      <c r="H294" s="871"/>
      <c r="I294" s="871"/>
      <c r="R294" s="162"/>
      <c r="S294" s="883">
        <f>IF(OR('T2 ANSP'!$A$5="MET",'T2 ANSP'!$A$5="NSA"),"N/A",ROUND('T2 ANSP'!C33,$D$293))</f>
        <v>689955.37800000003</v>
      </c>
      <c r="T294" s="883">
        <f>IF(OR('T2 ANSP'!$A$5="MET",'T2 ANSP'!$A$5="NSA"),"N/A",ROUND('T2 ANSP'!D33,$D$293))</f>
        <v>674270.83200000005</v>
      </c>
      <c r="U294" s="883">
        <f>IF(OR('T2 ANSP'!$A$5="MET",'T2 ANSP'!$A$5="NSA"),"N/A",ROUND('T2 ANSP'!E33,$D$293))</f>
        <v>688739.42299999995</v>
      </c>
      <c r="V294" s="883">
        <f>IF(OR('T2 ANSP'!$A$5="MET",'T2 ANSP'!$A$5="NSA"),"N/A",ROUND('T2 ANSP'!F33,$D$293))</f>
        <v>758911.57700000005</v>
      </c>
      <c r="W294" s="883">
        <f>IF(OR('T2 ANSP'!$A$5="MET",'T2 ANSP'!$A$5="NSA"),"N/A",ROUND('T2 ANSP'!G33,$D$293))</f>
        <v>770018.8</v>
      </c>
    </row>
    <row r="295" spans="1:23" s="882" customFormat="1" outlineLevel="1">
      <c r="A295" s="875"/>
      <c r="B295" s="876"/>
      <c r="C295" s="880" t="s">
        <v>164</v>
      </c>
      <c r="D295" s="881"/>
      <c r="E295" s="871"/>
      <c r="F295" s="871"/>
      <c r="G295" s="871"/>
      <c r="H295" s="871"/>
      <c r="I295" s="871"/>
      <c r="R295" s="162"/>
      <c r="S295" s="883">
        <f>IF(OR('T2 ANSP'!$A$5="MET",'T2 ANSP'!$A$5="NSA"),"N/A",ROUND('T1 ANSP'!K61-'T1 ANSP'!K28,$D$293))</f>
        <v>689955.37800000003</v>
      </c>
      <c r="T295" s="883">
        <f>IF(OR('T2 ANSP'!$A$5="MET",'T2 ANSP'!$A$5="NSA"),"N/A",ROUND('T1 ANSP'!L61-'T1 ANSP'!L28,$D$293))</f>
        <v>674270.83200000005</v>
      </c>
      <c r="U295" s="883">
        <f>IF(OR('T2 ANSP'!$A$5="MET",'T2 ANSP'!$A$5="NSA"),"N/A",ROUND('T1 ANSP'!M61-'T1 ANSP'!M28,$D$293))</f>
        <v>688739.42299999995</v>
      </c>
      <c r="V295" s="883">
        <f>IF(OR('T2 ANSP'!$A$5="MET",'T2 ANSP'!$A$5="NSA"),"N/A",ROUND('T1 ANSP'!N61-'T1 ANSP'!N28,$D$293))</f>
        <v>758911.57700000005</v>
      </c>
      <c r="W295" s="883">
        <f>IF(OR('T2 ANSP'!$A$5="MET",'T2 ANSP'!$A$5="NSA"),"N/A",ROUND('T1 ANSP'!O61-'T1 ANSP'!O28,$D$293))</f>
        <v>770018.8</v>
      </c>
    </row>
    <row r="296" spans="1:23" s="878" customFormat="1">
      <c r="A296" s="875" t="s">
        <v>260</v>
      </c>
      <c r="B296" s="876" t="s">
        <v>17</v>
      </c>
      <c r="C296" s="877" t="s">
        <v>261</v>
      </c>
      <c r="D296" s="863">
        <v>2</v>
      </c>
      <c r="E296" s="871"/>
      <c r="F296" s="871"/>
      <c r="G296" s="871"/>
      <c r="H296" s="871"/>
      <c r="I296" s="871"/>
      <c r="N296" s="882"/>
      <c r="R296" s="162"/>
      <c r="S296" s="879" t="b">
        <f>IF(OR('T2 ANSP'!$A$5="MET",'T2 ANSP'!$A$5="NSA"),"N/A",ROUND('T2 ANSP'!C34,$D$296)=2%)</f>
        <v>1</v>
      </c>
      <c r="T296" s="879" t="b">
        <f>IF(OR('T2 ANSP'!$A$5="MET",'T2 ANSP'!$A$5="NSA"),"N/A",ROUND('T2 ANSP'!D34,$D$296)=2%)</f>
        <v>1</v>
      </c>
      <c r="U296" s="879" t="b">
        <f>IF(OR('T2 ANSP'!$A$5="MET",'T2 ANSP'!$A$5="NSA"),"N/A",ROUND('T2 ANSP'!E34,$D$296)=2%)</f>
        <v>1</v>
      </c>
      <c r="V296" s="879" t="b">
        <f>IF(OR('T2 ANSP'!$A$5="MET",'T2 ANSP'!$A$5="NSA"),"N/A",ROUND('T2 ANSP'!F34,$D$296)=2%)</f>
        <v>1</v>
      </c>
      <c r="W296" s="879" t="b">
        <f>IF(OR('T2 ANSP'!$A$5="MET",'T2 ANSP'!$A$5="NSA"),"N/A",ROUND('T2 ANSP'!G34,$D$296)=2%)</f>
        <v>1</v>
      </c>
    </row>
    <row r="297" spans="1:23" s="882" customFormat="1" outlineLevel="1">
      <c r="A297" s="875"/>
      <c r="B297" s="876"/>
      <c r="C297" s="880" t="s">
        <v>262</v>
      </c>
      <c r="D297" s="881"/>
      <c r="E297" s="871"/>
      <c r="F297" s="871"/>
      <c r="G297" s="871"/>
      <c r="H297" s="871"/>
      <c r="I297" s="871"/>
      <c r="R297" s="162"/>
      <c r="S297" s="893">
        <f>IF(OR('T2 ANSP'!$A$5="MET",'T2 ANSP'!$A$5="NSA"),"N/A",ROUND('T2 ANSP'!C34,$D$296))</f>
        <v>0.02</v>
      </c>
      <c r="T297" s="893">
        <f>IF(OR('T2 ANSP'!$A$5="MET",'T2 ANSP'!$A$5="NSA"),"N/A",ROUND('T2 ANSP'!D34,$D$296))</f>
        <v>0.02</v>
      </c>
      <c r="U297" s="893">
        <f>IF(OR('T2 ANSP'!$A$5="MET",'T2 ANSP'!$A$5="NSA"),"N/A",ROUND('T2 ANSP'!E34,$D$296))</f>
        <v>0.02</v>
      </c>
      <c r="V297" s="893">
        <f>IF(OR('T2 ANSP'!$A$5="MET",'T2 ANSP'!$A$5="NSA"),"N/A",ROUND('T2 ANSP'!F34,$D$296))</f>
        <v>0.02</v>
      </c>
      <c r="W297" s="893">
        <f>IF(OR('T2 ANSP'!$A$5="MET",'T2 ANSP'!$A$5="NSA"),"N/A",ROUND('T2 ANSP'!G34,$D$296))</f>
        <v>0.02</v>
      </c>
    </row>
    <row r="298" spans="1:23" s="878" customFormat="1">
      <c r="A298" s="875" t="s">
        <v>263</v>
      </c>
      <c r="B298" s="876" t="s">
        <v>264</v>
      </c>
      <c r="C298" s="877" t="s">
        <v>265</v>
      </c>
      <c r="D298" s="863">
        <v>2</v>
      </c>
      <c r="E298" s="871"/>
      <c r="F298" s="871"/>
      <c r="G298" s="871"/>
      <c r="H298" s="871"/>
      <c r="I298" s="871"/>
      <c r="N298" s="882"/>
      <c r="R298" s="162"/>
      <c r="S298" s="879" t="b">
        <f>IF(OR('T2 ANSP'!$A$5="MET",'T2 ANSP'!$A$5="NSA"),"N/A",ROUND('T2 ANSP'!C35,$D$298)=70%)</f>
        <v>1</v>
      </c>
      <c r="T298" s="879" t="b">
        <f>IF(OR('T2 ANSP'!$A$5="MET",'T2 ANSP'!$A$5="NSA"),"N/A",ROUND('T2 ANSP'!D35,$D$298)=70%)</f>
        <v>1</v>
      </c>
      <c r="U298" s="879" t="b">
        <f>IF(OR('T2 ANSP'!$A$5="MET",'T2 ANSP'!$A$5="NSA"),"N/A",ROUND('T2 ANSP'!E35,$D$298)=70%)</f>
        <v>1</v>
      </c>
      <c r="V298" s="879" t="b">
        <f>IF(OR('T2 ANSP'!$A$5="MET",'T2 ANSP'!$A$5="NSA"),"N/A",ROUND('T2 ANSP'!F35,$D$298)=70%)</f>
        <v>1</v>
      </c>
      <c r="W298" s="879" t="b">
        <f>IF(OR('T2 ANSP'!$A$5="MET",'T2 ANSP'!$A$5="NSA"),"N/A",ROUND('T2 ANSP'!G35,$D$298)=70%)</f>
        <v>1</v>
      </c>
    </row>
    <row r="299" spans="1:23" s="882" customFormat="1" outlineLevel="1">
      <c r="A299" s="875"/>
      <c r="B299" s="876"/>
      <c r="C299" s="880" t="s">
        <v>266</v>
      </c>
      <c r="D299" s="881"/>
      <c r="E299" s="871"/>
      <c r="F299" s="871"/>
      <c r="G299" s="871"/>
      <c r="H299" s="871"/>
      <c r="I299" s="871"/>
      <c r="R299" s="162"/>
      <c r="S299" s="893">
        <f>IF(OR('T2 ANSP'!$A$5="MET",'T2 ANSP'!$A$5="NSA"),"N/A",ROUND('T2 ANSP'!C35,$D$298))</f>
        <v>0.7</v>
      </c>
      <c r="T299" s="893">
        <f>IF(OR('T2 ANSP'!$A$5="MET",'T2 ANSP'!$A$5="NSA"),"N/A",ROUND('T2 ANSP'!D35,$D$298))</f>
        <v>0.7</v>
      </c>
      <c r="U299" s="893">
        <f>IF(OR('T2 ANSP'!$A$5="MET",'T2 ANSP'!$A$5="NSA"),"N/A",ROUND('T2 ANSP'!E35,$D$298))</f>
        <v>0.7</v>
      </c>
      <c r="V299" s="893">
        <f>IF(OR('T2 ANSP'!$A$5="MET",'T2 ANSP'!$A$5="NSA"),"N/A",ROUND('T2 ANSP'!F35,$D$298))</f>
        <v>0.7</v>
      </c>
      <c r="W299" s="893">
        <f>IF(OR('T2 ANSP'!$A$5="MET",'T2 ANSP'!$A$5="NSA"),"N/A",ROUND('T2 ANSP'!G35,$D$298))</f>
        <v>0.7</v>
      </c>
    </row>
    <row r="300" spans="1:23" s="878" customFormat="1">
      <c r="A300" s="875" t="s">
        <v>267</v>
      </c>
      <c r="B300" s="876" t="s">
        <v>268</v>
      </c>
      <c r="C300" s="877" t="s">
        <v>269</v>
      </c>
      <c r="D300" s="863">
        <v>2</v>
      </c>
      <c r="E300" s="871"/>
      <c r="F300" s="871"/>
      <c r="G300" s="871"/>
      <c r="H300" s="871"/>
      <c r="I300" s="871"/>
      <c r="N300" s="882"/>
      <c r="R300" s="162"/>
      <c r="S300" s="879" t="b">
        <f>IF(OR('T2 ANSP'!$A$5="MET",'T2 ANSP'!$A$5="NSA"),"N/A",ROUND('T2 ANSP'!C36,$D$300)=70%)</f>
        <v>1</v>
      </c>
      <c r="T300" s="879" t="b">
        <f>IF(OR('T2 ANSP'!$A$5="MET",'T2 ANSP'!$A$5="NSA"),"N/A",ROUND('T2 ANSP'!D36,$D$300)=70%)</f>
        <v>1</v>
      </c>
      <c r="U300" s="879" t="b">
        <f>IF(OR('T2 ANSP'!$A$5="MET",'T2 ANSP'!$A$5="NSA"),"N/A",ROUND('T2 ANSP'!E36,$D$300)=70%)</f>
        <v>1</v>
      </c>
      <c r="V300" s="879" t="b">
        <f>IF(OR('T2 ANSP'!$A$5="MET",'T2 ANSP'!$A$5="NSA"),"N/A",ROUND('T2 ANSP'!F36,$D$300)=70%)</f>
        <v>1</v>
      </c>
      <c r="W300" s="879" t="b">
        <f>IF(OR('T2 ANSP'!$A$5="MET",'T2 ANSP'!$A$5="NSA"),"N/A",ROUND('T2 ANSP'!G36,$D$300)=70%)</f>
        <v>1</v>
      </c>
    </row>
    <row r="301" spans="1:23" s="882" customFormat="1" outlineLevel="1">
      <c r="A301" s="875"/>
      <c r="B301" s="876"/>
      <c r="C301" s="880" t="s">
        <v>270</v>
      </c>
      <c r="D301" s="881"/>
      <c r="E301" s="871"/>
      <c r="F301" s="871"/>
      <c r="G301" s="871"/>
      <c r="H301" s="871"/>
      <c r="I301" s="871"/>
      <c r="R301" s="162"/>
      <c r="S301" s="893">
        <f>IF(OR('T2 ANSP'!$A$5="MET",'T2 ANSP'!$A$5="NSA"),"N/A",ROUND('T2 ANSP'!C36,$D$300))</f>
        <v>0.7</v>
      </c>
      <c r="T301" s="893">
        <f>IF(OR('T2 ANSP'!$A$5="MET",'T2 ANSP'!$A$5="NSA"),"N/A",ROUND('T2 ANSP'!D36,$D$300))</f>
        <v>0.7</v>
      </c>
      <c r="U301" s="893">
        <f>IF(OR('T2 ANSP'!$A$5="MET",'T2 ANSP'!$A$5="NSA"),"N/A",ROUND('T2 ANSP'!E36,$D$300))</f>
        <v>0.7</v>
      </c>
      <c r="V301" s="893">
        <f>IF(OR('T2 ANSP'!$A$5="MET",'T2 ANSP'!$A$5="NSA"),"N/A",ROUND('T2 ANSP'!F36,$D$300))</f>
        <v>0.7</v>
      </c>
      <c r="W301" s="893">
        <f>IF(OR('T2 ANSP'!$A$5="MET",'T2 ANSP'!$A$5="NSA"),"N/A",ROUND('T2 ANSP'!G36,$D$300))</f>
        <v>0.7</v>
      </c>
    </row>
    <row r="302" spans="1:23" s="878" customFormat="1">
      <c r="A302" s="875" t="s">
        <v>271</v>
      </c>
      <c r="B302" s="876" t="s">
        <v>272</v>
      </c>
      <c r="C302" s="877" t="s">
        <v>273</v>
      </c>
      <c r="D302" s="863">
        <v>2</v>
      </c>
      <c r="E302" s="871"/>
      <c r="F302" s="871"/>
      <c r="G302" s="871"/>
      <c r="H302" s="871"/>
      <c r="I302" s="871"/>
      <c r="N302" s="882"/>
      <c r="R302" s="162"/>
      <c r="S302" s="879" t="b">
        <f>IF(OR('T2 ANSP'!$A$5="MET",'T2 ANSP'!$A$5="NSA"),"N/A",ROUND('T2 ANSP'!C37,$D$302)=10%)</f>
        <v>1</v>
      </c>
      <c r="T302" s="879" t="b">
        <f>IF(OR('T2 ANSP'!$A$5="MET",'T2 ANSP'!$A$5="NSA"),"N/A",ROUND('T2 ANSP'!D37,$D$302)=10%)</f>
        <v>1</v>
      </c>
      <c r="U302" s="879" t="b">
        <f>IF(OR('T2 ANSP'!$A$5="MET",'T2 ANSP'!$A$5="NSA"),"N/A",ROUND('T2 ANSP'!E37,$D$302)=10%)</f>
        <v>1</v>
      </c>
      <c r="V302" s="879" t="b">
        <f>IF(OR('T2 ANSP'!$A$5="MET",'T2 ANSP'!$A$5="NSA"),"N/A",ROUND('T2 ANSP'!F37,$D$302)=10%)</f>
        <v>1</v>
      </c>
      <c r="W302" s="879" t="b">
        <f>IF(OR('T2 ANSP'!$A$5="MET",'T2 ANSP'!$A$5="NSA"),"N/A",ROUND('T2 ANSP'!G37,$D$302)=10%)</f>
        <v>1</v>
      </c>
    </row>
    <row r="303" spans="1:23" s="882" customFormat="1" outlineLevel="1">
      <c r="A303" s="875"/>
      <c r="B303" s="876"/>
      <c r="C303" s="880" t="s">
        <v>262</v>
      </c>
      <c r="D303" s="881"/>
      <c r="E303" s="871"/>
      <c r="F303" s="871"/>
      <c r="G303" s="871"/>
      <c r="H303" s="871"/>
      <c r="I303" s="871"/>
      <c r="R303" s="162"/>
      <c r="S303" s="893">
        <f>IF(OR('T2 ANSP'!$A$5="MET",'T2 ANSP'!$A$5="NSA"),"N/A",ROUND('T2 ANSP'!C37,$D$302))</f>
        <v>0.1</v>
      </c>
      <c r="T303" s="893">
        <f>IF(OR('T2 ANSP'!$A$5="MET",'T2 ANSP'!$A$5="NSA"),"N/A",ROUND('T2 ANSP'!D37,$D$302))</f>
        <v>0.1</v>
      </c>
      <c r="U303" s="893">
        <f>IF(OR('T2 ANSP'!$A$5="MET",'T2 ANSP'!$A$5="NSA"),"N/A",ROUND('T2 ANSP'!E37,$D$302))</f>
        <v>0.1</v>
      </c>
      <c r="V303" s="893">
        <f>IF(OR('T2 ANSP'!$A$5="MET",'T2 ANSP'!$A$5="NSA"),"N/A",ROUND('T2 ANSP'!F37,$D$302))</f>
        <v>0.1</v>
      </c>
      <c r="W303" s="893">
        <f>IF(OR('T2 ANSP'!$A$5="MET",'T2 ANSP'!$A$5="NSA"),"N/A",ROUND('T2 ANSP'!G37,$D$302))</f>
        <v>0.1</v>
      </c>
    </row>
    <row r="304" spans="1:23" s="878" customFormat="1">
      <c r="A304" s="875" t="s">
        <v>165</v>
      </c>
      <c r="B304" s="876" t="s">
        <v>166</v>
      </c>
      <c r="C304" s="877" t="s">
        <v>167</v>
      </c>
      <c r="D304" s="863">
        <v>3</v>
      </c>
      <c r="E304" s="871"/>
      <c r="F304" s="871"/>
      <c r="G304" s="871"/>
      <c r="H304" s="871"/>
      <c r="I304" s="871"/>
      <c r="N304" s="882"/>
      <c r="R304" s="162"/>
      <c r="S304" s="879" t="b">
        <f>ROUND('T2 ANSP'!C38,$D$304)=ROUND('T1 ANSP'!K68,$D$304)</f>
        <v>1</v>
      </c>
      <c r="T304" s="879" t="b">
        <f>ROUND('T2 ANSP'!D38,$D$304)=ROUND('T1 ANSP'!L68,$D$304)</f>
        <v>1</v>
      </c>
      <c r="U304" s="879" t="b">
        <f>ROUND('T2 ANSP'!E38,$D$304)=ROUND('T1 ANSP'!M68,$D$304)</f>
        <v>1</v>
      </c>
      <c r="V304" s="879" t="b">
        <f>ROUND('T2 ANSP'!F38,$D$304)=ROUND('T1 ANSP'!N68,$D$304)</f>
        <v>1</v>
      </c>
      <c r="W304" s="879" t="b">
        <f>ROUND('T2 ANSP'!G38,$D$304)=ROUND('T1 ANSP'!O68,$D$304)</f>
        <v>1</v>
      </c>
    </row>
    <row r="305" spans="1:23" s="882" customFormat="1" outlineLevel="1">
      <c r="A305" s="875"/>
      <c r="B305" s="876"/>
      <c r="C305" s="880" t="s">
        <v>168</v>
      </c>
      <c r="D305" s="881"/>
      <c r="E305" s="871"/>
      <c r="F305" s="871"/>
      <c r="G305" s="871"/>
      <c r="H305" s="871"/>
      <c r="I305" s="871"/>
      <c r="R305" s="162"/>
      <c r="S305" s="883">
        <f>ROUND('T2 ANSP'!C38,$D$304)</f>
        <v>12647.945</v>
      </c>
      <c r="T305" s="883">
        <f>ROUND('T2 ANSP'!D38,$D$304)</f>
        <v>12891</v>
      </c>
      <c r="U305" s="883">
        <f>ROUND('T2 ANSP'!E38,$D$304)</f>
        <v>13183</v>
      </c>
      <c r="V305" s="883">
        <f>ROUND('T2 ANSP'!F38,$D$304)</f>
        <v>11956</v>
      </c>
      <c r="W305" s="883">
        <f>ROUND('T2 ANSP'!G38,$D$304)</f>
        <v>12930</v>
      </c>
    </row>
    <row r="306" spans="1:23" s="882" customFormat="1" outlineLevel="1">
      <c r="A306" s="875"/>
      <c r="B306" s="876"/>
      <c r="C306" s="880" t="s">
        <v>169</v>
      </c>
      <c r="D306" s="881"/>
      <c r="E306" s="871"/>
      <c r="F306" s="871"/>
      <c r="G306" s="871"/>
      <c r="H306" s="871"/>
      <c r="I306" s="871"/>
      <c r="R306" s="162"/>
      <c r="S306" s="883">
        <f>ROUND('T1 ANSP'!K68,$D$304)</f>
        <v>12647.945</v>
      </c>
      <c r="T306" s="883">
        <f>ROUND('T1 ANSP'!L68,$D$304)</f>
        <v>12891</v>
      </c>
      <c r="U306" s="883">
        <f>ROUND('T1 ANSP'!M68,$D$304)</f>
        <v>13183</v>
      </c>
      <c r="V306" s="883">
        <f>ROUND('T1 ANSP'!N68,$D$304)</f>
        <v>11956</v>
      </c>
      <c r="W306" s="883">
        <f>ROUND('T1 ANSP'!O68,$D$304)</f>
        <v>12930</v>
      </c>
    </row>
    <row r="307" spans="1:23" s="878" customFormat="1">
      <c r="A307" s="875" t="s">
        <v>170</v>
      </c>
      <c r="B307" s="876">
        <v>4.7</v>
      </c>
      <c r="C307" s="885" t="s">
        <v>171</v>
      </c>
      <c r="D307" s="863">
        <v>3</v>
      </c>
      <c r="E307" s="871"/>
      <c r="F307" s="871"/>
      <c r="G307" s="871"/>
      <c r="H307" s="871"/>
      <c r="I307" s="871"/>
      <c r="J307" s="871"/>
      <c r="K307" s="871"/>
      <c r="L307" s="871"/>
      <c r="M307" s="871"/>
      <c r="N307" s="871"/>
      <c r="R307" s="162"/>
    </row>
    <row r="308" spans="1:23" s="882" customFormat="1" outlineLevel="1">
      <c r="A308" s="875"/>
      <c r="B308" s="876"/>
      <c r="C308" s="886" t="s">
        <v>172</v>
      </c>
      <c r="D308" s="887"/>
      <c r="E308" s="871"/>
      <c r="F308" s="871"/>
      <c r="G308" s="871"/>
      <c r="H308" s="871"/>
      <c r="I308" s="871"/>
      <c r="J308" s="871"/>
      <c r="K308" s="871"/>
      <c r="L308" s="871"/>
      <c r="M308" s="871"/>
      <c r="N308" s="871"/>
      <c r="R308" s="162"/>
    </row>
    <row r="309" spans="1:23" s="882" customFormat="1" outlineLevel="1">
      <c r="A309" s="875"/>
      <c r="B309" s="876"/>
      <c r="C309" s="886" t="s">
        <v>173</v>
      </c>
      <c r="D309" s="887"/>
      <c r="E309" s="871"/>
      <c r="F309" s="871"/>
      <c r="G309" s="871"/>
      <c r="H309" s="871"/>
      <c r="I309" s="871"/>
      <c r="J309" s="871"/>
      <c r="K309" s="871"/>
      <c r="L309" s="871"/>
      <c r="M309" s="871"/>
      <c r="N309" s="871"/>
      <c r="R309" s="162"/>
    </row>
    <row r="310" spans="1:23" s="878" customFormat="1">
      <c r="A310" s="875" t="s">
        <v>174</v>
      </c>
      <c r="B310" s="876">
        <v>4.8</v>
      </c>
      <c r="C310" s="885" t="s">
        <v>175</v>
      </c>
      <c r="D310" s="863">
        <v>3</v>
      </c>
      <c r="E310" s="871"/>
      <c r="F310" s="871"/>
      <c r="G310" s="871"/>
      <c r="H310" s="871"/>
      <c r="I310" s="871"/>
      <c r="J310" s="871"/>
      <c r="K310" s="871"/>
      <c r="L310" s="871"/>
      <c r="M310" s="871"/>
      <c r="N310" s="871"/>
      <c r="R310" s="162"/>
    </row>
    <row r="311" spans="1:23" s="882" customFormat="1" outlineLevel="1">
      <c r="A311" s="875"/>
      <c r="B311" s="876"/>
      <c r="C311" s="886" t="s">
        <v>176</v>
      </c>
      <c r="D311" s="887"/>
      <c r="E311" s="871"/>
      <c r="F311" s="871"/>
      <c r="G311" s="871"/>
      <c r="H311" s="871"/>
      <c r="I311" s="871"/>
      <c r="J311" s="871"/>
      <c r="K311" s="871"/>
      <c r="L311" s="871"/>
      <c r="M311" s="871"/>
      <c r="N311" s="871"/>
      <c r="R311" s="162"/>
    </row>
    <row r="312" spans="1:23" s="882" customFormat="1" outlineLevel="1">
      <c r="A312" s="875"/>
      <c r="B312" s="876"/>
      <c r="C312" s="886" t="s">
        <v>177</v>
      </c>
      <c r="D312" s="887"/>
      <c r="E312" s="871"/>
      <c r="F312" s="871"/>
      <c r="G312" s="871"/>
      <c r="H312" s="871"/>
      <c r="I312" s="871"/>
      <c r="J312" s="871"/>
      <c r="K312" s="871"/>
      <c r="L312" s="871"/>
      <c r="M312" s="871"/>
      <c r="N312" s="871"/>
      <c r="R312" s="162"/>
    </row>
    <row r="313" spans="1:23" s="878" customFormat="1">
      <c r="A313" s="875" t="s">
        <v>178</v>
      </c>
      <c r="B313" s="876" t="s">
        <v>179</v>
      </c>
      <c r="C313" s="885" t="s">
        <v>180</v>
      </c>
      <c r="D313" s="863">
        <v>3</v>
      </c>
      <c r="E313" s="871"/>
      <c r="F313" s="871"/>
      <c r="G313" s="871"/>
      <c r="H313" s="871"/>
      <c r="I313" s="871"/>
      <c r="J313" s="871"/>
      <c r="K313" s="871"/>
      <c r="L313" s="871"/>
      <c r="M313" s="871"/>
      <c r="N313" s="871"/>
      <c r="R313" s="162"/>
    </row>
    <row r="314" spans="1:23" s="882" customFormat="1" outlineLevel="1">
      <c r="A314" s="875"/>
      <c r="B314" s="876"/>
      <c r="C314" s="886" t="s">
        <v>181</v>
      </c>
      <c r="D314" s="881"/>
      <c r="E314" s="871"/>
      <c r="F314" s="871"/>
      <c r="G314" s="871"/>
      <c r="H314" s="871"/>
      <c r="I314" s="871"/>
      <c r="J314" s="871"/>
      <c r="K314" s="871"/>
      <c r="L314" s="871"/>
      <c r="M314" s="871"/>
      <c r="N314" s="871"/>
      <c r="R314" s="162"/>
    </row>
    <row r="315" spans="1:23" s="882" customFormat="1" outlineLevel="1">
      <c r="A315" s="875"/>
      <c r="B315" s="876"/>
      <c r="C315" s="886" t="s">
        <v>182</v>
      </c>
      <c r="D315" s="881"/>
      <c r="E315" s="871"/>
      <c r="F315" s="871"/>
      <c r="G315" s="871"/>
      <c r="H315" s="871"/>
      <c r="I315" s="871"/>
      <c r="J315" s="871"/>
      <c r="K315" s="871"/>
      <c r="L315" s="871"/>
      <c r="M315" s="871"/>
      <c r="N315" s="871"/>
      <c r="R315" s="162"/>
    </row>
    <row r="316" spans="1:23" s="878" customFormat="1">
      <c r="A316" s="875" t="s">
        <v>183</v>
      </c>
      <c r="B316" s="876" t="s">
        <v>34</v>
      </c>
      <c r="C316" s="877" t="s">
        <v>184</v>
      </c>
      <c r="D316" s="863">
        <v>3</v>
      </c>
      <c r="E316" s="871"/>
      <c r="F316" s="871"/>
      <c r="G316" s="871"/>
      <c r="H316" s="871"/>
      <c r="I316" s="871"/>
      <c r="J316" s="871"/>
      <c r="K316" s="871"/>
      <c r="L316" s="871"/>
      <c r="M316" s="871"/>
      <c r="N316" s="871"/>
      <c r="R316" s="162"/>
    </row>
    <row r="317" spans="1:23" s="882" customFormat="1" outlineLevel="1">
      <c r="A317" s="875"/>
      <c r="B317" s="876"/>
      <c r="C317" s="880" t="s">
        <v>185</v>
      </c>
      <c r="D317" s="881"/>
      <c r="E317" s="871"/>
      <c r="F317" s="871"/>
      <c r="G317" s="871"/>
      <c r="H317" s="871"/>
      <c r="I317" s="871"/>
      <c r="J317" s="871"/>
      <c r="K317" s="871"/>
      <c r="L317" s="871"/>
      <c r="M317" s="871"/>
      <c r="N317" s="871"/>
      <c r="R317" s="162"/>
    </row>
    <row r="318" spans="1:23" s="882" customFormat="1" outlineLevel="1">
      <c r="A318" s="875"/>
      <c r="B318" s="876"/>
      <c r="C318" s="880" t="s">
        <v>186</v>
      </c>
      <c r="D318" s="881"/>
      <c r="E318" s="871"/>
      <c r="F318" s="871"/>
      <c r="G318" s="871"/>
      <c r="H318" s="871"/>
      <c r="I318" s="871"/>
      <c r="J318" s="871"/>
      <c r="K318" s="871"/>
      <c r="L318" s="871"/>
      <c r="M318" s="871"/>
      <c r="N318" s="871"/>
      <c r="R318" s="162"/>
    </row>
    <row r="319" spans="1:23" s="878" customFormat="1">
      <c r="A319" s="875" t="s">
        <v>183</v>
      </c>
      <c r="B319" s="876" t="s">
        <v>38</v>
      </c>
      <c r="C319" s="877" t="s">
        <v>187</v>
      </c>
      <c r="D319" s="863">
        <v>3</v>
      </c>
      <c r="E319" s="871"/>
      <c r="F319" s="871"/>
      <c r="G319" s="871"/>
      <c r="H319" s="871"/>
      <c r="I319" s="871"/>
      <c r="J319" s="871"/>
      <c r="K319" s="871"/>
      <c r="L319" s="871"/>
      <c r="M319" s="871"/>
      <c r="N319" s="871"/>
      <c r="R319" s="162"/>
    </row>
    <row r="320" spans="1:23" s="882" customFormat="1" outlineLevel="1">
      <c r="A320" s="875"/>
      <c r="B320" s="876"/>
      <c r="C320" s="880" t="s">
        <v>185</v>
      </c>
      <c r="D320" s="881"/>
      <c r="E320" s="871"/>
      <c r="F320" s="871"/>
      <c r="G320" s="871"/>
      <c r="H320" s="871"/>
      <c r="I320" s="871"/>
      <c r="J320" s="871"/>
      <c r="K320" s="871"/>
      <c r="L320" s="871"/>
      <c r="M320" s="871"/>
      <c r="N320" s="871"/>
      <c r="R320" s="162"/>
    </row>
    <row r="321" spans="1:24" s="882" customFormat="1" outlineLevel="1">
      <c r="A321" s="875"/>
      <c r="B321" s="876"/>
      <c r="C321" s="880" t="s">
        <v>186</v>
      </c>
      <c r="D321" s="881"/>
      <c r="E321" s="871"/>
      <c r="F321" s="871"/>
      <c r="G321" s="871"/>
      <c r="H321" s="871"/>
      <c r="I321" s="871"/>
      <c r="J321" s="871"/>
      <c r="K321" s="871"/>
      <c r="L321" s="871"/>
      <c r="M321" s="871"/>
      <c r="N321" s="871"/>
      <c r="R321" s="162"/>
    </row>
    <row r="322" spans="1:24" s="878" customFormat="1">
      <c r="A322" s="875" t="s">
        <v>183</v>
      </c>
      <c r="B322" s="876" t="s">
        <v>58</v>
      </c>
      <c r="C322" s="877" t="s">
        <v>188</v>
      </c>
      <c r="D322" s="863">
        <v>3</v>
      </c>
      <c r="E322" s="871"/>
      <c r="F322" s="871"/>
      <c r="G322" s="871"/>
      <c r="H322" s="871"/>
      <c r="I322" s="871"/>
      <c r="J322" s="871"/>
      <c r="K322" s="871"/>
      <c r="L322" s="871"/>
      <c r="M322" s="871"/>
      <c r="N322" s="871"/>
      <c r="R322" s="162"/>
    </row>
    <row r="323" spans="1:24" s="882" customFormat="1" outlineLevel="1">
      <c r="A323" s="875"/>
      <c r="B323" s="876"/>
      <c r="C323" s="880" t="s">
        <v>189</v>
      </c>
      <c r="D323" s="881"/>
      <c r="E323" s="871"/>
      <c r="F323" s="871"/>
      <c r="G323" s="871"/>
      <c r="H323" s="871"/>
      <c r="I323" s="871"/>
      <c r="J323" s="871"/>
      <c r="K323" s="871"/>
      <c r="L323" s="871"/>
      <c r="M323" s="871"/>
      <c r="N323" s="871"/>
      <c r="R323" s="162"/>
    </row>
    <row r="324" spans="1:24" s="882" customFormat="1" outlineLevel="1">
      <c r="A324" s="875"/>
      <c r="B324" s="876"/>
      <c r="C324" s="880" t="s">
        <v>190</v>
      </c>
      <c r="D324" s="881"/>
      <c r="E324" s="871"/>
      <c r="F324" s="871"/>
      <c r="G324" s="871"/>
      <c r="H324" s="871"/>
      <c r="I324" s="871"/>
      <c r="J324" s="871"/>
      <c r="K324" s="871"/>
      <c r="L324" s="871"/>
      <c r="M324" s="871"/>
      <c r="N324" s="871"/>
      <c r="R324" s="162"/>
    </row>
    <row r="325" spans="1:24" s="878" customFormat="1">
      <c r="A325" s="875" t="s">
        <v>191</v>
      </c>
      <c r="B325" s="876" t="s">
        <v>192</v>
      </c>
      <c r="C325" s="877" t="s">
        <v>193</v>
      </c>
      <c r="D325" s="863">
        <v>3</v>
      </c>
      <c r="E325" s="871"/>
      <c r="F325" s="871"/>
      <c r="G325" s="871"/>
      <c r="H325" s="871"/>
      <c r="I325" s="871"/>
      <c r="J325" s="871"/>
      <c r="K325" s="871"/>
      <c r="L325" s="871"/>
      <c r="M325" s="871"/>
      <c r="N325" s="871"/>
      <c r="R325" s="162"/>
    </row>
    <row r="326" spans="1:24" s="882" customFormat="1" outlineLevel="1">
      <c r="A326" s="875"/>
      <c r="B326" s="876"/>
      <c r="C326" s="880" t="s">
        <v>194</v>
      </c>
      <c r="D326" s="881"/>
      <c r="E326" s="871"/>
      <c r="F326" s="871"/>
      <c r="G326" s="871"/>
      <c r="H326" s="871"/>
      <c r="I326" s="871"/>
      <c r="J326" s="871"/>
      <c r="K326" s="871"/>
      <c r="L326" s="871"/>
      <c r="M326" s="871"/>
      <c r="N326" s="871"/>
      <c r="R326" s="162"/>
    </row>
    <row r="327" spans="1:24" s="882" customFormat="1" outlineLevel="1">
      <c r="A327" s="875"/>
      <c r="B327" s="876"/>
      <c r="C327" s="865" t="s">
        <v>195</v>
      </c>
      <c r="D327" s="881"/>
      <c r="E327" s="871"/>
      <c r="F327" s="871"/>
      <c r="G327" s="871"/>
      <c r="H327" s="871"/>
      <c r="I327" s="871"/>
      <c r="J327" s="871"/>
      <c r="K327" s="871"/>
      <c r="L327" s="871"/>
      <c r="M327" s="871"/>
      <c r="N327" s="871"/>
      <c r="R327" s="162"/>
    </row>
    <row r="328" spans="1:24" s="878" customFormat="1">
      <c r="A328" s="875" t="s">
        <v>196</v>
      </c>
      <c r="B328" s="876" t="s">
        <v>197</v>
      </c>
      <c r="C328" s="877" t="s">
        <v>198</v>
      </c>
      <c r="D328" s="863">
        <v>3</v>
      </c>
      <c r="E328" s="871"/>
      <c r="F328" s="871"/>
      <c r="G328" s="871"/>
      <c r="H328" s="871"/>
      <c r="I328" s="871"/>
      <c r="J328" s="871"/>
      <c r="K328" s="871"/>
      <c r="L328" s="871"/>
      <c r="M328" s="871"/>
      <c r="N328" s="871"/>
      <c r="R328" s="162"/>
    </row>
    <row r="329" spans="1:24" s="882" customFormat="1" outlineLevel="1">
      <c r="A329" s="875"/>
      <c r="B329" s="876"/>
      <c r="C329" s="880" t="s">
        <v>199</v>
      </c>
      <c r="D329" s="881"/>
      <c r="E329" s="871"/>
      <c r="F329" s="871"/>
      <c r="G329" s="871"/>
      <c r="H329" s="871"/>
      <c r="I329" s="871"/>
      <c r="J329" s="871"/>
      <c r="K329" s="871"/>
      <c r="L329" s="871"/>
      <c r="M329" s="871"/>
      <c r="N329" s="871"/>
      <c r="R329" s="162"/>
    </row>
    <row r="330" spans="1:24" s="882" customFormat="1" outlineLevel="1">
      <c r="A330" s="875"/>
      <c r="B330" s="876"/>
      <c r="C330" s="865" t="s">
        <v>200</v>
      </c>
      <c r="D330" s="881"/>
      <c r="E330" s="871"/>
      <c r="F330" s="871"/>
      <c r="G330" s="871"/>
      <c r="H330" s="871"/>
      <c r="I330" s="871"/>
      <c r="J330" s="871"/>
      <c r="K330" s="871"/>
      <c r="L330" s="871"/>
      <c r="M330" s="871"/>
      <c r="N330" s="871"/>
      <c r="R330" s="162"/>
    </row>
    <row r="331" spans="1:24" s="878" customFormat="1">
      <c r="A331" s="875" t="s">
        <v>133</v>
      </c>
      <c r="B331" s="876" t="s">
        <v>201</v>
      </c>
      <c r="C331" s="877" t="s">
        <v>202</v>
      </c>
      <c r="D331" s="863">
        <v>3</v>
      </c>
      <c r="E331" s="871"/>
      <c r="F331" s="871"/>
      <c r="G331" s="871"/>
      <c r="H331" s="871"/>
      <c r="I331" s="871"/>
      <c r="R331" s="162"/>
      <c r="S331" s="879" t="b">
        <f>ROUND('T2 ANSP'!C81,$D$331)=ROUND('T2 ANSP'!C12,$D$331)</f>
        <v>1</v>
      </c>
      <c r="T331" s="879" t="b">
        <f>ROUND('T2 ANSP'!D81,$D$331)=ROUND('T2 ANSP'!D12,$D$331)</f>
        <v>1</v>
      </c>
      <c r="U331" s="879" t="b">
        <f>ROUND('T2 ANSP'!E81,$D$331)=ROUND('T2 ANSP'!E12,$D$331)</f>
        <v>1</v>
      </c>
      <c r="V331" s="879" t="b">
        <f>ROUND('T2 ANSP'!F81,$D$331)=ROUND('T2 ANSP'!F12,$D$331)</f>
        <v>1</v>
      </c>
      <c r="W331" s="879" t="b">
        <f>ROUND('T2 ANSP'!G81,$D$331)=ROUND('T2 ANSP'!G12,$D$331)</f>
        <v>1</v>
      </c>
    </row>
    <row r="332" spans="1:24" s="882" customFormat="1" outlineLevel="1">
      <c r="A332" s="875"/>
      <c r="B332" s="876"/>
      <c r="C332" s="880" t="s">
        <v>203</v>
      </c>
      <c r="D332" s="881"/>
      <c r="E332" s="871"/>
      <c r="F332" s="871"/>
      <c r="G332" s="871"/>
      <c r="H332" s="871"/>
      <c r="I332" s="871"/>
      <c r="R332" s="162"/>
      <c r="S332" s="883">
        <f>ROUND('T2 ANSP'!C81,$D$331)</f>
        <v>689955.37800000003</v>
      </c>
      <c r="T332" s="883">
        <f>ROUND('T2 ANSP'!D81,$D$331)</f>
        <v>674270.83200000005</v>
      </c>
      <c r="U332" s="883">
        <f>ROUND('T2 ANSP'!E81,$D$331)</f>
        <v>688739.42299999995</v>
      </c>
      <c r="V332" s="883">
        <f>ROUND('T2 ANSP'!F81,$D$331)</f>
        <v>758911.57700000005</v>
      </c>
      <c r="W332" s="883">
        <f>ROUND('T2 ANSP'!G81,$D$331)</f>
        <v>770018.8</v>
      </c>
      <c r="X332" s="878"/>
    </row>
    <row r="333" spans="1:24" s="882" customFormat="1" outlineLevel="1">
      <c r="A333" s="875"/>
      <c r="B333" s="876"/>
      <c r="C333" s="880" t="s">
        <v>204</v>
      </c>
      <c r="D333" s="881"/>
      <c r="E333" s="871"/>
      <c r="F333" s="871"/>
      <c r="G333" s="871"/>
      <c r="H333" s="871"/>
      <c r="I333" s="871"/>
      <c r="R333" s="162"/>
      <c r="S333" s="883">
        <f>ROUND('T2 ANSP'!C12,$D$331)</f>
        <v>689955.37800000003</v>
      </c>
      <c r="T333" s="883">
        <f>ROUND('T2 ANSP'!D12,$D$331)</f>
        <v>674270.83200000005</v>
      </c>
      <c r="U333" s="883">
        <f>ROUND('T2 ANSP'!E12,$D$331)</f>
        <v>688739.42299999995</v>
      </c>
      <c r="V333" s="883">
        <f>ROUND('T2 ANSP'!F12,$D$331)</f>
        <v>758911.57700000005</v>
      </c>
      <c r="W333" s="883">
        <f>ROUND('T2 ANSP'!G12,$D$331)</f>
        <v>770018.8</v>
      </c>
      <c r="X333" s="878"/>
    </row>
    <row r="334" spans="1:24">
      <c r="A334" s="875" t="s">
        <v>205</v>
      </c>
      <c r="B334" s="876" t="s">
        <v>206</v>
      </c>
      <c r="C334" s="888" t="s">
        <v>207</v>
      </c>
      <c r="D334" s="863">
        <v>3</v>
      </c>
      <c r="E334" s="871"/>
      <c r="F334" s="871"/>
      <c r="G334" s="871"/>
      <c r="H334" s="871"/>
      <c r="I334" s="871"/>
      <c r="J334" s="162"/>
      <c r="K334" s="162"/>
      <c r="L334" s="162"/>
      <c r="S334" s="879" t="b">
        <f>ROUND('T2 ANSP'!C82,$D$334)=ROUND('T3 ANSP'!E21,$D$334)</f>
        <v>1</v>
      </c>
      <c r="T334" s="879" t="b">
        <f>ROUND('T2 ANSP'!D82,$D$334)=ROUND('T3 ANSP'!F21,$D$334)</f>
        <v>1</v>
      </c>
      <c r="U334" s="879" t="b">
        <f>ROUND('T2 ANSP'!E82,$D$334)=ROUND('T3 ANSP'!G21,$D$334)</f>
        <v>1</v>
      </c>
      <c r="V334" s="879" t="b">
        <f>ROUND('T2 ANSP'!F82,$D$334)=ROUND('T3 ANSP'!H21,$D$334)</f>
        <v>1</v>
      </c>
      <c r="W334" s="879" t="b">
        <f>ROUND('T2 ANSP'!G82,$D$334)=ROUND('T3 ANSP'!I21,$D$334)</f>
        <v>0</v>
      </c>
      <c r="X334" s="878"/>
    </row>
    <row r="335" spans="1:24" outlineLevel="1">
      <c r="A335" s="876"/>
      <c r="B335" s="876"/>
      <c r="C335" s="889" t="s">
        <v>208</v>
      </c>
      <c r="D335" s="890"/>
      <c r="E335" s="871"/>
      <c r="F335" s="871"/>
      <c r="G335" s="871"/>
      <c r="H335" s="871"/>
      <c r="I335" s="871"/>
      <c r="J335" s="162"/>
      <c r="K335" s="162"/>
      <c r="L335" s="162"/>
      <c r="S335" s="883">
        <f>ROUND('T2 ANSP'!C82,$D$334)</f>
        <v>-13078.944</v>
      </c>
      <c r="T335" s="883">
        <f>ROUND('T2 ANSP'!D82,$D$334)</f>
        <v>-13954.402</v>
      </c>
      <c r="U335" s="883">
        <f>ROUND('T2 ANSP'!E82,$D$334)</f>
        <v>-7512.17</v>
      </c>
      <c r="V335" s="883">
        <f>ROUND('T2 ANSP'!F82,$D$334)</f>
        <v>-3969.866</v>
      </c>
      <c r="W335" s="883">
        <f>ROUND('T2 ANSP'!G82,$D$334)</f>
        <v>43331.658000000003</v>
      </c>
      <c r="X335" s="878"/>
    </row>
    <row r="336" spans="1:24" outlineLevel="1">
      <c r="A336" s="876"/>
      <c r="B336" s="876"/>
      <c r="C336" s="889" t="s">
        <v>209</v>
      </c>
      <c r="D336" s="890"/>
      <c r="E336" s="871"/>
      <c r="F336" s="871"/>
      <c r="G336" s="871"/>
      <c r="H336" s="871"/>
      <c r="I336" s="871"/>
      <c r="J336" s="162"/>
      <c r="K336" s="162"/>
      <c r="L336" s="162"/>
      <c r="S336" s="883">
        <f>ROUND('T3 ANSP'!E21,$D$334)</f>
        <v>-13078.944</v>
      </c>
      <c r="T336" s="883">
        <f>ROUND('T3 ANSP'!F21,$D$334)</f>
        <v>-13954.402</v>
      </c>
      <c r="U336" s="883">
        <f>ROUND('T3 ANSP'!G21,$D$334)</f>
        <v>-7512.17</v>
      </c>
      <c r="V336" s="883">
        <f>ROUND('T3 ANSP'!H21,$D$334)</f>
        <v>-3969.866</v>
      </c>
      <c r="W336" s="883">
        <f>ROUND('T3 ANSP'!I21,$D$334)</f>
        <v>44206.987000000001</v>
      </c>
      <c r="X336" s="878"/>
    </row>
    <row r="337" spans="1:24">
      <c r="A337" s="876" t="s">
        <v>210</v>
      </c>
      <c r="B337" s="876" t="s">
        <v>211</v>
      </c>
      <c r="C337" s="888" t="s">
        <v>212</v>
      </c>
      <c r="D337" s="863">
        <v>3</v>
      </c>
      <c r="E337" s="871"/>
      <c r="F337" s="871"/>
      <c r="G337" s="871"/>
      <c r="H337" s="871"/>
      <c r="I337" s="871"/>
      <c r="J337" s="162"/>
      <c r="K337" s="162"/>
      <c r="L337" s="162"/>
      <c r="S337" s="879" t="b">
        <f>ROUND('T2 ANSP'!C83,$D$337)=ROUND('T3 ANSP'!E36,$D$337)</f>
        <v>1</v>
      </c>
      <c r="T337" s="879" t="b">
        <f>ROUND('T2 ANSP'!D83,$D$337)=ROUND('T3 ANSP'!F36,$D$337)</f>
        <v>1</v>
      </c>
      <c r="U337" s="879" t="b">
        <f>ROUND('T2 ANSP'!E83,$D$337)=ROUND('T3 ANSP'!G36,$D$337)</f>
        <v>1</v>
      </c>
      <c r="V337" s="879" t="b">
        <f>ROUND('T2 ANSP'!F83,$D$337)=ROUND('T3 ANSP'!H36,$D$337)</f>
        <v>1</v>
      </c>
      <c r="W337" s="879" t="b">
        <f>ROUND('T2 ANSP'!G83,$D$337)=ROUND('T3 ANSP'!I36,$D$337)</f>
        <v>1</v>
      </c>
      <c r="X337" s="878"/>
    </row>
    <row r="338" spans="1:24" outlineLevel="1">
      <c r="A338" s="876"/>
      <c r="B338" s="876"/>
      <c r="C338" s="889" t="s">
        <v>208</v>
      </c>
      <c r="D338" s="890"/>
      <c r="E338" s="871"/>
      <c r="F338" s="871"/>
      <c r="G338" s="871"/>
      <c r="H338" s="871"/>
      <c r="I338" s="871"/>
      <c r="J338" s="162"/>
      <c r="K338" s="162"/>
      <c r="L338" s="162"/>
      <c r="S338" s="883">
        <f>ROUND('T2 ANSP'!C83,$D$337)</f>
        <v>-52765.667000000001</v>
      </c>
      <c r="T338" s="883">
        <f>ROUND('T2 ANSP'!D83,$D$337)</f>
        <v>-62057.379000000001</v>
      </c>
      <c r="U338" s="883">
        <f>ROUND('T2 ANSP'!E83,$D$337)</f>
        <v>0</v>
      </c>
      <c r="V338" s="883">
        <f>ROUND('T2 ANSP'!F83,$D$337)</f>
        <v>24929.271000000001</v>
      </c>
      <c r="W338" s="883">
        <f>ROUND('T2 ANSP'!G83,$D$337)</f>
        <v>18063.629000000001</v>
      </c>
      <c r="X338" s="878"/>
    </row>
    <row r="339" spans="1:24" outlineLevel="1">
      <c r="A339" s="876"/>
      <c r="B339" s="876"/>
      <c r="C339" s="889" t="s">
        <v>209</v>
      </c>
      <c r="D339" s="890"/>
      <c r="E339" s="871"/>
      <c r="F339" s="871"/>
      <c r="G339" s="871"/>
      <c r="H339" s="871"/>
      <c r="I339" s="871"/>
      <c r="J339" s="162"/>
      <c r="K339" s="162"/>
      <c r="L339" s="162"/>
      <c r="S339" s="883">
        <f>ROUND('T3 ANSP'!E36,$D$337)</f>
        <v>-52765.667000000001</v>
      </c>
      <c r="T339" s="883">
        <f>ROUND('T3 ANSP'!F36,$D$337)</f>
        <v>-62057.379000000001</v>
      </c>
      <c r="U339" s="883">
        <f>ROUND('T3 ANSP'!G36,$D$337)</f>
        <v>0</v>
      </c>
      <c r="V339" s="883">
        <f>ROUND('T3 ANSP'!H36,$D$337)</f>
        <v>24929.271000000001</v>
      </c>
      <c r="W339" s="883">
        <f>ROUND('T3 ANSP'!I36,$D$337)</f>
        <v>18063.629000000001</v>
      </c>
      <c r="X339" s="878"/>
    </row>
    <row r="340" spans="1:24">
      <c r="A340" s="876" t="s">
        <v>213</v>
      </c>
      <c r="B340" s="876" t="s">
        <v>214</v>
      </c>
      <c r="C340" s="888" t="s">
        <v>215</v>
      </c>
      <c r="D340" s="863">
        <v>3</v>
      </c>
      <c r="E340" s="871"/>
      <c r="F340" s="871"/>
      <c r="G340" s="871"/>
      <c r="H340" s="871"/>
      <c r="I340" s="871"/>
      <c r="J340" s="162"/>
      <c r="K340" s="162"/>
      <c r="L340" s="162"/>
      <c r="S340" s="879" t="b">
        <f>ROUND('T2 ANSP'!C84,$D$340)=ROUND('T3 ANSP'!E47+'T3 ANSP'!E58+'T3 ANSP'!E69+'T3 ANSP'!E80+'T3 ANSP'!E91+'T3 ANSP'!E102+'T3 ANSP'!E107,$D$340)</f>
        <v>1</v>
      </c>
      <c r="T340" s="879" t="b">
        <f>ROUND('T2 ANSP'!D84,$D$340)=ROUND('T3 ANSP'!F47+'T3 ANSP'!F58+'T3 ANSP'!F69+'T3 ANSP'!F80+'T3 ANSP'!F91+'T3 ANSP'!F102+'T3 ANSP'!F107,$D$340)</f>
        <v>1</v>
      </c>
      <c r="U340" s="879" t="b">
        <f>ROUND('T2 ANSP'!E84,$D$340)=ROUND('T3 ANSP'!G47+'T3 ANSP'!G58+'T3 ANSP'!G69+'T3 ANSP'!G80+'T3 ANSP'!G91+'T3 ANSP'!G102+'T3 ANSP'!G107,$D$340)</f>
        <v>1</v>
      </c>
      <c r="V340" s="879" t="b">
        <f>ROUND('T2 ANSP'!F84,$D$340)=ROUND('T3 ANSP'!H47+'T3 ANSP'!H58+'T3 ANSP'!H69+'T3 ANSP'!H80+'T3 ANSP'!H91+'T3 ANSP'!H102+'T3 ANSP'!H107+'T3 ANSP'!H111,$D$340)</f>
        <v>1</v>
      </c>
      <c r="W340" s="879" t="b">
        <f>ROUND('T2 ANSP'!G84,$D$340)=ROUND('T3 ANSP'!I47+'T3 ANSP'!I58+'T3 ANSP'!I69+'T3 ANSP'!I80+'T3 ANSP'!I91+'T3 ANSP'!I102+'T3 ANSP'!I107+'T3 ANSP'!I111,$D$340)</f>
        <v>1</v>
      </c>
      <c r="X340" s="878"/>
    </row>
    <row r="341" spans="1:24" outlineLevel="1">
      <c r="A341" s="876"/>
      <c r="B341" s="876"/>
      <c r="C341" s="889" t="s">
        <v>208</v>
      </c>
      <c r="D341" s="890"/>
      <c r="E341" s="871"/>
      <c r="F341" s="871"/>
      <c r="G341" s="871"/>
      <c r="H341" s="871"/>
      <c r="I341" s="871"/>
      <c r="J341" s="162"/>
      <c r="K341" s="162"/>
      <c r="L341" s="162"/>
      <c r="S341" s="883">
        <f>ROUND('T2 ANSP'!C84,$D$340)</f>
        <v>1590.664</v>
      </c>
      <c r="T341" s="883">
        <f>ROUND('T2 ANSP'!D84,$D$340)</f>
        <v>7943.6379999999999</v>
      </c>
      <c r="U341" s="883">
        <f>ROUND('T2 ANSP'!E84,$D$340)</f>
        <v>8029.8140000000003</v>
      </c>
      <c r="V341" s="883">
        <f>ROUND('T2 ANSP'!F84,$D$340)</f>
        <v>9151.5059999999994</v>
      </c>
      <c r="W341" s="883">
        <f>ROUND('T2 ANSP'!G84,$D$340)</f>
        <v>7789.8389999999999</v>
      </c>
      <c r="X341" s="878"/>
    </row>
    <row r="342" spans="1:24" outlineLevel="1">
      <c r="A342" s="876"/>
      <c r="B342" s="876"/>
      <c r="C342" s="889" t="s">
        <v>209</v>
      </c>
      <c r="D342" s="890"/>
      <c r="E342" s="871"/>
      <c r="F342" s="871"/>
      <c r="G342" s="871"/>
      <c r="H342" s="871"/>
      <c r="I342" s="871"/>
      <c r="J342" s="162"/>
      <c r="K342" s="162"/>
      <c r="L342" s="162"/>
      <c r="S342" s="883">
        <f>ROUND('T3 ANSP'!E47+'T3 ANSP'!E58+'T3 ANSP'!E69+'T3 ANSP'!E80+'T3 ANSP'!E91+'T3 ANSP'!E102+'T3 ANSP'!E107,$D$340)</f>
        <v>1590.664</v>
      </c>
      <c r="T342" s="883">
        <f>ROUND('T3 ANSP'!F47+'T3 ANSP'!F58+'T3 ANSP'!F69+'T3 ANSP'!F80+'T3 ANSP'!F91+'T3 ANSP'!F102+'T3 ANSP'!F107,$D$340)</f>
        <v>7943.6379999999999</v>
      </c>
      <c r="U342" s="883">
        <f>ROUND('T3 ANSP'!G47+'T3 ANSP'!G58+'T3 ANSP'!G69+'T3 ANSP'!G80+'T3 ANSP'!G91+'T3 ANSP'!G102+'T3 ANSP'!G107,$D$340)</f>
        <v>8029.8140000000003</v>
      </c>
      <c r="V342" s="883">
        <f>ROUND('T3 ANSP'!H47+'T3 ANSP'!H58+'T3 ANSP'!H69+'T3 ANSP'!H80+'T3 ANSP'!H91+'T3 ANSP'!H102+'T3 ANSP'!H107+'T3 ANSP'!H111,$D$340)</f>
        <v>9151.5059999999994</v>
      </c>
      <c r="W342" s="883">
        <f>ROUND('T3 ANSP'!I47+'T3 ANSP'!I58+'T3 ANSP'!I69+'T3 ANSP'!I80+'T3 ANSP'!I91+'T3 ANSP'!I102+'T3 ANSP'!I107+'T3 ANSP'!I111,$D$340)</f>
        <v>7789.8389999999999</v>
      </c>
      <c r="X342" s="878"/>
    </row>
    <row r="343" spans="1:24">
      <c r="A343" s="876" t="s">
        <v>216</v>
      </c>
      <c r="B343" s="876" t="s">
        <v>217</v>
      </c>
      <c r="C343" s="888" t="s">
        <v>218</v>
      </c>
      <c r="D343" s="863">
        <v>3</v>
      </c>
      <c r="E343" s="871"/>
      <c r="F343" s="871"/>
      <c r="G343" s="871"/>
      <c r="H343" s="871"/>
      <c r="I343" s="871"/>
      <c r="J343" s="162"/>
      <c r="K343" s="162"/>
      <c r="L343" s="162"/>
      <c r="S343" s="879" t="b">
        <f>ROUND('T2 ANSP'!C85,$D$343)=ROUND('T3 ANSP'!E126,$D$343)</f>
        <v>1</v>
      </c>
      <c r="T343" s="879" t="b">
        <f>ROUND('T2 ANSP'!D85,$D$343)=ROUND('T3 ANSP'!F126,$D$343)</f>
        <v>1</v>
      </c>
      <c r="U343" s="879" t="b">
        <f>ROUND('T2 ANSP'!E85,$D$343)=ROUND('T3 ANSP'!G126,$D$343)</f>
        <v>1</v>
      </c>
      <c r="V343" s="879" t="b">
        <f>ROUND('T2 ANSP'!F85,$D$343)=ROUND('T3 ANSP'!H126,$D$343)</f>
        <v>1</v>
      </c>
      <c r="W343" s="879" t="b">
        <f>ROUND('T2 ANSP'!G85,$D$343)=ROUND('T3 ANSP'!I126,$D$343)</f>
        <v>1</v>
      </c>
      <c r="X343" s="878"/>
    </row>
    <row r="344" spans="1:24" outlineLevel="1">
      <c r="A344" s="876"/>
      <c r="B344" s="876"/>
      <c r="C344" s="889" t="s">
        <v>208</v>
      </c>
      <c r="D344" s="890"/>
      <c r="E344" s="871"/>
      <c r="F344" s="871"/>
      <c r="G344" s="871"/>
      <c r="H344" s="871"/>
      <c r="I344" s="871"/>
      <c r="J344" s="162"/>
      <c r="K344" s="162"/>
      <c r="L344" s="162"/>
      <c r="S344" s="883">
        <f>ROUND('T2 ANSP'!C85,$D$343)</f>
        <v>-264.10899999999998</v>
      </c>
      <c r="T344" s="883">
        <f>ROUND('T2 ANSP'!D85,$D$343)</f>
        <v>228.011</v>
      </c>
      <c r="U344" s="883">
        <f>ROUND('T2 ANSP'!E85,$D$343)</f>
        <v>0</v>
      </c>
      <c r="V344" s="883">
        <f>ROUND('T2 ANSP'!F85,$D$343)</f>
        <v>0</v>
      </c>
      <c r="W344" s="883">
        <f>ROUND('T2 ANSP'!G85,$D$343)</f>
        <v>0</v>
      </c>
      <c r="X344" s="878"/>
    </row>
    <row r="345" spans="1:24" outlineLevel="1">
      <c r="A345" s="876"/>
      <c r="B345" s="876"/>
      <c r="C345" s="889" t="s">
        <v>209</v>
      </c>
      <c r="D345" s="890"/>
      <c r="E345" s="871"/>
      <c r="F345" s="871"/>
      <c r="G345" s="871"/>
      <c r="H345" s="871"/>
      <c r="I345" s="871"/>
      <c r="J345" s="162"/>
      <c r="K345" s="162"/>
      <c r="L345" s="162"/>
      <c r="S345" s="883">
        <f>ROUND('T3 ANSP'!E126,$D$343)</f>
        <v>-264.10899999999998</v>
      </c>
      <c r="T345" s="883">
        <f>ROUND('T3 ANSP'!F126,$D$343)</f>
        <v>228.011</v>
      </c>
      <c r="U345" s="883">
        <f>ROUND('T3 ANSP'!G126,$D$343)</f>
        <v>0</v>
      </c>
      <c r="V345" s="883">
        <f>ROUND('T3 ANSP'!H126,$D$343)</f>
        <v>0</v>
      </c>
      <c r="W345" s="883">
        <f>ROUND('T3 ANSP'!I126,$D$343)</f>
        <v>0</v>
      </c>
      <c r="X345" s="878"/>
    </row>
    <row r="346" spans="1:24">
      <c r="A346" s="876" t="s">
        <v>219</v>
      </c>
      <c r="B346" s="876" t="s">
        <v>220</v>
      </c>
      <c r="C346" s="888" t="s">
        <v>221</v>
      </c>
      <c r="D346" s="863">
        <v>3</v>
      </c>
      <c r="E346" s="871"/>
      <c r="F346" s="871"/>
      <c r="G346" s="871"/>
      <c r="H346" s="871"/>
      <c r="I346" s="871"/>
      <c r="J346" s="162"/>
      <c r="K346" s="162"/>
      <c r="L346" s="162"/>
      <c r="S346" s="879" t="b">
        <f>ROUND('T2 ANSP'!C86,$D$346)=ROUND('T3 ANSP'!E141,$D$346)</f>
        <v>1</v>
      </c>
      <c r="T346" s="879" t="b">
        <f>ROUND('T2 ANSP'!D86,$D$346)=ROUND('T3 ANSP'!F141,$D$346)</f>
        <v>1</v>
      </c>
      <c r="U346" s="879" t="b">
        <f>ROUND('T2 ANSP'!E86,$D$346)=ROUND('T3 ANSP'!G141,$D$346)</f>
        <v>1</v>
      </c>
      <c r="V346" s="879" t="b">
        <f>ROUND('T2 ANSP'!F86,$D$346)=ROUND('T3 ANSP'!H141,$D$346)</f>
        <v>1</v>
      </c>
      <c r="W346" s="879" t="b">
        <f>ROUND('T2 ANSP'!G86,$D$346)=ROUND('T3 ANSP'!I141,$D$346)</f>
        <v>1</v>
      </c>
      <c r="X346" s="878"/>
    </row>
    <row r="347" spans="1:24" outlineLevel="1">
      <c r="A347" s="876"/>
      <c r="B347" s="876"/>
      <c r="C347" s="889" t="s">
        <v>208</v>
      </c>
      <c r="D347" s="890"/>
      <c r="E347" s="871"/>
      <c r="F347" s="871"/>
      <c r="G347" s="871"/>
      <c r="H347" s="871"/>
      <c r="I347" s="871"/>
      <c r="J347" s="162"/>
      <c r="K347" s="162"/>
      <c r="L347" s="162"/>
      <c r="S347" s="883">
        <f>ROUND('T2 ANSP'!C86,$D$346)</f>
        <v>0</v>
      </c>
      <c r="T347" s="883">
        <f>ROUND('T2 ANSP'!D86,$D$346)</f>
        <v>0</v>
      </c>
      <c r="U347" s="883">
        <f>ROUND('T2 ANSP'!E86,$D$346)</f>
        <v>0</v>
      </c>
      <c r="V347" s="883">
        <f>ROUND('T2 ANSP'!F86,$D$346)</f>
        <v>0</v>
      </c>
      <c r="W347" s="883">
        <f>ROUND('T2 ANSP'!G86,$D$346)</f>
        <v>0</v>
      </c>
      <c r="X347" s="878"/>
    </row>
    <row r="348" spans="1:24" outlineLevel="1">
      <c r="A348" s="876"/>
      <c r="B348" s="876"/>
      <c r="C348" s="889" t="s">
        <v>209</v>
      </c>
      <c r="D348" s="890"/>
      <c r="E348" s="871"/>
      <c r="F348" s="871"/>
      <c r="G348" s="871"/>
      <c r="H348" s="871"/>
      <c r="I348" s="871"/>
      <c r="J348" s="162"/>
      <c r="K348" s="162"/>
      <c r="L348" s="162"/>
      <c r="S348" s="883">
        <f>ROUND('T3 ANSP'!E141,$D$346)</f>
        <v>0</v>
      </c>
      <c r="T348" s="883">
        <f>ROUND('T3 ANSP'!F141,$D$346)</f>
        <v>0</v>
      </c>
      <c r="U348" s="883">
        <f>ROUND('T3 ANSP'!G141,$D$346)</f>
        <v>0</v>
      </c>
      <c r="V348" s="883">
        <f>ROUND('T3 ANSP'!H141,$D$346)</f>
        <v>0</v>
      </c>
      <c r="W348" s="883">
        <f>ROUND('T3 ANSP'!I141,$D$346)</f>
        <v>0</v>
      </c>
      <c r="X348" s="878"/>
    </row>
    <row r="349" spans="1:24">
      <c r="A349" s="876" t="s">
        <v>222</v>
      </c>
      <c r="B349" s="876" t="s">
        <v>223</v>
      </c>
      <c r="C349" s="888" t="s">
        <v>224</v>
      </c>
      <c r="D349" s="863">
        <v>3</v>
      </c>
      <c r="E349" s="871"/>
      <c r="F349" s="871"/>
      <c r="G349" s="871"/>
      <c r="H349" s="871"/>
      <c r="I349" s="871"/>
      <c r="J349" s="162"/>
      <c r="K349" s="162"/>
      <c r="L349" s="162"/>
      <c r="S349" s="879" t="b">
        <f>ROUND('T2 ANSP'!C87,$D$349)=ROUND('T3 ANSP'!E166,$D$349)</f>
        <v>1</v>
      </c>
      <c r="T349" s="879" t="b">
        <f>ROUND('T2 ANSP'!D87,$D$349)=ROUND('T3 ANSP'!F166,$D$349)</f>
        <v>1</v>
      </c>
      <c r="U349" s="879" t="b">
        <f>ROUND('T2 ANSP'!E87,$D$349)=ROUND('T3 ANSP'!G166,$D$349)</f>
        <v>1</v>
      </c>
      <c r="V349" s="879" t="b">
        <f>ROUND('T2 ANSP'!F87,$D$349)=ROUND('T3 ANSP'!H166,$D$349)</f>
        <v>1</v>
      </c>
      <c r="W349" s="879" t="b">
        <f>ROUND('T2 ANSP'!G87,$D$349)=ROUND('T3 ANSP'!I166,$D$349)</f>
        <v>1</v>
      </c>
      <c r="X349" s="878"/>
    </row>
    <row r="350" spans="1:24" outlineLevel="1">
      <c r="A350" s="876"/>
      <c r="B350" s="876"/>
      <c r="C350" s="889" t="s">
        <v>208</v>
      </c>
      <c r="D350" s="890"/>
      <c r="E350" s="871"/>
      <c r="F350" s="871"/>
      <c r="G350" s="871"/>
      <c r="H350" s="871"/>
      <c r="I350" s="871"/>
      <c r="J350" s="162"/>
      <c r="K350" s="162"/>
      <c r="L350" s="162"/>
      <c r="S350" s="883">
        <f>ROUND('T2 ANSP'!C87,$D$349)</f>
        <v>4076.5920000000001</v>
      </c>
      <c r="T350" s="883">
        <f>ROUND('T2 ANSP'!D87,$D$349)</f>
        <v>13834.366</v>
      </c>
      <c r="U350" s="883">
        <f>ROUND('T2 ANSP'!E87,$D$349)</f>
        <v>-40533.934999999998</v>
      </c>
      <c r="V350" s="883">
        <f>ROUND('T2 ANSP'!F87,$D$349)</f>
        <v>-37869.75</v>
      </c>
      <c r="W350" s="883">
        <f>ROUND('T2 ANSP'!G87,$D$349)</f>
        <v>-11116.31</v>
      </c>
      <c r="X350" s="878"/>
    </row>
    <row r="351" spans="1:24" outlineLevel="1">
      <c r="A351" s="876"/>
      <c r="B351" s="876"/>
      <c r="C351" s="889" t="s">
        <v>209</v>
      </c>
      <c r="D351" s="890"/>
      <c r="E351" s="871"/>
      <c r="F351" s="871"/>
      <c r="G351" s="871"/>
      <c r="H351" s="871"/>
      <c r="I351" s="871"/>
      <c r="J351" s="162"/>
      <c r="K351" s="162"/>
      <c r="L351" s="162"/>
      <c r="S351" s="883">
        <f>ROUND('T3 ANSP'!E166,$D$349)</f>
        <v>4076.5920000000001</v>
      </c>
      <c r="T351" s="883">
        <f>ROUND('T3 ANSP'!F166,$D$349)</f>
        <v>13834.366</v>
      </c>
      <c r="U351" s="883">
        <f>ROUND('T3 ANSP'!G166,$D$349)</f>
        <v>-40533.934999999998</v>
      </c>
      <c r="V351" s="883">
        <f>ROUND('T3 ANSP'!H166,$D$349)</f>
        <v>-37869.75</v>
      </c>
      <c r="W351" s="883">
        <f>ROUND('T3 ANSP'!I166,$D$349)</f>
        <v>-11116.31</v>
      </c>
      <c r="X351" s="878"/>
    </row>
    <row r="352" spans="1:24">
      <c r="A352" s="876" t="s">
        <v>225</v>
      </c>
      <c r="B352" s="876" t="s">
        <v>226</v>
      </c>
      <c r="C352" s="888" t="s">
        <v>227</v>
      </c>
      <c r="D352" s="863">
        <v>3</v>
      </c>
      <c r="E352" s="871"/>
      <c r="F352" s="871"/>
      <c r="G352" s="871"/>
      <c r="H352" s="871"/>
      <c r="I352" s="871"/>
      <c r="J352" s="162"/>
      <c r="K352" s="162"/>
      <c r="L352" s="162"/>
      <c r="S352" s="879" t="b">
        <f>ROUND('T2 ANSP'!C88,$D$352)=ROUND('T3 ANSP'!E181+'T3 ANSP'!E196+'T3 ANSP'!E211+'T3 ANSP'!E226,$D$352)</f>
        <v>1</v>
      </c>
      <c r="T352" s="879" t="b">
        <f>ROUND('T2 ANSP'!D88,$D$352)=ROUND('T3 ANSP'!F181+'T3 ANSP'!F196+'T3 ANSP'!F211+'T3 ANSP'!F226,$D$352)</f>
        <v>1</v>
      </c>
      <c r="U352" s="879" t="b">
        <f>ROUND('T2 ANSP'!E88,$D$352)=ROUND('T3 ANSP'!G181+'T3 ANSP'!G196+'T3 ANSP'!G211+'T3 ANSP'!G226,$D$352)</f>
        <v>1</v>
      </c>
      <c r="V352" s="879" t="b">
        <f>ROUND('T2 ANSP'!F88,$D$352)=ROUND('T3 ANSP'!H181+'T3 ANSP'!H196+'T3 ANSP'!H211+'T3 ANSP'!H226,$D$352)</f>
        <v>1</v>
      </c>
      <c r="W352" s="879" t="b">
        <f>ROUND('T2 ANSP'!G88,$D$352)=ROUND('T3 ANSP'!I181+'T3 ANSP'!I196+'T3 ANSP'!I211+'T3 ANSP'!I226,$D$352)</f>
        <v>1</v>
      </c>
      <c r="X352" s="878"/>
    </row>
    <row r="353" spans="1:26" outlineLevel="1">
      <c r="A353" s="876"/>
      <c r="B353" s="876"/>
      <c r="C353" s="889" t="s">
        <v>208</v>
      </c>
      <c r="D353" s="890"/>
      <c r="E353" s="871"/>
      <c r="F353" s="871"/>
      <c r="G353" s="871"/>
      <c r="H353" s="871"/>
      <c r="I353" s="871"/>
      <c r="J353" s="162"/>
      <c r="K353" s="162"/>
      <c r="L353" s="162"/>
      <c r="S353" s="883">
        <f>ROUND('T2 ANSP'!C88,$D$352)</f>
        <v>-7473.076</v>
      </c>
      <c r="T353" s="883">
        <f>ROUND('T2 ANSP'!D88,$D$352)</f>
        <v>-13037.437</v>
      </c>
      <c r="U353" s="883">
        <f>ROUND('T2 ANSP'!E88,$D$352)</f>
        <v>-31197.739000000001</v>
      </c>
      <c r="V353" s="883">
        <f>ROUND('T2 ANSP'!F88,$D$352)</f>
        <v>-5462.5370000000003</v>
      </c>
      <c r="W353" s="883">
        <f>ROUND('T2 ANSP'!G88,$D$352)</f>
        <v>-3040.8229999999999</v>
      </c>
      <c r="X353" s="878"/>
    </row>
    <row r="354" spans="1:26" outlineLevel="1">
      <c r="A354" s="876"/>
      <c r="B354" s="876"/>
      <c r="C354" s="889" t="s">
        <v>209</v>
      </c>
      <c r="D354" s="890"/>
      <c r="E354" s="871"/>
      <c r="F354" s="871"/>
      <c r="G354" s="871"/>
      <c r="H354" s="871"/>
      <c r="I354" s="871"/>
      <c r="J354" s="162"/>
      <c r="K354" s="162"/>
      <c r="L354" s="162"/>
      <c r="S354" s="883">
        <f>ROUND('T3 ANSP'!E181+'T3 ANSP'!E196+'T3 ANSP'!E211+'T3 ANSP'!E226,$D$352)</f>
        <v>-7473.076</v>
      </c>
      <c r="T354" s="883">
        <f>ROUND('T3 ANSP'!F181+'T3 ANSP'!F196+'T3 ANSP'!F211+'T3 ANSP'!F226,$D$352)</f>
        <v>-13037.437</v>
      </c>
      <c r="U354" s="883">
        <f>ROUND('T3 ANSP'!G181+'T3 ANSP'!G196+'T3 ANSP'!G211+'T3 ANSP'!G226,$D$352)</f>
        <v>-31197.739000000001</v>
      </c>
      <c r="V354" s="883">
        <f>ROUND('T3 ANSP'!H181+'T3 ANSP'!H196+'T3 ANSP'!H211+'T3 ANSP'!H226,$D$352)</f>
        <v>-5462.5370000000003</v>
      </c>
      <c r="W354" s="883">
        <f>ROUND('T3 ANSP'!I181+'T3 ANSP'!I196+'T3 ANSP'!I211+'T3 ANSP'!I226,$D$352)</f>
        <v>-3040.8229999999999</v>
      </c>
      <c r="X354" s="878"/>
    </row>
    <row r="355" spans="1:26">
      <c r="A355" s="876" t="s">
        <v>228</v>
      </c>
      <c r="B355" s="876" t="s">
        <v>229</v>
      </c>
      <c r="C355" s="888" t="s">
        <v>230</v>
      </c>
      <c r="D355" s="863">
        <v>3</v>
      </c>
      <c r="E355" s="871"/>
      <c r="F355" s="871"/>
      <c r="G355" s="871"/>
      <c r="H355" s="871"/>
      <c r="I355" s="871"/>
      <c r="J355" s="162"/>
      <c r="K355" s="162"/>
      <c r="L355" s="162"/>
      <c r="S355" s="879" t="b">
        <f>ROUND('T2 ANSP'!C89,$D$355)=ROUND('T3 ANSP'!E248,$D$355)</f>
        <v>1</v>
      </c>
      <c r="T355" s="879" t="b">
        <f>ROUND('T2 ANSP'!D89,$D$355)=ROUND('T3 ANSP'!F248,$D$355)</f>
        <v>1</v>
      </c>
      <c r="U355" s="879" t="b">
        <f>ROUND('T2 ANSP'!E89,$D$355)=ROUND('T3 ANSP'!G248,$D$355)</f>
        <v>1</v>
      </c>
      <c r="V355" s="879" t="b">
        <f>ROUND('T2 ANSP'!F89,$D$355)=ROUND('T3 ANSP'!H248,$D$355)</f>
        <v>1</v>
      </c>
      <c r="W355" s="879" t="b">
        <f>ROUND('T2 ANSP'!G89,$D$355)=ROUND('T3 ANSP'!I248,$D$355)</f>
        <v>1</v>
      </c>
      <c r="X355" s="878"/>
    </row>
    <row r="356" spans="1:26" outlineLevel="1">
      <c r="A356" s="876"/>
      <c r="B356" s="876"/>
      <c r="C356" s="889" t="s">
        <v>208</v>
      </c>
      <c r="D356" s="890"/>
      <c r="E356" s="871"/>
      <c r="F356" s="871"/>
      <c r="G356" s="871"/>
      <c r="H356" s="871"/>
      <c r="I356" s="871"/>
      <c r="J356" s="162"/>
      <c r="K356" s="162"/>
      <c r="L356" s="162"/>
      <c r="S356" s="883">
        <f>ROUND('T2 ANSP'!C89,$D$355)</f>
        <v>0</v>
      </c>
      <c r="T356" s="883">
        <f>ROUND('T2 ANSP'!D89,$D$355)</f>
        <v>0</v>
      </c>
      <c r="U356" s="883">
        <f>ROUND('T2 ANSP'!E89,$D$355)</f>
        <v>0</v>
      </c>
      <c r="V356" s="883">
        <f>ROUND('T2 ANSP'!F89,$D$355)</f>
        <v>0</v>
      </c>
      <c r="W356" s="883">
        <f>ROUND('T2 ANSP'!G89,$D$355)</f>
        <v>0</v>
      </c>
      <c r="X356" s="878"/>
    </row>
    <row r="357" spans="1:26" outlineLevel="1">
      <c r="A357" s="876"/>
      <c r="B357" s="876"/>
      <c r="C357" s="889" t="s">
        <v>209</v>
      </c>
      <c r="D357" s="890"/>
      <c r="E357" s="871"/>
      <c r="F357" s="871"/>
      <c r="G357" s="871"/>
      <c r="H357" s="871"/>
      <c r="I357" s="871"/>
      <c r="J357" s="162"/>
      <c r="K357" s="162"/>
      <c r="L357" s="162"/>
      <c r="S357" s="883">
        <f>ROUND('T3 ANSP'!E248,$D$355)</f>
        <v>0</v>
      </c>
      <c r="T357" s="883">
        <f>ROUND('T3 ANSP'!F248,$D$355)</f>
        <v>0</v>
      </c>
      <c r="U357" s="883">
        <f>ROUND('T3 ANSP'!G248,$D$355)</f>
        <v>0</v>
      </c>
      <c r="V357" s="883">
        <f>ROUND('T3 ANSP'!H248,$D$355)</f>
        <v>0</v>
      </c>
      <c r="W357" s="883">
        <f>ROUND('T3 ANSP'!I248,$D$355)</f>
        <v>0</v>
      </c>
      <c r="X357" s="878"/>
    </row>
    <row r="358" spans="1:26">
      <c r="A358" s="876" t="s">
        <v>231</v>
      </c>
      <c r="B358" s="876" t="s">
        <v>232</v>
      </c>
      <c r="C358" s="888" t="s">
        <v>233</v>
      </c>
      <c r="D358" s="863">
        <v>3</v>
      </c>
      <c r="E358" s="871"/>
      <c r="F358" s="871"/>
      <c r="G358" s="871"/>
      <c r="H358" s="871"/>
      <c r="I358" s="871"/>
      <c r="J358" s="162"/>
      <c r="K358" s="162"/>
      <c r="L358" s="162"/>
      <c r="S358" s="879" t="b">
        <f>ROUND('T2 ANSP'!C90,$D$358)=ROUND('T3 ANSP'!E237,$D$358)</f>
        <v>1</v>
      </c>
      <c r="T358" s="879" t="b">
        <f>ROUND('T2 ANSP'!D90,$D$358)=ROUND('T3 ANSP'!F237,$D$358)</f>
        <v>1</v>
      </c>
      <c r="U358" s="879" t="b">
        <f>ROUND('T2 ANSP'!E90,$D$358)=ROUND('T3 ANSP'!G237,$D$358)</f>
        <v>1</v>
      </c>
      <c r="V358" s="879" t="b">
        <f>ROUND('T2 ANSP'!F90,$D$358)=ROUND('T3 ANSP'!H237,$D$358)</f>
        <v>1</v>
      </c>
      <c r="W358" s="879" t="b">
        <f>ROUND('T2 ANSP'!G90,$D$358)=ROUND('T3 ANSP'!I237,$D$358)</f>
        <v>1</v>
      </c>
      <c r="X358" s="878"/>
    </row>
    <row r="359" spans="1:26" outlineLevel="1">
      <c r="A359" s="876"/>
      <c r="B359" s="876"/>
      <c r="C359" s="889" t="s">
        <v>208</v>
      </c>
      <c r="D359" s="890"/>
      <c r="E359" s="871"/>
      <c r="F359" s="871"/>
      <c r="G359" s="871"/>
      <c r="H359" s="871"/>
      <c r="I359" s="871"/>
      <c r="J359" s="162"/>
      <c r="K359" s="162"/>
      <c r="L359" s="162"/>
      <c r="S359" s="883">
        <f>ROUND('T2 ANSP'!C90,$D$358)</f>
        <v>0</v>
      </c>
      <c r="T359" s="883">
        <f>ROUND('T2 ANSP'!D90,$D$358)</f>
        <v>0</v>
      </c>
      <c r="U359" s="883">
        <f>ROUND('T2 ANSP'!E90,$D$358)</f>
        <v>4635.6629999999996</v>
      </c>
      <c r="V359" s="883">
        <f>ROUND('T2 ANSP'!F90,$D$358)</f>
        <v>0</v>
      </c>
      <c r="W359" s="883">
        <f>ROUND('T2 ANSP'!G90,$D$358)</f>
        <v>0</v>
      </c>
      <c r="X359" s="878"/>
    </row>
    <row r="360" spans="1:26" outlineLevel="1">
      <c r="A360" s="876"/>
      <c r="B360" s="876"/>
      <c r="C360" s="889" t="s">
        <v>209</v>
      </c>
      <c r="D360" s="890"/>
      <c r="E360" s="871"/>
      <c r="F360" s="871"/>
      <c r="G360" s="871"/>
      <c r="H360" s="871"/>
      <c r="I360" s="871"/>
      <c r="J360" s="162"/>
      <c r="K360" s="162"/>
      <c r="L360" s="162"/>
      <c r="S360" s="883">
        <f>ROUND('T3 ANSP'!E237,$D$358)</f>
        <v>0</v>
      </c>
      <c r="T360" s="883">
        <f>ROUND('T3 ANSP'!F237,$D$358)</f>
        <v>0</v>
      </c>
      <c r="U360" s="883">
        <f>ROUND('T3 ANSP'!G237,$D$358)</f>
        <v>4635.6629999999996</v>
      </c>
      <c r="V360" s="883">
        <f>ROUND('T3 ANSP'!H237,$D$358)</f>
        <v>0</v>
      </c>
      <c r="W360" s="883">
        <f>ROUND('T3 ANSP'!I237,$D$358)</f>
        <v>0</v>
      </c>
      <c r="X360" s="878"/>
    </row>
    <row r="361" spans="1:26" s="891" customFormat="1">
      <c r="A361" s="875" t="s">
        <v>234</v>
      </c>
      <c r="B361" s="876" t="s">
        <v>235</v>
      </c>
      <c r="C361" s="888" t="s">
        <v>236</v>
      </c>
      <c r="D361" s="863">
        <v>3</v>
      </c>
      <c r="E361" s="871"/>
      <c r="F361" s="871"/>
      <c r="G361" s="871"/>
      <c r="H361" s="871"/>
      <c r="I361" s="871"/>
      <c r="R361" s="162"/>
      <c r="S361" s="879" t="b">
        <f>ROUND(SUM('T2 ANSP'!C82:C90),$D$361)=ROUND('T3 ANSP'!E251,$D$361)</f>
        <v>1</v>
      </c>
      <c r="T361" s="879" t="b">
        <f>ROUND(SUM('T2 ANSP'!D82:D90),$D$361)=ROUND('T3 ANSP'!F251,$D$361)</f>
        <v>1</v>
      </c>
      <c r="U361" s="879" t="b">
        <f>ROUND(SUM('T2 ANSP'!E82:E90),$D$361)=ROUND('T3 ANSP'!G251,$D$361)</f>
        <v>1</v>
      </c>
      <c r="V361" s="879" t="b">
        <f>ROUND(SUM('T2 ANSP'!F82:F90),$D$361)=ROUND('T3 ANSP'!H251,$D$361)</f>
        <v>1</v>
      </c>
      <c r="W361" s="879" t="b">
        <f>ROUND(SUM('T2 ANSP'!G82:G90),$D$361)=ROUND('T3 ANSP'!I251,$D$361)</f>
        <v>0</v>
      </c>
      <c r="X361" s="878"/>
      <c r="Y361" s="871"/>
      <c r="Z361" s="871"/>
    </row>
    <row r="362" spans="1:26" outlineLevel="1">
      <c r="A362" s="876"/>
      <c r="B362" s="876"/>
      <c r="C362" s="889" t="s">
        <v>237</v>
      </c>
      <c r="D362" s="890"/>
      <c r="E362" s="871"/>
      <c r="F362" s="871"/>
      <c r="G362" s="871"/>
      <c r="H362" s="871"/>
      <c r="I362" s="871"/>
      <c r="J362" s="162"/>
      <c r="K362" s="162"/>
      <c r="L362" s="162"/>
      <c r="S362" s="883">
        <f>ROUND(SUM('T2 ANSP'!C82:C90),$D$361)</f>
        <v>-67914.540999999997</v>
      </c>
      <c r="T362" s="883">
        <f>ROUND(SUM('T2 ANSP'!D82:D90),$D$361)</f>
        <v>-67043.205000000002</v>
      </c>
      <c r="U362" s="883">
        <f>ROUND(SUM('T2 ANSP'!E82:E90),$D$361)</f>
        <v>-66578.366999999998</v>
      </c>
      <c r="V362" s="883">
        <f>ROUND(SUM('T2 ANSP'!F82:F90),$D$361)</f>
        <v>-13221.375</v>
      </c>
      <c r="W362" s="883">
        <f>ROUND(SUM('T2 ANSP'!G82:G90),$D$361)</f>
        <v>55027.993999999999</v>
      </c>
      <c r="X362" s="878"/>
      <c r="Y362" s="871"/>
      <c r="Z362" s="871"/>
    </row>
    <row r="363" spans="1:26" outlineLevel="1">
      <c r="A363" s="876"/>
      <c r="B363" s="876"/>
      <c r="C363" s="889" t="s">
        <v>238</v>
      </c>
      <c r="D363" s="890"/>
      <c r="E363" s="871"/>
      <c r="F363" s="871"/>
      <c r="G363" s="871"/>
      <c r="H363" s="871"/>
      <c r="I363" s="871"/>
      <c r="J363" s="162"/>
      <c r="K363" s="162"/>
      <c r="L363" s="162"/>
      <c r="S363" s="883">
        <f>ROUND('T3 ANSP'!E251,$D$361)</f>
        <v>-67914.540999999997</v>
      </c>
      <c r="T363" s="883">
        <f>ROUND('T3 ANSP'!F251,$D$361)</f>
        <v>-67043.205000000002</v>
      </c>
      <c r="U363" s="883">
        <f>ROUND('T3 ANSP'!G251,$D$361)</f>
        <v>-66578.366999999998</v>
      </c>
      <c r="V363" s="883">
        <f>ROUND('T3 ANSP'!H251,$D$361)</f>
        <v>-13221.375</v>
      </c>
      <c r="W363" s="883">
        <f>ROUND('T3 ANSP'!I251,$D$361)</f>
        <v>55903.322999999997</v>
      </c>
      <c r="X363" s="878"/>
      <c r="Y363" s="871"/>
      <c r="Z363" s="871"/>
    </row>
    <row r="364" spans="1:26" s="878" customFormat="1">
      <c r="A364" s="875" t="s">
        <v>239</v>
      </c>
      <c r="B364" s="876" t="s">
        <v>240</v>
      </c>
      <c r="C364" s="877" t="s">
        <v>241</v>
      </c>
      <c r="D364" s="863">
        <v>3</v>
      </c>
      <c r="E364" s="871"/>
      <c r="F364" s="871"/>
      <c r="G364" s="871"/>
      <c r="H364" s="871"/>
      <c r="I364" s="871"/>
      <c r="R364" s="162"/>
      <c r="S364" s="879" t="b">
        <f>ROUND('T2 ANSP'!C91,$D$364)=ROUND(SUM('T2 ANSP'!C81:C90),$D$364)</f>
        <v>1</v>
      </c>
      <c r="T364" s="879" t="b">
        <f>ROUND('T2 ANSP'!D91,$D$364)=ROUND(SUM('T2 ANSP'!D81:D90),$D$364)</f>
        <v>1</v>
      </c>
      <c r="U364" s="879" t="b">
        <f>ROUND('T2 ANSP'!E91,$D$364)=ROUND(SUM('T2 ANSP'!E81:E90),$D$364)</f>
        <v>1</v>
      </c>
      <c r="V364" s="879" t="b">
        <f>ROUND('T2 ANSP'!F91,$D$364)=ROUND(SUM('T2 ANSP'!F81:F90),$D$364)</f>
        <v>1</v>
      </c>
      <c r="W364" s="879" t="b">
        <f>ROUND('T2 ANSP'!G91,$D$364)=ROUND(SUM('T2 ANSP'!G81:G90),$D$364)</f>
        <v>1</v>
      </c>
    </row>
    <row r="365" spans="1:26" s="882" customFormat="1" outlineLevel="1">
      <c r="A365" s="875"/>
      <c r="B365" s="876"/>
      <c r="C365" s="880" t="s">
        <v>242</v>
      </c>
      <c r="D365" s="881"/>
      <c r="E365" s="871"/>
      <c r="F365" s="871"/>
      <c r="G365" s="871"/>
      <c r="H365" s="871"/>
      <c r="I365" s="871"/>
      <c r="R365" s="162"/>
      <c r="S365" s="883">
        <f>ROUND('T2 ANSP'!C91,$D$364)</f>
        <v>622040.83700000006</v>
      </c>
      <c r="T365" s="883">
        <f>ROUND('T2 ANSP'!D91,$D$364)</f>
        <v>607227.62800000003</v>
      </c>
      <c r="U365" s="883">
        <f>ROUND('T2 ANSP'!E91,$D$364)</f>
        <v>622161.05500000005</v>
      </c>
      <c r="V365" s="883">
        <f>ROUND('T2 ANSP'!F91,$D$364)</f>
        <v>745690.20200000005</v>
      </c>
      <c r="W365" s="883">
        <f>ROUND('T2 ANSP'!G91,$D$364)</f>
        <v>825046.79399999999</v>
      </c>
    </row>
    <row r="366" spans="1:26" s="882" customFormat="1" outlineLevel="1">
      <c r="A366" s="875"/>
      <c r="B366" s="876"/>
      <c r="C366" s="865" t="s">
        <v>243</v>
      </c>
      <c r="D366" s="881"/>
      <c r="E366" s="871"/>
      <c r="F366" s="871"/>
      <c r="G366" s="871"/>
      <c r="H366" s="871"/>
      <c r="I366" s="871"/>
      <c r="R366" s="162"/>
      <c r="S366" s="883">
        <f>ROUND(SUM('T2 ANSP'!C81:C90),$D$364)</f>
        <v>622040.83700000006</v>
      </c>
      <c r="T366" s="883">
        <f>ROUND(SUM('T2 ANSP'!D81:D90),$D$364)</f>
        <v>607227.62800000003</v>
      </c>
      <c r="U366" s="883">
        <f>ROUND(SUM('T2 ANSP'!E81:E90),$D$364)</f>
        <v>622161.05500000005</v>
      </c>
      <c r="V366" s="883">
        <f>ROUND(SUM('T2 ANSP'!F81:F90),$D$364)</f>
        <v>745690.20200000005</v>
      </c>
      <c r="W366" s="883">
        <f>ROUND(SUM('T2 ANSP'!G81:G90),$D$364)</f>
        <v>825046.79399999999</v>
      </c>
    </row>
    <row r="367" spans="1:26" s="878" customFormat="1">
      <c r="A367" s="875" t="s">
        <v>244</v>
      </c>
      <c r="B367" s="876" t="s">
        <v>245</v>
      </c>
      <c r="C367" s="877" t="s">
        <v>246</v>
      </c>
      <c r="D367" s="863">
        <v>3</v>
      </c>
      <c r="E367" s="871"/>
      <c r="F367" s="871"/>
      <c r="G367" s="871"/>
      <c r="H367" s="871"/>
      <c r="I367" s="871"/>
      <c r="R367" s="162"/>
      <c r="S367" s="879" t="b">
        <f>ROUND('T2 ANSP'!C92,$D$367)=ROUND('T2 ANSP'!C38,$D$367)</f>
        <v>1</v>
      </c>
      <c r="T367" s="879" t="b">
        <f>ROUND('T2 ANSP'!D92,$D$367)=ROUND('T2 ANSP'!D38,$D$367)</f>
        <v>1</v>
      </c>
      <c r="U367" s="879" t="b">
        <f>ROUND('T2 ANSP'!E92,$D$367)=ROUND('T2 ANSP'!E38,$D$367)</f>
        <v>1</v>
      </c>
      <c r="V367" s="879" t="b">
        <f>ROUND('T2 ANSP'!F92,$D$367)=ROUND('T2 ANSP'!F38,$D$367)</f>
        <v>1</v>
      </c>
      <c r="W367" s="879" t="b">
        <f>ROUND('T2 ANSP'!G92,$D$367)=ROUND('T2 ANSP'!G38,$D$367)</f>
        <v>1</v>
      </c>
    </row>
    <row r="368" spans="1:26" s="882" customFormat="1" outlineLevel="1">
      <c r="A368" s="875"/>
      <c r="B368" s="876"/>
      <c r="C368" s="880" t="s">
        <v>247</v>
      </c>
      <c r="D368" s="881"/>
      <c r="E368" s="871"/>
      <c r="F368" s="871"/>
      <c r="G368" s="871"/>
      <c r="H368" s="871"/>
      <c r="I368" s="871"/>
      <c r="R368" s="162"/>
      <c r="S368" s="883">
        <f>ROUND('T2 ANSP'!C92,$D$367)</f>
        <v>12647.945</v>
      </c>
      <c r="T368" s="883">
        <f>ROUND('T2 ANSP'!D92,$D$367)</f>
        <v>12891</v>
      </c>
      <c r="U368" s="883">
        <f>ROUND('T2 ANSP'!E92,$D$367)</f>
        <v>13183</v>
      </c>
      <c r="V368" s="883">
        <f>ROUND('T2 ANSP'!F92,$D$367)</f>
        <v>11956</v>
      </c>
      <c r="W368" s="883">
        <f>ROUND('T2 ANSP'!G92,$D$367)</f>
        <v>12930</v>
      </c>
    </row>
    <row r="369" spans="1:23" s="882" customFormat="1" outlineLevel="1">
      <c r="A369" s="875"/>
      <c r="B369" s="876"/>
      <c r="C369" s="880" t="s">
        <v>248</v>
      </c>
      <c r="D369" s="881"/>
      <c r="E369" s="871"/>
      <c r="F369" s="871"/>
      <c r="G369" s="871"/>
      <c r="H369" s="871"/>
      <c r="I369" s="871"/>
      <c r="R369" s="162"/>
      <c r="S369" s="883">
        <f>ROUND('T2 ANSP'!C38,$D$367)</f>
        <v>12647.945</v>
      </c>
      <c r="T369" s="883">
        <f>ROUND('T2 ANSP'!D38,$D$367)</f>
        <v>12891</v>
      </c>
      <c r="U369" s="883">
        <f>ROUND('T2 ANSP'!E38,$D$367)</f>
        <v>13183</v>
      </c>
      <c r="V369" s="883">
        <f>ROUND('T2 ANSP'!F38,$D$367)</f>
        <v>11956</v>
      </c>
      <c r="W369" s="883">
        <f>ROUND('T2 ANSP'!G38,$D$367)</f>
        <v>12930</v>
      </c>
    </row>
    <row r="370" spans="1:23" s="878" customFormat="1">
      <c r="A370" s="875" t="s">
        <v>249</v>
      </c>
      <c r="B370" s="876" t="s">
        <v>250</v>
      </c>
      <c r="C370" s="877" t="s">
        <v>251</v>
      </c>
      <c r="D370" s="863">
        <v>2</v>
      </c>
      <c r="E370" s="871"/>
      <c r="F370" s="871"/>
      <c r="G370" s="871"/>
      <c r="H370" s="871"/>
      <c r="I370" s="871"/>
      <c r="R370" s="162"/>
      <c r="S370" s="892" t="b">
        <f>ROUND('T2 ANSP'!C93,$D$370)=ROUND('T2 ANSP'!C91/'T2 ANSP'!C92,$D$370)</f>
        <v>1</v>
      </c>
      <c r="T370" s="892" t="b">
        <f>ROUND('T2 ANSP'!D93,$D$370)=ROUND('T2 ANSP'!D91/'T2 ANSP'!D92,$D$370)</f>
        <v>1</v>
      </c>
      <c r="U370" s="892" t="b">
        <f>ROUND('T2 ANSP'!E93,$D$370)=ROUND('T2 ANSP'!E91/'T2 ANSP'!E92,$D$370)</f>
        <v>1</v>
      </c>
      <c r="V370" s="892" t="b">
        <f>ROUND('T2 ANSP'!F93,$D$370)=ROUND('T2 ANSP'!F91/'T2 ANSP'!F92,$D$370)</f>
        <v>1</v>
      </c>
      <c r="W370" s="892" t="b">
        <f>ROUND('T2 ANSP'!G93,$D$370)=ROUND('T2 ANSP'!G91/'T2 ANSP'!G92,$D$370)</f>
        <v>1</v>
      </c>
    </row>
    <row r="371" spans="1:23" s="882" customFormat="1" outlineLevel="1">
      <c r="A371" s="875"/>
      <c r="B371" s="876"/>
      <c r="C371" s="880" t="s">
        <v>252</v>
      </c>
      <c r="D371" s="881"/>
      <c r="E371" s="871"/>
      <c r="F371" s="871"/>
      <c r="G371" s="871"/>
      <c r="H371" s="871"/>
      <c r="I371" s="871"/>
      <c r="R371" s="162"/>
      <c r="S371" s="884">
        <f>ROUND('T2 ANSP'!C93,$D$370)</f>
        <v>49.18</v>
      </c>
      <c r="T371" s="884">
        <f>ROUND('T2 ANSP'!D93,$D$370)</f>
        <v>47.1</v>
      </c>
      <c r="U371" s="884">
        <f>ROUND('T2 ANSP'!E93,$D$370)</f>
        <v>47.19</v>
      </c>
      <c r="V371" s="884">
        <f>ROUND('T2 ANSP'!F93,$D$370)</f>
        <v>62.37</v>
      </c>
      <c r="W371" s="884">
        <f>ROUND('T2 ANSP'!G93,$D$370)</f>
        <v>63.81</v>
      </c>
    </row>
    <row r="372" spans="1:23" s="882" customFormat="1" outlineLevel="1">
      <c r="A372" s="875"/>
      <c r="B372" s="876"/>
      <c r="C372" s="865" t="s">
        <v>253</v>
      </c>
      <c r="D372" s="881"/>
      <c r="E372" s="871"/>
      <c r="F372" s="871"/>
      <c r="G372" s="871"/>
      <c r="H372" s="871"/>
      <c r="I372" s="871"/>
      <c r="R372" s="162"/>
      <c r="S372" s="884">
        <f>ROUND('T2 ANSP'!C91/'T2 ANSP'!C92,$D$370)</f>
        <v>49.18</v>
      </c>
      <c r="T372" s="884">
        <f>ROUND('T2 ANSP'!D91/'T2 ANSP'!D92,$D$370)</f>
        <v>47.1</v>
      </c>
      <c r="U372" s="884">
        <f>ROUND('T2 ANSP'!E91/'T2 ANSP'!E92,$D$370)</f>
        <v>47.19</v>
      </c>
      <c r="V372" s="884">
        <f>ROUND('T2 ANSP'!F91/'T2 ANSP'!F92,$D$370)</f>
        <v>62.37</v>
      </c>
      <c r="W372" s="884">
        <f>ROUND('T2 ANSP'!G91/'T2 ANSP'!G92,$D$370)</f>
        <v>63.81</v>
      </c>
    </row>
    <row r="373" spans="1:23" s="878" customFormat="1">
      <c r="A373" s="875" t="s">
        <v>254</v>
      </c>
      <c r="B373" s="876" t="s">
        <v>255</v>
      </c>
      <c r="C373" s="877" t="s">
        <v>256</v>
      </c>
      <c r="D373" s="863">
        <v>2</v>
      </c>
      <c r="E373" s="871"/>
      <c r="F373" s="871"/>
      <c r="G373" s="871"/>
      <c r="H373" s="871"/>
      <c r="I373" s="871"/>
      <c r="R373" s="162"/>
      <c r="S373" s="892" t="b">
        <f>ROUND('T2 ANSP'!C96,$D$373)=ROUND('T2 ANSP'!C93-'T2 ANSP'!C94,$D$373)</f>
        <v>1</v>
      </c>
      <c r="T373" s="892" t="b">
        <f>ROUND('T2 ANSP'!D96,$D$373)=ROUND('T2 ANSP'!D93-'T2 ANSP'!D94,$D$373)</f>
        <v>1</v>
      </c>
      <c r="U373" s="892" t="b">
        <f>ROUND('T2 ANSP'!E96,$D$373)=ROUND('T2 ANSP'!E93-'T2 ANSP'!E94,$D$373)</f>
        <v>1</v>
      </c>
      <c r="V373" s="892" t="b">
        <f>ROUND('T2 ANSP'!F96,$D$373)=ROUND('T2 ANSP'!F93-'T2 ANSP'!F94,$D$373)</f>
        <v>1</v>
      </c>
      <c r="W373" s="892" t="b">
        <f>ROUND('T2 ANSP'!G96,$D$373)=ROUND('T2 ANSP'!G93-'T2 ANSP'!G94,$D$373)</f>
        <v>1</v>
      </c>
    </row>
    <row r="374" spans="1:23" s="882" customFormat="1" outlineLevel="1">
      <c r="A374" s="875"/>
      <c r="B374" s="876"/>
      <c r="C374" s="880" t="s">
        <v>257</v>
      </c>
      <c r="D374" s="881"/>
      <c r="E374" s="871"/>
      <c r="F374" s="871"/>
      <c r="G374" s="871"/>
      <c r="H374" s="871"/>
      <c r="I374" s="871"/>
      <c r="R374" s="162"/>
      <c r="S374" s="884">
        <f>ROUND('T2 ANSP'!C96,$D$373)</f>
        <v>49.18</v>
      </c>
      <c r="T374" s="884">
        <f>ROUND('T2 ANSP'!D96,$D$373)</f>
        <v>47.1</v>
      </c>
      <c r="U374" s="884">
        <f>ROUND('T2 ANSP'!E96,$D$373)</f>
        <v>47.19</v>
      </c>
      <c r="V374" s="884">
        <f>ROUND('T2 ANSP'!F96,$D$373)</f>
        <v>62.37</v>
      </c>
      <c r="W374" s="884">
        <f>ROUND('T2 ANSP'!G96,$D$373)</f>
        <v>63.81</v>
      </c>
    </row>
    <row r="375" spans="1:23" s="882" customFormat="1" outlineLevel="1">
      <c r="A375" s="875"/>
      <c r="B375" s="876"/>
      <c r="C375" s="880" t="s">
        <v>258</v>
      </c>
      <c r="D375" s="881"/>
      <c r="E375" s="871"/>
      <c r="F375" s="871"/>
      <c r="G375" s="871"/>
      <c r="H375" s="871"/>
      <c r="I375" s="871"/>
      <c r="R375" s="162"/>
      <c r="S375" s="884">
        <f>ROUND('T2 ANSP'!C93-'T2 ANSP'!C94,$D$373)</f>
        <v>49.18</v>
      </c>
      <c r="T375" s="884">
        <f>ROUND('T2 ANSP'!D93-'T2 ANSP'!D94,$D$373)</f>
        <v>47.1</v>
      </c>
      <c r="U375" s="884">
        <f>ROUND('T2 ANSP'!E93-'T2 ANSP'!E94,$D$373)</f>
        <v>47.19</v>
      </c>
      <c r="V375" s="884">
        <f>ROUND('T2 ANSP'!F93-'T2 ANSP'!F94,$D$373)</f>
        <v>62.37</v>
      </c>
      <c r="W375" s="884">
        <f>ROUND('T2 ANSP'!G93-'T2 ANSP'!G94,$D$373)</f>
        <v>63.81</v>
      </c>
    </row>
    <row r="376" spans="1:23" s="874" customFormat="1" ht="18">
      <c r="A376" s="172" t="s">
        <v>13</v>
      </c>
      <c r="B376" s="173" t="s">
        <v>14</v>
      </c>
      <c r="C376" s="174" t="s">
        <v>274</v>
      </c>
      <c r="D376" s="872"/>
      <c r="E376" s="873"/>
      <c r="F376" s="873"/>
      <c r="G376" s="873"/>
      <c r="H376" s="873"/>
      <c r="I376" s="873"/>
      <c r="J376" s="873"/>
      <c r="K376" s="873"/>
      <c r="L376" s="873"/>
      <c r="M376" s="873"/>
      <c r="N376" s="873"/>
      <c r="O376" s="873"/>
      <c r="P376" s="873"/>
      <c r="Q376" s="873"/>
      <c r="R376" s="162"/>
      <c r="S376" s="873"/>
      <c r="T376" s="873"/>
      <c r="U376" s="873"/>
      <c r="V376" s="873"/>
      <c r="W376" s="873"/>
    </row>
    <row r="377" spans="1:23" s="878" customFormat="1">
      <c r="A377" s="875" t="s">
        <v>129</v>
      </c>
      <c r="B377" s="876" t="s">
        <v>54</v>
      </c>
      <c r="C377" s="877" t="s">
        <v>130</v>
      </c>
      <c r="D377" s="863">
        <v>3</v>
      </c>
      <c r="E377" s="871"/>
      <c r="F377" s="871"/>
      <c r="G377" s="871"/>
      <c r="H377" s="871"/>
      <c r="I377" s="871"/>
      <c r="R377" s="162"/>
      <c r="S377" s="879" t="b">
        <f>ROUND('T2 MET'!C12,$D$377)=ROUND('T1 MET'!K61,$D$377)</f>
        <v>1</v>
      </c>
      <c r="T377" s="879" t="b">
        <f>ROUND('T2 MET'!D12,$D$377)=ROUND('T1 MET'!L61,$D$377)</f>
        <v>1</v>
      </c>
      <c r="U377" s="879" t="b">
        <f>ROUND('T2 MET'!E12,$D$377)=ROUND('T1 MET'!M61,$D$377)</f>
        <v>1</v>
      </c>
      <c r="V377" s="879" t="b">
        <f>ROUND('T2 MET'!F12,$D$377)=ROUND('T1 MET'!N61,$D$377)</f>
        <v>1</v>
      </c>
      <c r="W377" s="879" t="b">
        <f>ROUND('T2 MET'!G12,$D$377)=ROUND('T1 MET'!O61,$D$377)</f>
        <v>1</v>
      </c>
    </row>
    <row r="378" spans="1:23" s="882" customFormat="1" outlineLevel="1">
      <c r="A378" s="875"/>
      <c r="B378" s="876"/>
      <c r="C378" s="880" t="s">
        <v>131</v>
      </c>
      <c r="D378" s="881"/>
      <c r="E378" s="871"/>
      <c r="F378" s="871"/>
      <c r="G378" s="871"/>
      <c r="H378" s="871"/>
      <c r="I378" s="871"/>
      <c r="R378" s="162"/>
      <c r="S378" s="883">
        <f>ROUND('T2 MET'!C12,$D$377)</f>
        <v>30937.955000000002</v>
      </c>
      <c r="T378" s="883">
        <f>ROUND('T2 MET'!D12,$D$377)</f>
        <v>30193.923999999999</v>
      </c>
      <c r="U378" s="883">
        <f>ROUND('T2 MET'!E12,$D$377)</f>
        <v>31631.805</v>
      </c>
      <c r="V378" s="883">
        <f>ROUND('T2 MET'!F12,$D$377)</f>
        <v>34979.993999999999</v>
      </c>
      <c r="W378" s="883">
        <f>ROUND('T2 MET'!G12,$D$377)</f>
        <v>39154.635000000002</v>
      </c>
    </row>
    <row r="379" spans="1:23" s="882" customFormat="1" outlineLevel="1">
      <c r="A379" s="875"/>
      <c r="B379" s="876"/>
      <c r="C379" s="880" t="s">
        <v>132</v>
      </c>
      <c r="D379" s="881"/>
      <c r="E379" s="871"/>
      <c r="F379" s="871"/>
      <c r="G379" s="871"/>
      <c r="H379" s="871"/>
      <c r="I379" s="871"/>
      <c r="R379" s="162"/>
      <c r="S379" s="883">
        <f>ROUND('T1 MET'!K61,$D$377)</f>
        <v>30937.955000000002</v>
      </c>
      <c r="T379" s="883">
        <f>ROUND('T1 MET'!L61,$D$377)</f>
        <v>30193.923999999999</v>
      </c>
      <c r="U379" s="883">
        <f>ROUND('T1 MET'!M61,$D$377)</f>
        <v>31631.805</v>
      </c>
      <c r="V379" s="883">
        <f>ROUND('T1 MET'!N61,$D$377)</f>
        <v>34979.993999999999</v>
      </c>
      <c r="W379" s="883">
        <f>ROUND('T1 MET'!O61,$D$377)</f>
        <v>39154.635000000002</v>
      </c>
    </row>
    <row r="380" spans="1:23" s="878" customFormat="1">
      <c r="A380" s="875" t="s">
        <v>133</v>
      </c>
      <c r="B380" s="876" t="s">
        <v>52</v>
      </c>
      <c r="C380" s="877" t="s">
        <v>134</v>
      </c>
      <c r="D380" s="863">
        <v>3</v>
      </c>
      <c r="E380" s="871"/>
      <c r="F380" s="871"/>
      <c r="G380" s="871"/>
      <c r="H380" s="871"/>
      <c r="I380" s="871"/>
      <c r="R380" s="162"/>
      <c r="S380" s="879" t="b">
        <f>ROUND('T2 MET'!C15,$D$380)=ROUND('T1 MET'!K61-'T1 MET'!K15-'T1 MET'!K16,$D$380)</f>
        <v>0</v>
      </c>
      <c r="T380" s="879" t="b">
        <f>ROUND('T2 MET'!D15,$D$380)=ROUND('T1 MET'!L61-'T1 MET'!L15-'T1 MET'!L16,$D$380)</f>
        <v>0</v>
      </c>
      <c r="U380" s="879" t="b">
        <f>ROUND('T2 MET'!E15,$D$380)=ROUND('T1 MET'!M61-'T1 MET'!M15-'T1 MET'!M16,$D$380)</f>
        <v>0</v>
      </c>
      <c r="V380" s="879" t="b">
        <f>ROUND('T2 MET'!F15,$D$380)=ROUND('T1 MET'!N61-'T1 MET'!N15-'T1 MET'!N16,$D$380)</f>
        <v>0</v>
      </c>
      <c r="W380" s="879" t="b">
        <f>ROUND('T2 MET'!G15,$D$380)=ROUND('T1 MET'!O61-'T1 MET'!O15-'T1 MET'!O16,$D$380)</f>
        <v>0</v>
      </c>
    </row>
    <row r="381" spans="1:23" s="882" customFormat="1" outlineLevel="1">
      <c r="A381" s="875"/>
      <c r="B381" s="876"/>
      <c r="C381" s="880" t="s">
        <v>135</v>
      </c>
      <c r="D381" s="881"/>
      <c r="E381" s="871"/>
      <c r="F381" s="871"/>
      <c r="G381" s="871"/>
      <c r="H381" s="871"/>
      <c r="I381" s="871"/>
      <c r="R381" s="162"/>
      <c r="S381" s="883">
        <f>ROUND('T2 MET'!C15,$D$380)</f>
        <v>30937.955000000002</v>
      </c>
      <c r="T381" s="883">
        <f>ROUND('T2 MET'!D15,$D$380)</f>
        <v>30193.923999999999</v>
      </c>
      <c r="U381" s="883">
        <f>ROUND('T2 MET'!E15,$D$380)</f>
        <v>31631.805</v>
      </c>
      <c r="V381" s="883">
        <f>ROUND('T2 MET'!F15,$D$380)</f>
        <v>34979.993999999999</v>
      </c>
      <c r="W381" s="883">
        <f>ROUND('T2 MET'!G15,$D$380)</f>
        <v>39154.635000000002</v>
      </c>
    </row>
    <row r="382" spans="1:23" s="882" customFormat="1" outlineLevel="1">
      <c r="A382" s="875"/>
      <c r="B382" s="876"/>
      <c r="C382" s="880" t="s">
        <v>136</v>
      </c>
      <c r="D382" s="881"/>
      <c r="E382" s="871"/>
      <c r="F382" s="871"/>
      <c r="G382" s="871"/>
      <c r="H382" s="871"/>
      <c r="I382" s="871"/>
      <c r="R382" s="162"/>
      <c r="S382" s="883">
        <f>ROUND('T1 MET'!K61-'T1 MET'!K15-'T1 MET'!K16,$D$380)</f>
        <v>24953.031999999999</v>
      </c>
      <c r="T382" s="883">
        <f>ROUND('T1 MET'!L61-'T1 MET'!L15-'T1 MET'!L16,$D$380)</f>
        <v>24209.001</v>
      </c>
      <c r="U382" s="883">
        <f>ROUND('T1 MET'!M61-'T1 MET'!M15-'T1 MET'!M16,$D$380)</f>
        <v>24530.881000000001</v>
      </c>
      <c r="V382" s="883">
        <f>ROUND('T1 MET'!N61-'T1 MET'!N15-'T1 MET'!N16,$D$380)</f>
        <v>27928.6</v>
      </c>
      <c r="W382" s="883">
        <f>ROUND('T1 MET'!O61-'T1 MET'!O15-'T1 MET'!O16,$D$380)</f>
        <v>28970.167000000001</v>
      </c>
    </row>
    <row r="383" spans="1:23" s="878" customFormat="1">
      <c r="A383" s="875" t="s">
        <v>137</v>
      </c>
      <c r="B383" s="876" t="s">
        <v>138</v>
      </c>
      <c r="C383" s="877" t="s">
        <v>139</v>
      </c>
      <c r="D383" s="881"/>
      <c r="E383" s="871"/>
      <c r="F383" s="871"/>
      <c r="G383" s="871"/>
      <c r="H383" s="871"/>
      <c r="I383" s="871"/>
      <c r="R383" s="162"/>
      <c r="S383" s="879" t="b">
        <f>'T2 MET'!C16='T1 MET'!K65</f>
        <v>1</v>
      </c>
      <c r="T383" s="879" t="b">
        <f>'T2 MET'!D16='T1 MET'!L65</f>
        <v>1</v>
      </c>
      <c r="U383" s="879" t="b">
        <f>'T2 MET'!E16='T1 MET'!M65</f>
        <v>1</v>
      </c>
      <c r="V383" s="879" t="b">
        <f>'T2 MET'!F16='T1 MET'!N65</f>
        <v>1</v>
      </c>
      <c r="W383" s="879" t="b">
        <f>'T2 MET'!G16='T1 MET'!O65</f>
        <v>1</v>
      </c>
    </row>
    <row r="384" spans="1:23" s="882" customFormat="1" outlineLevel="1">
      <c r="A384" s="875"/>
      <c r="B384" s="876"/>
      <c r="C384" s="880" t="s">
        <v>140</v>
      </c>
      <c r="D384" s="881"/>
      <c r="E384" s="871"/>
      <c r="F384" s="871"/>
      <c r="G384" s="871"/>
      <c r="H384" s="871"/>
      <c r="I384" s="871"/>
      <c r="R384" s="162"/>
      <c r="S384" s="884">
        <f>'T2 MET'!C16</f>
        <v>106.44304700754891</v>
      </c>
      <c r="T384" s="884">
        <f>'T2 MET'!D16</f>
        <v>108.5719079476999</v>
      </c>
      <c r="U384" s="884">
        <f>'T2 MET'!E16</f>
        <v>110.7433461066539</v>
      </c>
      <c r="V384" s="884">
        <f>'T2 MET'!F16</f>
        <v>118.73399586480322</v>
      </c>
      <c r="W384" s="884">
        <f>'T2 MET'!G16</f>
        <v>119.75124598510098</v>
      </c>
    </row>
    <row r="385" spans="1:23" s="882" customFormat="1" outlineLevel="1">
      <c r="A385" s="875"/>
      <c r="B385" s="876"/>
      <c r="C385" s="880" t="s">
        <v>141</v>
      </c>
      <c r="D385" s="881"/>
      <c r="E385" s="871"/>
      <c r="F385" s="871"/>
      <c r="G385" s="871"/>
      <c r="H385" s="871"/>
      <c r="I385" s="871"/>
      <c r="R385" s="162"/>
      <c r="S385" s="884">
        <f>'T1 MET'!K65</f>
        <v>106.44304700754891</v>
      </c>
      <c r="T385" s="884">
        <f>'T1 MET'!L65</f>
        <v>108.5719079476999</v>
      </c>
      <c r="U385" s="884">
        <f>'T1 MET'!M65</f>
        <v>110.7433461066539</v>
      </c>
      <c r="V385" s="884">
        <f>'T1 MET'!N65</f>
        <v>118.73399586480322</v>
      </c>
      <c r="W385" s="884">
        <f>'T1 MET'!O65</f>
        <v>119.75124598510098</v>
      </c>
    </row>
    <row r="386" spans="1:23" s="878" customFormat="1">
      <c r="A386" s="875" t="s">
        <v>142</v>
      </c>
      <c r="B386" s="876" t="s">
        <v>143</v>
      </c>
      <c r="C386" s="877" t="s">
        <v>144</v>
      </c>
      <c r="D386" s="881"/>
      <c r="E386" s="871"/>
      <c r="F386" s="871"/>
      <c r="G386" s="871"/>
      <c r="H386" s="871"/>
      <c r="I386" s="871"/>
      <c r="J386" s="871"/>
      <c r="K386" s="871"/>
      <c r="L386" s="871"/>
      <c r="M386" s="871"/>
      <c r="N386" s="871"/>
      <c r="O386" s="871"/>
      <c r="R386" s="162"/>
    </row>
    <row r="387" spans="1:23" s="882" customFormat="1" outlineLevel="1">
      <c r="A387" s="875"/>
      <c r="B387" s="876"/>
      <c r="C387" s="880" t="s">
        <v>145</v>
      </c>
      <c r="D387" s="881"/>
      <c r="E387" s="871"/>
      <c r="F387" s="871"/>
      <c r="G387" s="871"/>
      <c r="H387" s="871"/>
      <c r="I387" s="871"/>
      <c r="J387" s="871"/>
      <c r="K387" s="871"/>
      <c r="L387" s="871"/>
      <c r="M387" s="871"/>
      <c r="N387" s="871"/>
      <c r="O387" s="871"/>
      <c r="R387" s="162"/>
    </row>
    <row r="388" spans="1:23" s="882" customFormat="1" outlineLevel="1">
      <c r="A388" s="875"/>
      <c r="B388" s="876"/>
      <c r="C388" s="880" t="s">
        <v>146</v>
      </c>
      <c r="D388" s="881"/>
      <c r="E388" s="871"/>
      <c r="F388" s="871"/>
      <c r="G388" s="871"/>
      <c r="H388" s="871"/>
      <c r="I388" s="871"/>
      <c r="J388" s="871"/>
      <c r="K388" s="871"/>
      <c r="L388" s="871"/>
      <c r="M388" s="871"/>
      <c r="N388" s="871"/>
      <c r="O388" s="871"/>
      <c r="R388" s="162"/>
    </row>
    <row r="389" spans="1:23" s="878" customFormat="1">
      <c r="A389" s="875" t="s">
        <v>147</v>
      </c>
      <c r="B389" s="876" t="s">
        <v>148</v>
      </c>
      <c r="C389" s="877" t="s">
        <v>149</v>
      </c>
      <c r="D389" s="881"/>
      <c r="E389" s="871"/>
      <c r="F389" s="871"/>
      <c r="G389" s="871"/>
      <c r="H389" s="871"/>
      <c r="I389" s="871"/>
      <c r="J389" s="871"/>
      <c r="K389" s="871"/>
      <c r="L389" s="871"/>
      <c r="M389" s="871"/>
      <c r="N389" s="871"/>
      <c r="O389" s="871"/>
      <c r="R389" s="162"/>
    </row>
    <row r="390" spans="1:23" s="882" customFormat="1" outlineLevel="1">
      <c r="A390" s="875"/>
      <c r="B390" s="876"/>
      <c r="C390" s="880" t="s">
        <v>150</v>
      </c>
      <c r="D390" s="881"/>
      <c r="E390" s="871"/>
      <c r="F390" s="871"/>
      <c r="G390" s="871"/>
      <c r="H390" s="871"/>
      <c r="I390" s="871"/>
      <c r="J390" s="871"/>
      <c r="K390" s="871"/>
      <c r="L390" s="871"/>
      <c r="M390" s="871"/>
      <c r="N390" s="871"/>
      <c r="O390" s="871"/>
      <c r="R390" s="162"/>
    </row>
    <row r="391" spans="1:23" s="882" customFormat="1" outlineLevel="1">
      <c r="A391" s="875"/>
      <c r="B391" s="876"/>
      <c r="C391" s="880" t="s">
        <v>151</v>
      </c>
      <c r="D391" s="881"/>
      <c r="E391" s="871"/>
      <c r="F391" s="871"/>
      <c r="G391" s="871"/>
      <c r="H391" s="871"/>
      <c r="I391" s="871"/>
      <c r="J391" s="871"/>
      <c r="K391" s="871"/>
      <c r="L391" s="871"/>
      <c r="M391" s="871"/>
      <c r="N391" s="871"/>
      <c r="O391" s="871"/>
      <c r="R391" s="162"/>
    </row>
    <row r="392" spans="1:23" s="878" customFormat="1">
      <c r="A392" s="875" t="s">
        <v>152</v>
      </c>
      <c r="B392" s="876">
        <v>2.5</v>
      </c>
      <c r="C392" s="885" t="s">
        <v>153</v>
      </c>
      <c r="D392" s="863">
        <v>3</v>
      </c>
      <c r="E392" s="871"/>
      <c r="F392" s="871"/>
      <c r="G392" s="871"/>
      <c r="H392" s="871"/>
      <c r="I392" s="871"/>
      <c r="J392" s="871"/>
      <c r="K392" s="871"/>
      <c r="L392" s="871"/>
      <c r="M392" s="871"/>
      <c r="N392" s="871"/>
      <c r="R392" s="162"/>
    </row>
    <row r="393" spans="1:23" s="882" customFormat="1" outlineLevel="1">
      <c r="A393" s="875"/>
      <c r="B393" s="876"/>
      <c r="C393" s="886" t="s">
        <v>154</v>
      </c>
      <c r="D393" s="887"/>
      <c r="E393" s="871"/>
      <c r="G393" s="871"/>
      <c r="H393" s="871"/>
      <c r="I393" s="871"/>
      <c r="J393" s="871"/>
      <c r="K393" s="871"/>
      <c r="L393" s="871"/>
      <c r="M393" s="871"/>
      <c r="N393" s="871"/>
      <c r="R393" s="162"/>
    </row>
    <row r="394" spans="1:23" s="882" customFormat="1" outlineLevel="1">
      <c r="A394" s="875"/>
      <c r="B394" s="876"/>
      <c r="C394" s="886" t="s">
        <v>155</v>
      </c>
      <c r="D394" s="887"/>
      <c r="E394" s="871"/>
      <c r="F394" s="871"/>
      <c r="G394" s="871"/>
      <c r="H394" s="871"/>
      <c r="I394" s="871"/>
      <c r="J394" s="871"/>
      <c r="K394" s="871"/>
      <c r="L394" s="871"/>
      <c r="M394" s="871"/>
      <c r="N394" s="871"/>
      <c r="R394" s="162"/>
    </row>
    <row r="395" spans="1:23" s="878" customFormat="1">
      <c r="A395" s="875" t="s">
        <v>156</v>
      </c>
      <c r="B395" s="876" t="s">
        <v>81</v>
      </c>
      <c r="C395" s="877" t="s">
        <v>157</v>
      </c>
      <c r="D395" s="863">
        <v>3</v>
      </c>
      <c r="E395" s="871"/>
      <c r="F395" s="871"/>
      <c r="G395" s="871"/>
      <c r="H395" s="871"/>
      <c r="I395" s="871"/>
      <c r="J395" s="871"/>
      <c r="K395" s="871"/>
      <c r="L395" s="871"/>
      <c r="M395" s="871"/>
      <c r="N395" s="871"/>
      <c r="R395" s="162"/>
    </row>
    <row r="396" spans="1:23" s="882" customFormat="1" outlineLevel="1">
      <c r="A396" s="875"/>
      <c r="B396" s="876"/>
      <c r="C396" s="880" t="s">
        <v>158</v>
      </c>
      <c r="D396" s="881"/>
      <c r="E396" s="871"/>
      <c r="F396" s="871"/>
      <c r="G396" s="871"/>
      <c r="H396" s="871"/>
      <c r="I396" s="871"/>
      <c r="J396" s="871"/>
      <c r="K396" s="871"/>
      <c r="L396" s="871"/>
      <c r="M396" s="871"/>
      <c r="N396" s="871"/>
      <c r="R396" s="162"/>
    </row>
    <row r="397" spans="1:23" s="882" customFormat="1" outlineLevel="1">
      <c r="A397" s="875"/>
      <c r="B397" s="876"/>
      <c r="C397" s="865" t="s">
        <v>159</v>
      </c>
      <c r="D397" s="881"/>
      <c r="E397" s="871"/>
      <c r="F397" s="871"/>
      <c r="G397" s="871"/>
      <c r="H397" s="871"/>
      <c r="I397" s="871"/>
      <c r="J397" s="871"/>
      <c r="K397" s="871"/>
      <c r="L397" s="871"/>
      <c r="M397" s="871"/>
      <c r="N397" s="871"/>
      <c r="R397" s="162"/>
    </row>
    <row r="398" spans="1:23" s="878" customFormat="1">
      <c r="A398" s="875" t="s">
        <v>160</v>
      </c>
      <c r="B398" s="876" t="s">
        <v>161</v>
      </c>
      <c r="C398" s="877" t="s">
        <v>162</v>
      </c>
      <c r="D398" s="863">
        <v>3</v>
      </c>
      <c r="E398" s="871"/>
      <c r="F398" s="871"/>
      <c r="G398" s="871"/>
      <c r="H398" s="871"/>
      <c r="I398" s="871"/>
      <c r="R398" s="162"/>
      <c r="S398" s="879" t="str">
        <f>IF(OR('T2 MET'!$A$5="Met Office",'T2 MET'!$A$5="NSA"),"N/A",ROUND('T2 MET'!C33,$D$398)=ROUND('T1 MET'!K61-'T1 MET'!K28,$D$398))</f>
        <v>N/A</v>
      </c>
      <c r="T398" s="879" t="str">
        <f>IF(OR('T2 MET'!$A$5="Met Office",'T2 MET'!$A$5="NSA"),"N/A",ROUND('T2 MET'!D33,$D$398)=ROUND('T1 MET'!L61-'T1 MET'!L28,$D$398))</f>
        <v>N/A</v>
      </c>
      <c r="U398" s="879" t="str">
        <f>IF(OR('T2 MET'!$A$5="Met Office",'T2 MET'!$A$5="NSA"),"N/A",ROUND('T2 MET'!E33,$D$398)=ROUND('T1 MET'!M61-'T1 MET'!M28,$D$398))</f>
        <v>N/A</v>
      </c>
      <c r="V398" s="879" t="str">
        <f>IF(OR('T2 MET'!$A$5="Met Office",'T2 MET'!$A$5="NSA"),"N/A",ROUND('T2 MET'!F33,$D$398)=ROUND('T1 MET'!N61-'T1 MET'!N28,$D$398))</f>
        <v>N/A</v>
      </c>
      <c r="W398" s="879" t="str">
        <f>IF(OR('T2 MET'!$A$5="Met Office",'T2 MET'!$A$5="NSA"),"N/A",ROUND('T2 MET'!G33,$D$398)=ROUND('T1 MET'!O61-'T1 MET'!O28,$D$398))</f>
        <v>N/A</v>
      </c>
    </row>
    <row r="399" spans="1:23" s="882" customFormat="1" outlineLevel="1">
      <c r="A399" s="875"/>
      <c r="B399" s="876"/>
      <c r="C399" s="880" t="s">
        <v>163</v>
      </c>
      <c r="D399" s="881"/>
      <c r="E399" s="871"/>
      <c r="F399" s="871"/>
      <c r="G399" s="871"/>
      <c r="H399" s="871"/>
      <c r="I399" s="871"/>
      <c r="R399" s="162"/>
      <c r="S399" s="883" t="str">
        <f>IF(OR('T2 MET'!$A$5="Met Office",'T2 MET'!$A$5="NSA"),"N/A",ROUND('T2 MET'!C33,$D$398))</f>
        <v>N/A</v>
      </c>
      <c r="T399" s="883" t="str">
        <f>IF(OR('T2 MET'!$A$5="Met Office",'T2 MET'!$A$5="NSA"),"N/A",ROUND('T2 MET'!D33,$D$398))</f>
        <v>N/A</v>
      </c>
      <c r="U399" s="883" t="str">
        <f>IF(OR('T2 MET'!$A$5="Met Office",'T2 MET'!$A$5="NSA"),"N/A",ROUND('T2 MET'!E33,$D$398))</f>
        <v>N/A</v>
      </c>
      <c r="V399" s="883" t="str">
        <f>IF(OR('T2 MET'!$A$5="Met Office",'T2 MET'!$A$5="NSA"),"N/A",ROUND('T2 MET'!F33,$D$398))</f>
        <v>N/A</v>
      </c>
      <c r="W399" s="883" t="str">
        <f>IF(OR('T2 MET'!$A$5="Met Office",'T2 MET'!$A$5="NSA"),"N/A",ROUND('T2 MET'!G33,$D$398))</f>
        <v>N/A</v>
      </c>
    </row>
    <row r="400" spans="1:23" s="882" customFormat="1" outlineLevel="1">
      <c r="A400" s="875"/>
      <c r="B400" s="876"/>
      <c r="C400" s="880" t="s">
        <v>164</v>
      </c>
      <c r="D400" s="881"/>
      <c r="E400" s="871"/>
      <c r="F400" s="871"/>
      <c r="G400" s="871"/>
      <c r="H400" s="871"/>
      <c r="I400" s="871"/>
      <c r="R400" s="162"/>
      <c r="S400" s="883" t="str">
        <f>IF(OR('T2 MET'!$A$5="Met Office",'T2 MET'!$A$5="NSA"),"N/A",ROUND('T1 MET'!K61-'T1 MET'!K28,$D$398))</f>
        <v>N/A</v>
      </c>
      <c r="T400" s="883" t="str">
        <f>IF(OR('T2 MET'!$A$5="Met Office",'T2 MET'!$A$5="NSA"),"N/A",ROUND('T1 MET'!L61-'T1 MET'!L28,$D$398))</f>
        <v>N/A</v>
      </c>
      <c r="U400" s="883" t="str">
        <f>IF(OR('T2 MET'!$A$5="Met Office",'T2 MET'!$A$5="NSA"),"N/A",ROUND('T1 MET'!M61-'T1 MET'!M28,$D$398))</f>
        <v>N/A</v>
      </c>
      <c r="V400" s="883" t="str">
        <f>IF(OR('T2 MET'!$A$5="Met Office",'T2 MET'!$A$5="NSA"),"N/A",ROUND('T1 MET'!N61-'T1 MET'!N28,$D$398))</f>
        <v>N/A</v>
      </c>
      <c r="W400" s="883" t="str">
        <f>IF(OR('T2 MET'!$A$5="Met Office",'T2 MET'!$A$5="NSA"),"N/A",ROUND('T1 MET'!O61-'T1 MET'!O28,$D$398))</f>
        <v>N/A</v>
      </c>
    </row>
    <row r="401" spans="1:23" s="878" customFormat="1">
      <c r="A401" s="875" t="s">
        <v>260</v>
      </c>
      <c r="B401" s="876" t="s">
        <v>17</v>
      </c>
      <c r="C401" s="877" t="s">
        <v>261</v>
      </c>
      <c r="D401" s="863">
        <v>2</v>
      </c>
      <c r="E401" s="871"/>
      <c r="F401" s="871"/>
      <c r="G401" s="871"/>
      <c r="H401" s="871"/>
      <c r="I401" s="871"/>
      <c r="N401" s="882"/>
      <c r="R401" s="162"/>
      <c r="S401" s="879" t="str">
        <f>IF(OR('T2 MET'!$A$5="Met Office",'T2 MET'!$A$5="NSA"),"N/A",ROUND('T2 MET'!C34,$D$401)=2%)</f>
        <v>N/A</v>
      </c>
      <c r="T401" s="879" t="str">
        <f>IF(OR('T2 MET'!$A$5="Met Office",'T2 MET'!$A$5="NSA"),"N/A",ROUND('T2 MET'!D34,$D$401)=2%)</f>
        <v>N/A</v>
      </c>
      <c r="U401" s="879" t="str">
        <f>IF(OR('T2 MET'!$A$5="Met Office",'T2 MET'!$A$5="NSA"),"N/A",ROUND('T2 MET'!E34,$D$401)=2%)</f>
        <v>N/A</v>
      </c>
      <c r="V401" s="879" t="str">
        <f>IF(OR('T2 MET'!$A$5="Met Office",'T2 MET'!$A$5="NSA"),"N/A",ROUND('T2 MET'!F34,$D$401)=2%)</f>
        <v>N/A</v>
      </c>
      <c r="W401" s="879" t="str">
        <f>IF(OR('T2 MET'!$A$5="Met Office",'T2 MET'!$A$5="NSA"),"N/A",ROUND('T2 MET'!G34,$D$401)=2%)</f>
        <v>N/A</v>
      </c>
    </row>
    <row r="402" spans="1:23" s="882" customFormat="1" outlineLevel="1">
      <c r="A402" s="875"/>
      <c r="B402" s="876"/>
      <c r="C402" s="880" t="s">
        <v>262</v>
      </c>
      <c r="D402" s="881"/>
      <c r="E402" s="871"/>
      <c r="F402" s="871"/>
      <c r="G402" s="871"/>
      <c r="H402" s="871"/>
      <c r="I402" s="871"/>
      <c r="R402" s="162"/>
      <c r="S402" s="893" t="str">
        <f>IF(OR('T2 MET'!$A$5="Met Office",'T2 MET'!$A$5="NSA"),"N/A",ROUND('T2 MET'!C34,$D$401))</f>
        <v>N/A</v>
      </c>
      <c r="T402" s="893" t="str">
        <f>IF(OR('T2 MET'!$A$5="Met Office",'T2 MET'!$A$5="NSA"),"N/A",ROUND('T2 MET'!D34,$D$401))</f>
        <v>N/A</v>
      </c>
      <c r="U402" s="893" t="str">
        <f>IF(OR('T2 MET'!$A$5="Met Office",'T2 MET'!$A$5="NSA"),"N/A",ROUND('T2 MET'!E34,$D$401))</f>
        <v>N/A</v>
      </c>
      <c r="V402" s="893" t="str">
        <f>IF(OR('T2 MET'!$A$5="Met Office",'T2 MET'!$A$5="NSA"),"N/A",ROUND('T2 MET'!F34,$D$401))</f>
        <v>N/A</v>
      </c>
      <c r="W402" s="893" t="str">
        <f>IF(OR('T2 MET'!$A$5="Met Office",'T2 MET'!$A$5="NSA"),"N/A",ROUND('T2 MET'!G34,$D$401))</f>
        <v>N/A</v>
      </c>
    </row>
    <row r="403" spans="1:23" s="878" customFormat="1">
      <c r="A403" s="875" t="s">
        <v>263</v>
      </c>
      <c r="B403" s="876" t="s">
        <v>264</v>
      </c>
      <c r="C403" s="877" t="s">
        <v>265</v>
      </c>
      <c r="D403" s="863">
        <v>2</v>
      </c>
      <c r="E403" s="871"/>
      <c r="F403" s="871"/>
      <c r="G403" s="871"/>
      <c r="H403" s="871"/>
      <c r="I403" s="871"/>
      <c r="N403" s="882"/>
      <c r="R403" s="162"/>
      <c r="S403" s="879" t="str">
        <f>IF(OR('T2 MET'!$A$5="Met Office",'T2 MET'!$A$5="NSA"),"N/A",ROUND('T2 MET'!C35,$D$403)=70%)</f>
        <v>N/A</v>
      </c>
      <c r="T403" s="879" t="str">
        <f>IF(OR('T2 MET'!$A$5="Met Office",'T2 MET'!$A$5="NSA"),"N/A",ROUND('T2 MET'!D35,$D$403)=70%)</f>
        <v>N/A</v>
      </c>
      <c r="U403" s="879" t="str">
        <f>IF(OR('T2 MET'!$A$5="Met Office",'T2 MET'!$A$5="NSA"),"N/A",ROUND('T2 MET'!E35,$D$403)=70%)</f>
        <v>N/A</v>
      </c>
      <c r="V403" s="879" t="str">
        <f>IF(OR('T2 MET'!$A$5="Met Office",'T2 MET'!$A$5="NSA"),"N/A",ROUND('T2 MET'!F35,$D$403)=70%)</f>
        <v>N/A</v>
      </c>
      <c r="W403" s="879" t="str">
        <f>IF(OR('T2 MET'!$A$5="Met Office",'T2 MET'!$A$5="NSA"),"N/A",ROUND('T2 MET'!G35,$D$403)=70%)</f>
        <v>N/A</v>
      </c>
    </row>
    <row r="404" spans="1:23" s="882" customFormat="1" outlineLevel="1">
      <c r="A404" s="875"/>
      <c r="B404" s="876"/>
      <c r="C404" s="880" t="s">
        <v>266</v>
      </c>
      <c r="D404" s="881"/>
      <c r="E404" s="871"/>
      <c r="F404" s="871"/>
      <c r="G404" s="871"/>
      <c r="H404" s="871"/>
      <c r="I404" s="871"/>
      <c r="R404" s="162"/>
      <c r="S404" s="893" t="str">
        <f>IF(OR('T2 MET'!$A$5="Met Office",'T2 MET'!$A$5="NSA"),"N/A",ROUND('T2 MET'!C35,$D$403))</f>
        <v>N/A</v>
      </c>
      <c r="T404" s="893" t="str">
        <f>IF(OR('T2 MET'!$A$5="Met Office",'T2 MET'!$A$5="NSA"),"N/A",ROUND('T2 MET'!D35,$D$403))</f>
        <v>N/A</v>
      </c>
      <c r="U404" s="893" t="str">
        <f>IF(OR('T2 MET'!$A$5="Met Office",'T2 MET'!$A$5="NSA"),"N/A",ROUND('T2 MET'!E35,$D$403))</f>
        <v>N/A</v>
      </c>
      <c r="V404" s="893" t="str">
        <f>IF(OR('T2 MET'!$A$5="Met Office",'T2 MET'!$A$5="NSA"),"N/A",ROUND('T2 MET'!F35,$D$403))</f>
        <v>N/A</v>
      </c>
      <c r="W404" s="893" t="str">
        <f>IF(OR('T2 MET'!$A$5="Met Office",'T2 MET'!$A$5="NSA"),"N/A",ROUND('T2 MET'!G35,$D$403))</f>
        <v>N/A</v>
      </c>
    </row>
    <row r="405" spans="1:23" s="878" customFormat="1">
      <c r="A405" s="875" t="s">
        <v>267</v>
      </c>
      <c r="B405" s="876" t="s">
        <v>268</v>
      </c>
      <c r="C405" s="877" t="s">
        <v>269</v>
      </c>
      <c r="D405" s="863">
        <v>2</v>
      </c>
      <c r="E405" s="871"/>
      <c r="F405" s="871"/>
      <c r="G405" s="871"/>
      <c r="H405" s="871"/>
      <c r="I405" s="871"/>
      <c r="N405" s="882"/>
      <c r="R405" s="162"/>
      <c r="S405" s="879" t="str">
        <f>IF(OR('T2 MET'!$A$5="Met Office",'T2 MET'!$A$5="NSA"),"N/A",ROUND('T2 MET'!C36,$D$405)=70%)</f>
        <v>N/A</v>
      </c>
      <c r="T405" s="879" t="str">
        <f>IF(OR('T2 MET'!$A$5="Met Office",'T2 MET'!$A$5="NSA"),"N/A",ROUND('T2 MET'!D36,$D$405)=70%)</f>
        <v>N/A</v>
      </c>
      <c r="U405" s="879" t="str">
        <f>IF(OR('T2 MET'!$A$5="Met Office",'T2 MET'!$A$5="NSA"),"N/A",ROUND('T2 MET'!E36,$D$405)=70%)</f>
        <v>N/A</v>
      </c>
      <c r="V405" s="879" t="str">
        <f>IF(OR('T2 MET'!$A$5="Met Office",'T2 MET'!$A$5="NSA"),"N/A",ROUND('T2 MET'!F36,$D$405)=70%)</f>
        <v>N/A</v>
      </c>
      <c r="W405" s="879" t="str">
        <f>IF(OR('T2 MET'!$A$5="Met Office",'T2 MET'!$A$5="NSA"),"N/A",ROUND('T2 MET'!G36,$D$405)=70%)</f>
        <v>N/A</v>
      </c>
    </row>
    <row r="406" spans="1:23" s="882" customFormat="1" outlineLevel="1">
      <c r="A406" s="875"/>
      <c r="B406" s="876"/>
      <c r="C406" s="880" t="s">
        <v>270</v>
      </c>
      <c r="D406" s="881"/>
      <c r="E406" s="871"/>
      <c r="F406" s="871"/>
      <c r="G406" s="871"/>
      <c r="H406" s="871"/>
      <c r="I406" s="871"/>
      <c r="R406" s="162"/>
      <c r="S406" s="893" t="str">
        <f>IF(OR('T2 MET'!$A$5="Met Office",'T2 MET'!$A$5="NSA"),"N/A",ROUND('T2 MET'!C36,$D$405))</f>
        <v>N/A</v>
      </c>
      <c r="T406" s="893" t="str">
        <f>IF(OR('T2 MET'!$A$5="Met Office",'T2 MET'!$A$5="NSA"),"N/A",ROUND('T2 MET'!D36,$D$405))</f>
        <v>N/A</v>
      </c>
      <c r="U406" s="893" t="str">
        <f>IF(OR('T2 MET'!$A$5="Met Office",'T2 MET'!$A$5="NSA"),"N/A",ROUND('T2 MET'!E36,$D$405))</f>
        <v>N/A</v>
      </c>
      <c r="V406" s="893" t="str">
        <f>IF(OR('T2 MET'!$A$5="Met Office",'T2 MET'!$A$5="NSA"),"N/A",ROUND('T2 MET'!F36,$D$405))</f>
        <v>N/A</v>
      </c>
      <c r="W406" s="893" t="str">
        <f>IF(OR('T2 MET'!$A$5="Met Office",'T2 MET'!$A$5="NSA"),"N/A",ROUND('T2 MET'!G36,$D$405))</f>
        <v>N/A</v>
      </c>
    </row>
    <row r="407" spans="1:23" s="878" customFormat="1">
      <c r="A407" s="875" t="s">
        <v>271</v>
      </c>
      <c r="B407" s="876" t="s">
        <v>272</v>
      </c>
      <c r="C407" s="877" t="s">
        <v>273</v>
      </c>
      <c r="D407" s="863">
        <v>2</v>
      </c>
      <c r="E407" s="871"/>
      <c r="F407" s="871"/>
      <c r="G407" s="871"/>
      <c r="H407" s="871"/>
      <c r="I407" s="871"/>
      <c r="N407" s="882"/>
      <c r="R407" s="162"/>
      <c r="S407" s="879" t="str">
        <f>IF(OR('T2 MET'!$A$5="Met Office",'T2 MET'!$A$5="NSA"),"N/A",ROUND('T2 MET'!C37,$D$407)=10%)</f>
        <v>N/A</v>
      </c>
      <c r="T407" s="879" t="str">
        <f>IF(OR('T2 MET'!$A$5="Met Office",'T2 MET'!$A$5="NSA"),"N/A",ROUND('T2 MET'!D37,$D$407)=10%)</f>
        <v>N/A</v>
      </c>
      <c r="U407" s="879" t="str">
        <f>IF(OR('T2 MET'!$A$5="Met Office",'T2 MET'!$A$5="NSA"),"N/A",ROUND('T2 MET'!E37,$D$407)=10%)</f>
        <v>N/A</v>
      </c>
      <c r="V407" s="879" t="str">
        <f>IF(OR('T2 MET'!$A$5="Met Office",'T2 MET'!$A$5="NSA"),"N/A",ROUND('T2 MET'!F37,$D$407)=10%)</f>
        <v>N/A</v>
      </c>
      <c r="W407" s="879" t="str">
        <f>IF(OR('T2 MET'!$A$5="Met Office",'T2 MET'!$A$5="NSA"),"N/A",ROUND('T2 MET'!G37,$D$407)=10%)</f>
        <v>N/A</v>
      </c>
    </row>
    <row r="408" spans="1:23" s="882" customFormat="1" outlineLevel="1">
      <c r="A408" s="875"/>
      <c r="B408" s="876"/>
      <c r="C408" s="880" t="s">
        <v>262</v>
      </c>
      <c r="D408" s="881"/>
      <c r="E408" s="871"/>
      <c r="F408" s="871"/>
      <c r="G408" s="871"/>
      <c r="H408" s="871"/>
      <c r="I408" s="871"/>
      <c r="R408" s="162"/>
      <c r="S408" s="893" t="str">
        <f>IF(OR('T2 MET'!$A$5="Met Office",'T2 MET'!$A$5="NSA"),"N/A",ROUND('T2 MET'!C37,$D$407))</f>
        <v>N/A</v>
      </c>
      <c r="T408" s="893" t="str">
        <f>IF(OR('T2 MET'!$A$5="Met Office",'T2 MET'!$A$5="NSA"),"N/A",ROUND('T2 MET'!D37,$D$407))</f>
        <v>N/A</v>
      </c>
      <c r="U408" s="893" t="str">
        <f>IF(OR('T2 MET'!$A$5="Met Office",'T2 MET'!$A$5="NSA"),"N/A",ROUND('T2 MET'!E37,$D$407))</f>
        <v>N/A</v>
      </c>
      <c r="V408" s="893" t="str">
        <f>IF(OR('T2 MET'!$A$5="Met Office",'T2 MET'!$A$5="NSA"),"N/A",ROUND('T2 MET'!F37,$D$407))</f>
        <v>N/A</v>
      </c>
      <c r="W408" s="893" t="str">
        <f>IF(OR('T2 MET'!$A$5="Met Office",'T2 MET'!$A$5="NSA"),"N/A",ROUND('T2 MET'!G37,$D$407))</f>
        <v>N/A</v>
      </c>
    </row>
    <row r="409" spans="1:23" s="878" customFormat="1">
      <c r="A409" s="875" t="s">
        <v>165</v>
      </c>
      <c r="B409" s="876" t="s">
        <v>166</v>
      </c>
      <c r="C409" s="877" t="s">
        <v>167</v>
      </c>
      <c r="D409" s="863">
        <v>3</v>
      </c>
      <c r="E409" s="871"/>
      <c r="F409" s="871"/>
      <c r="G409" s="871"/>
      <c r="H409" s="871"/>
      <c r="I409" s="871"/>
      <c r="N409" s="882"/>
      <c r="R409" s="162"/>
      <c r="S409" s="879" t="b">
        <f>ROUND('T2 MET'!C38,$D$409)=ROUND('T1 MET'!K68,$D$409)</f>
        <v>1</v>
      </c>
      <c r="T409" s="879" t="b">
        <f>ROUND('T2 MET'!D38,$D$409)=ROUND('T1 MET'!L68,$D$409)</f>
        <v>1</v>
      </c>
      <c r="U409" s="879" t="b">
        <f>ROUND('T2 MET'!E38,$D$409)=ROUND('T1 MET'!M68,$D$409)</f>
        <v>1</v>
      </c>
      <c r="V409" s="879" t="b">
        <f>ROUND('T2 MET'!F38,$D$409)=ROUND('T1 MET'!N68,$D$409)</f>
        <v>1</v>
      </c>
      <c r="W409" s="879" t="b">
        <f>ROUND('T2 MET'!G38,$D$409)=ROUND('T1 MET'!O68,$D$409)</f>
        <v>1</v>
      </c>
    </row>
    <row r="410" spans="1:23" s="882" customFormat="1" outlineLevel="1">
      <c r="A410" s="875"/>
      <c r="B410" s="876"/>
      <c r="C410" s="880" t="s">
        <v>168</v>
      </c>
      <c r="D410" s="881"/>
      <c r="E410" s="871"/>
      <c r="F410" s="871"/>
      <c r="G410" s="871"/>
      <c r="H410" s="871"/>
      <c r="I410" s="871"/>
      <c r="R410" s="162"/>
      <c r="S410" s="883">
        <f>ROUND('T2 MET'!C38,$D$409)</f>
        <v>12647.945</v>
      </c>
      <c r="T410" s="883">
        <f>ROUND('T2 MET'!D38,$D$409)</f>
        <v>12891</v>
      </c>
      <c r="U410" s="883">
        <f>ROUND('T2 MET'!E38,$D$409)</f>
        <v>13183</v>
      </c>
      <c r="V410" s="883">
        <f>ROUND('T2 MET'!F38,$D$409)</f>
        <v>11956</v>
      </c>
      <c r="W410" s="883">
        <f>ROUND('T2 MET'!G38,$D$409)</f>
        <v>12930</v>
      </c>
    </row>
    <row r="411" spans="1:23" s="882" customFormat="1" outlineLevel="1">
      <c r="A411" s="875"/>
      <c r="B411" s="876"/>
      <c r="C411" s="880" t="s">
        <v>169</v>
      </c>
      <c r="D411" s="881"/>
      <c r="E411" s="871"/>
      <c r="F411" s="871"/>
      <c r="G411" s="871"/>
      <c r="H411" s="871"/>
      <c r="I411" s="871"/>
      <c r="R411" s="162"/>
      <c r="S411" s="883">
        <f>ROUND('T1 MET'!K68,$D$409)</f>
        <v>12647.945</v>
      </c>
      <c r="T411" s="883">
        <f>ROUND('T1 MET'!L68,$D$409)</f>
        <v>12891</v>
      </c>
      <c r="U411" s="883">
        <f>ROUND('T1 MET'!M68,$D$409)</f>
        <v>13183</v>
      </c>
      <c r="V411" s="883">
        <f>ROUND('T1 MET'!N68,$D$409)</f>
        <v>11956</v>
      </c>
      <c r="W411" s="883">
        <f>ROUND('T1 MET'!O68,$D$409)</f>
        <v>12930</v>
      </c>
    </row>
    <row r="412" spans="1:23" s="878" customFormat="1">
      <c r="A412" s="875" t="s">
        <v>170</v>
      </c>
      <c r="B412" s="876">
        <v>4.7</v>
      </c>
      <c r="C412" s="885" t="s">
        <v>171</v>
      </c>
      <c r="D412" s="863">
        <v>3</v>
      </c>
      <c r="E412" s="871"/>
      <c r="F412" s="871"/>
      <c r="G412" s="871"/>
      <c r="H412" s="871"/>
      <c r="I412" s="871"/>
      <c r="J412" s="871"/>
      <c r="K412" s="871"/>
      <c r="L412" s="871"/>
      <c r="M412" s="871"/>
      <c r="N412" s="871"/>
      <c r="R412" s="162"/>
    </row>
    <row r="413" spans="1:23" s="882" customFormat="1" outlineLevel="1">
      <c r="A413" s="875"/>
      <c r="B413" s="876"/>
      <c r="C413" s="886" t="s">
        <v>172</v>
      </c>
      <c r="D413" s="887"/>
      <c r="E413" s="871"/>
      <c r="F413" s="871"/>
      <c r="G413" s="871"/>
      <c r="H413" s="871"/>
      <c r="I413" s="871"/>
      <c r="J413" s="871"/>
      <c r="K413" s="871"/>
      <c r="L413" s="871"/>
      <c r="M413" s="871"/>
      <c r="N413" s="871"/>
      <c r="R413" s="162"/>
    </row>
    <row r="414" spans="1:23" s="882" customFormat="1" outlineLevel="1">
      <c r="A414" s="875"/>
      <c r="B414" s="876"/>
      <c r="C414" s="886" t="s">
        <v>173</v>
      </c>
      <c r="D414" s="887"/>
      <c r="E414" s="871"/>
      <c r="F414" s="871"/>
      <c r="G414" s="871"/>
      <c r="H414" s="871"/>
      <c r="I414" s="871"/>
      <c r="J414" s="871"/>
      <c r="K414" s="871"/>
      <c r="L414" s="871"/>
      <c r="M414" s="871"/>
      <c r="N414" s="871"/>
      <c r="R414" s="162"/>
    </row>
    <row r="415" spans="1:23" s="878" customFormat="1">
      <c r="A415" s="875" t="s">
        <v>174</v>
      </c>
      <c r="B415" s="876">
        <v>4.8</v>
      </c>
      <c r="C415" s="885" t="s">
        <v>175</v>
      </c>
      <c r="D415" s="863">
        <v>3</v>
      </c>
      <c r="E415" s="871"/>
      <c r="F415" s="871"/>
      <c r="G415" s="871"/>
      <c r="H415" s="871"/>
      <c r="I415" s="871"/>
      <c r="J415" s="871"/>
      <c r="K415" s="871"/>
      <c r="L415" s="871"/>
      <c r="M415" s="871"/>
      <c r="N415" s="871"/>
      <c r="R415" s="162"/>
    </row>
    <row r="416" spans="1:23" s="882" customFormat="1" outlineLevel="1">
      <c r="A416" s="875"/>
      <c r="B416" s="876"/>
      <c r="C416" s="886" t="s">
        <v>176</v>
      </c>
      <c r="D416" s="887"/>
      <c r="E416" s="871"/>
      <c r="F416" s="871"/>
      <c r="G416" s="871"/>
      <c r="H416" s="871"/>
      <c r="I416" s="871"/>
      <c r="J416" s="871"/>
      <c r="K416" s="871"/>
      <c r="L416" s="871"/>
      <c r="M416" s="871"/>
      <c r="N416" s="871"/>
      <c r="R416" s="162"/>
    </row>
    <row r="417" spans="1:18" s="882" customFormat="1" outlineLevel="1">
      <c r="A417" s="875"/>
      <c r="B417" s="876"/>
      <c r="C417" s="886" t="s">
        <v>177</v>
      </c>
      <c r="D417" s="887"/>
      <c r="E417" s="871"/>
      <c r="F417" s="871"/>
      <c r="G417" s="871"/>
      <c r="H417" s="871"/>
      <c r="I417" s="871"/>
      <c r="J417" s="871"/>
      <c r="K417" s="871"/>
      <c r="L417" s="871"/>
      <c r="M417" s="871"/>
      <c r="N417" s="871"/>
      <c r="R417" s="162"/>
    </row>
    <row r="418" spans="1:18" s="878" customFormat="1">
      <c r="A418" s="875" t="s">
        <v>178</v>
      </c>
      <c r="B418" s="876" t="s">
        <v>179</v>
      </c>
      <c r="C418" s="885" t="s">
        <v>180</v>
      </c>
      <c r="D418" s="863">
        <v>3</v>
      </c>
      <c r="E418" s="871"/>
      <c r="F418" s="871"/>
      <c r="G418" s="871"/>
      <c r="H418" s="871"/>
      <c r="I418" s="871"/>
      <c r="J418" s="871"/>
      <c r="K418" s="871"/>
      <c r="L418" s="871"/>
      <c r="M418" s="871"/>
      <c r="N418" s="871"/>
      <c r="R418" s="162"/>
    </row>
    <row r="419" spans="1:18" s="882" customFormat="1" outlineLevel="1">
      <c r="A419" s="875"/>
      <c r="B419" s="876"/>
      <c r="C419" s="886" t="s">
        <v>181</v>
      </c>
      <c r="D419" s="881"/>
      <c r="E419" s="871"/>
      <c r="F419" s="871"/>
      <c r="G419" s="871"/>
      <c r="H419" s="871"/>
      <c r="I419" s="871"/>
      <c r="J419" s="871"/>
      <c r="K419" s="871"/>
      <c r="L419" s="871"/>
      <c r="M419" s="871"/>
      <c r="N419" s="871"/>
      <c r="R419" s="162"/>
    </row>
    <row r="420" spans="1:18" s="882" customFormat="1" outlineLevel="1">
      <c r="A420" s="875"/>
      <c r="B420" s="876"/>
      <c r="C420" s="886" t="s">
        <v>182</v>
      </c>
      <c r="D420" s="881"/>
      <c r="E420" s="871"/>
      <c r="F420" s="871"/>
      <c r="G420" s="871"/>
      <c r="H420" s="871"/>
      <c r="I420" s="871"/>
      <c r="J420" s="871"/>
      <c r="K420" s="871"/>
      <c r="L420" s="871"/>
      <c r="M420" s="871"/>
      <c r="N420" s="871"/>
      <c r="R420" s="162"/>
    </row>
    <row r="421" spans="1:18" s="878" customFormat="1">
      <c r="A421" s="875" t="s">
        <v>183</v>
      </c>
      <c r="B421" s="876" t="s">
        <v>34</v>
      </c>
      <c r="C421" s="877" t="s">
        <v>184</v>
      </c>
      <c r="D421" s="863">
        <v>3</v>
      </c>
      <c r="E421" s="871"/>
      <c r="F421" s="871"/>
      <c r="G421" s="871"/>
      <c r="H421" s="871"/>
      <c r="I421" s="871"/>
      <c r="J421" s="871"/>
      <c r="K421" s="871"/>
      <c r="L421" s="871"/>
      <c r="M421" s="871"/>
      <c r="N421" s="871"/>
      <c r="R421" s="162"/>
    </row>
    <row r="422" spans="1:18" s="882" customFormat="1" outlineLevel="1">
      <c r="A422" s="875"/>
      <c r="B422" s="876"/>
      <c r="C422" s="880" t="s">
        <v>185</v>
      </c>
      <c r="D422" s="881"/>
      <c r="E422" s="871"/>
      <c r="F422" s="871"/>
      <c r="G422" s="871"/>
      <c r="H422" s="871"/>
      <c r="I422" s="871"/>
      <c r="J422" s="871"/>
      <c r="K422" s="871"/>
      <c r="L422" s="871"/>
      <c r="M422" s="871"/>
      <c r="N422" s="871"/>
      <c r="R422" s="162"/>
    </row>
    <row r="423" spans="1:18" s="882" customFormat="1" outlineLevel="1">
      <c r="A423" s="875"/>
      <c r="B423" s="876"/>
      <c r="C423" s="880" t="s">
        <v>186</v>
      </c>
      <c r="D423" s="881"/>
      <c r="E423" s="871"/>
      <c r="F423" s="871"/>
      <c r="G423" s="871"/>
      <c r="H423" s="871"/>
      <c r="I423" s="871"/>
      <c r="J423" s="871"/>
      <c r="K423" s="871"/>
      <c r="L423" s="871"/>
      <c r="M423" s="871"/>
      <c r="N423" s="871"/>
      <c r="R423" s="162"/>
    </row>
    <row r="424" spans="1:18" s="878" customFormat="1">
      <c r="A424" s="875" t="s">
        <v>183</v>
      </c>
      <c r="B424" s="876" t="s">
        <v>38</v>
      </c>
      <c r="C424" s="877" t="s">
        <v>187</v>
      </c>
      <c r="D424" s="863">
        <v>3</v>
      </c>
      <c r="E424" s="871"/>
      <c r="F424" s="871"/>
      <c r="G424" s="871"/>
      <c r="H424" s="871"/>
      <c r="I424" s="871"/>
      <c r="J424" s="871"/>
      <c r="K424" s="871"/>
      <c r="L424" s="871"/>
      <c r="M424" s="871"/>
      <c r="N424" s="871"/>
      <c r="R424" s="162"/>
    </row>
    <row r="425" spans="1:18" s="882" customFormat="1" outlineLevel="1">
      <c r="A425" s="875"/>
      <c r="B425" s="876"/>
      <c r="C425" s="880" t="s">
        <v>185</v>
      </c>
      <c r="D425" s="881"/>
      <c r="E425" s="871"/>
      <c r="F425" s="871"/>
      <c r="G425" s="871"/>
      <c r="H425" s="871"/>
      <c r="I425" s="871"/>
      <c r="J425" s="871"/>
      <c r="K425" s="871"/>
      <c r="L425" s="871"/>
      <c r="M425" s="871"/>
      <c r="N425" s="871"/>
      <c r="R425" s="162"/>
    </row>
    <row r="426" spans="1:18" s="882" customFormat="1" outlineLevel="1">
      <c r="A426" s="875"/>
      <c r="B426" s="876"/>
      <c r="C426" s="880" t="s">
        <v>186</v>
      </c>
      <c r="D426" s="881"/>
      <c r="E426" s="871"/>
      <c r="F426" s="871"/>
      <c r="G426" s="871"/>
      <c r="H426" s="871"/>
      <c r="I426" s="871"/>
      <c r="J426" s="871"/>
      <c r="K426" s="871"/>
      <c r="L426" s="871"/>
      <c r="M426" s="871"/>
      <c r="N426" s="871"/>
      <c r="R426" s="162"/>
    </row>
    <row r="427" spans="1:18" s="878" customFormat="1">
      <c r="A427" s="875" t="s">
        <v>183</v>
      </c>
      <c r="B427" s="876" t="s">
        <v>58</v>
      </c>
      <c r="C427" s="877" t="s">
        <v>188</v>
      </c>
      <c r="D427" s="863">
        <v>3</v>
      </c>
      <c r="E427" s="871"/>
      <c r="F427" s="871"/>
      <c r="G427" s="871"/>
      <c r="H427" s="871"/>
      <c r="I427" s="871"/>
      <c r="J427" s="871"/>
      <c r="K427" s="871"/>
      <c r="L427" s="871"/>
      <c r="M427" s="871"/>
      <c r="N427" s="871"/>
      <c r="R427" s="162"/>
    </row>
    <row r="428" spans="1:18" s="882" customFormat="1" outlineLevel="1">
      <c r="A428" s="875"/>
      <c r="B428" s="876"/>
      <c r="C428" s="880" t="s">
        <v>189</v>
      </c>
      <c r="D428" s="881"/>
      <c r="E428" s="871"/>
      <c r="F428" s="871"/>
      <c r="G428" s="871"/>
      <c r="H428" s="871"/>
      <c r="I428" s="871"/>
      <c r="J428" s="871"/>
      <c r="K428" s="871"/>
      <c r="L428" s="871"/>
      <c r="M428" s="871"/>
      <c r="N428" s="871"/>
      <c r="R428" s="162"/>
    </row>
    <row r="429" spans="1:18" s="882" customFormat="1" outlineLevel="1">
      <c r="A429" s="875"/>
      <c r="B429" s="876"/>
      <c r="C429" s="880" t="s">
        <v>190</v>
      </c>
      <c r="D429" s="881"/>
      <c r="E429" s="871"/>
      <c r="F429" s="871"/>
      <c r="G429" s="871"/>
      <c r="H429" s="871"/>
      <c r="I429" s="871"/>
      <c r="J429" s="871"/>
      <c r="K429" s="871"/>
      <c r="L429" s="871"/>
      <c r="M429" s="871"/>
      <c r="N429" s="871"/>
      <c r="R429" s="162"/>
    </row>
    <row r="430" spans="1:18" s="878" customFormat="1">
      <c r="A430" s="875" t="s">
        <v>191</v>
      </c>
      <c r="B430" s="876" t="s">
        <v>192</v>
      </c>
      <c r="C430" s="877" t="s">
        <v>193</v>
      </c>
      <c r="D430" s="863">
        <v>3</v>
      </c>
      <c r="E430" s="871"/>
      <c r="F430" s="871"/>
      <c r="G430" s="871"/>
      <c r="H430" s="871"/>
      <c r="I430" s="871"/>
      <c r="J430" s="871"/>
      <c r="K430" s="871"/>
      <c r="L430" s="871"/>
      <c r="M430" s="871"/>
      <c r="N430" s="871"/>
      <c r="R430" s="162"/>
    </row>
    <row r="431" spans="1:18" s="882" customFormat="1" outlineLevel="1">
      <c r="A431" s="875"/>
      <c r="B431" s="876"/>
      <c r="C431" s="880" t="s">
        <v>194</v>
      </c>
      <c r="D431" s="881"/>
      <c r="E431" s="871"/>
      <c r="F431" s="871"/>
      <c r="G431" s="871"/>
      <c r="H431" s="871"/>
      <c r="I431" s="871"/>
      <c r="J431" s="871"/>
      <c r="K431" s="871"/>
      <c r="L431" s="871"/>
      <c r="M431" s="871"/>
      <c r="N431" s="871"/>
      <c r="R431" s="162"/>
    </row>
    <row r="432" spans="1:18" s="882" customFormat="1" outlineLevel="1">
      <c r="A432" s="875"/>
      <c r="B432" s="876"/>
      <c r="C432" s="865" t="s">
        <v>195</v>
      </c>
      <c r="D432" s="881"/>
      <c r="E432" s="871"/>
      <c r="F432" s="871"/>
      <c r="G432" s="871"/>
      <c r="H432" s="871"/>
      <c r="I432" s="871"/>
      <c r="J432" s="871"/>
      <c r="K432" s="871"/>
      <c r="L432" s="871"/>
      <c r="M432" s="871"/>
      <c r="N432" s="871"/>
      <c r="R432" s="162"/>
    </row>
    <row r="433" spans="1:23" s="878" customFormat="1">
      <c r="A433" s="875" t="s">
        <v>196</v>
      </c>
      <c r="B433" s="876" t="s">
        <v>197</v>
      </c>
      <c r="C433" s="877" t="s">
        <v>198</v>
      </c>
      <c r="D433" s="863">
        <v>3</v>
      </c>
      <c r="E433" s="871"/>
      <c r="F433" s="871"/>
      <c r="G433" s="871"/>
      <c r="H433" s="871"/>
      <c r="I433" s="871"/>
      <c r="J433" s="871"/>
      <c r="K433" s="871"/>
      <c r="L433" s="871"/>
      <c r="M433" s="871"/>
      <c r="N433" s="871"/>
      <c r="R433" s="162"/>
    </row>
    <row r="434" spans="1:23" s="882" customFormat="1" outlineLevel="1">
      <c r="A434" s="875"/>
      <c r="B434" s="876"/>
      <c r="C434" s="880" t="s">
        <v>199</v>
      </c>
      <c r="D434" s="881"/>
      <c r="E434" s="871"/>
      <c r="F434" s="871"/>
      <c r="G434" s="871"/>
      <c r="H434" s="871"/>
      <c r="I434" s="871"/>
      <c r="J434" s="871"/>
      <c r="K434" s="871"/>
      <c r="L434" s="871"/>
      <c r="M434" s="871"/>
      <c r="N434" s="871"/>
      <c r="R434" s="162"/>
    </row>
    <row r="435" spans="1:23" s="882" customFormat="1" outlineLevel="1">
      <c r="A435" s="875"/>
      <c r="B435" s="876"/>
      <c r="C435" s="865" t="s">
        <v>200</v>
      </c>
      <c r="D435" s="881"/>
      <c r="E435" s="871"/>
      <c r="F435" s="871"/>
      <c r="G435" s="871"/>
      <c r="H435" s="871"/>
      <c r="I435" s="871"/>
      <c r="J435" s="871"/>
      <c r="K435" s="871"/>
      <c r="L435" s="871"/>
      <c r="M435" s="871"/>
      <c r="N435" s="871"/>
      <c r="R435" s="162"/>
    </row>
    <row r="436" spans="1:23" s="878" customFormat="1">
      <c r="A436" s="875" t="s">
        <v>133</v>
      </c>
      <c r="B436" s="876" t="s">
        <v>201</v>
      </c>
      <c r="C436" s="877" t="s">
        <v>202</v>
      </c>
      <c r="D436" s="863">
        <v>3</v>
      </c>
      <c r="E436" s="871"/>
      <c r="F436" s="871"/>
      <c r="G436" s="871"/>
      <c r="H436" s="871"/>
      <c r="I436" s="871"/>
      <c r="R436" s="162"/>
      <c r="S436" s="879" t="b">
        <f>ROUND('T2 MET'!C81,$D$436)=ROUND('T2 MET'!C12,$D$436)</f>
        <v>1</v>
      </c>
      <c r="T436" s="879" t="b">
        <f>ROUND('T2 MET'!D81,$D$436)=ROUND('T2 MET'!D12,$D$436)</f>
        <v>1</v>
      </c>
      <c r="U436" s="879" t="b">
        <f>ROUND('T2 MET'!E81,$D$436)=ROUND('T2 MET'!E12,$D$436)</f>
        <v>1</v>
      </c>
      <c r="V436" s="879" t="b">
        <f>ROUND('T2 MET'!F81,$D$436)=ROUND('T2 MET'!F12,$D$436)</f>
        <v>1</v>
      </c>
      <c r="W436" s="879" t="b">
        <f>ROUND('T2 MET'!G81,$D$436)=ROUND('T2 MET'!G12,$D$436)</f>
        <v>1</v>
      </c>
    </row>
    <row r="437" spans="1:23" s="882" customFormat="1" outlineLevel="1">
      <c r="A437" s="875"/>
      <c r="B437" s="876"/>
      <c r="C437" s="880" t="s">
        <v>203</v>
      </c>
      <c r="D437" s="881"/>
      <c r="E437" s="871"/>
      <c r="F437" s="871"/>
      <c r="G437" s="871"/>
      <c r="H437" s="871"/>
      <c r="I437" s="871"/>
      <c r="R437" s="162"/>
      <c r="S437" s="883">
        <f>ROUND('T2 MET'!C81,$D$436)</f>
        <v>30937.955000000002</v>
      </c>
      <c r="T437" s="883">
        <f>ROUND('T2 MET'!D81,$D$436)</f>
        <v>30193.923999999999</v>
      </c>
      <c r="U437" s="883">
        <f>ROUND('T2 MET'!E81,$D$436)</f>
        <v>31631.805</v>
      </c>
      <c r="V437" s="883">
        <f>ROUND('T2 MET'!F81,$D$436)</f>
        <v>34979.993999999999</v>
      </c>
      <c r="W437" s="883">
        <f>ROUND('T2 MET'!G81,$D$436)</f>
        <v>39154.635000000002</v>
      </c>
    </row>
    <row r="438" spans="1:23" s="882" customFormat="1" outlineLevel="1">
      <c r="A438" s="875"/>
      <c r="B438" s="876"/>
      <c r="C438" s="880" t="s">
        <v>204</v>
      </c>
      <c r="D438" s="881"/>
      <c r="E438" s="871"/>
      <c r="F438" s="871"/>
      <c r="G438" s="871"/>
      <c r="H438" s="871"/>
      <c r="I438" s="871"/>
      <c r="R438" s="162"/>
      <c r="S438" s="883">
        <f>ROUND('T2 MET'!C12,$D$436)</f>
        <v>30937.955000000002</v>
      </c>
      <c r="T438" s="883">
        <f>ROUND('T2 MET'!D12,$D$436)</f>
        <v>30193.923999999999</v>
      </c>
      <c r="U438" s="883">
        <f>ROUND('T2 MET'!E12,$D$436)</f>
        <v>31631.805</v>
      </c>
      <c r="V438" s="883">
        <f>ROUND('T2 MET'!F12,$D$436)</f>
        <v>34979.993999999999</v>
      </c>
      <c r="W438" s="883">
        <f>ROUND('T2 MET'!G12,$D$436)</f>
        <v>39154.635000000002</v>
      </c>
    </row>
    <row r="439" spans="1:23">
      <c r="A439" s="875" t="s">
        <v>205</v>
      </c>
      <c r="B439" s="876" t="s">
        <v>206</v>
      </c>
      <c r="C439" s="888" t="s">
        <v>207</v>
      </c>
      <c r="D439" s="863">
        <v>3</v>
      </c>
      <c r="E439" s="871"/>
      <c r="F439" s="871"/>
      <c r="G439" s="871"/>
      <c r="H439" s="871"/>
      <c r="I439" s="871"/>
      <c r="J439" s="162"/>
      <c r="K439" s="162"/>
      <c r="L439" s="162"/>
      <c r="S439" s="879" t="b">
        <f>ROUND('T2 MET'!C82,$D$439)=ROUND('T3 MET'!E17,$D$439)</f>
        <v>0</v>
      </c>
      <c r="T439" s="879" t="b">
        <f>ROUND('T2 MET'!D82,$D$439)=ROUND('T3 MET'!F17,$D$439)</f>
        <v>0</v>
      </c>
      <c r="U439" s="879" t="b">
        <f>ROUND('T2 MET'!E82,$D$439)=ROUND('T3 MET'!G17,$D$439)</f>
        <v>0</v>
      </c>
      <c r="V439" s="879" t="b">
        <f>ROUND('T2 MET'!F82,$D$439)=ROUND('T3 MET'!H21,$D$439)</f>
        <v>1</v>
      </c>
      <c r="W439" s="879" t="b">
        <f>ROUND('T2 MET'!G82,$D$439)=ROUND('T3 MET'!I21,$D$439)</f>
        <v>1</v>
      </c>
    </row>
    <row r="440" spans="1:23" outlineLevel="1">
      <c r="A440" s="876"/>
      <c r="B440" s="876"/>
      <c r="C440" s="889" t="s">
        <v>208</v>
      </c>
      <c r="D440" s="890"/>
      <c r="E440" s="871"/>
      <c r="F440" s="871"/>
      <c r="G440" s="871"/>
      <c r="H440" s="871"/>
      <c r="I440" s="871"/>
      <c r="J440" s="162"/>
      <c r="K440" s="162"/>
      <c r="L440" s="162"/>
      <c r="S440" s="883">
        <f>ROUND('T2 MET'!C82,$D$439)</f>
        <v>-610</v>
      </c>
      <c r="T440" s="883">
        <f>ROUND('T2 MET'!D82,$D$439)</f>
        <v>-658.94399999999996</v>
      </c>
      <c r="U440" s="883">
        <f>ROUND('T2 MET'!E82,$D$439)</f>
        <v>-336.85</v>
      </c>
      <c r="V440" s="883">
        <f>ROUND('T2 MET'!F82,$D$439)</f>
        <v>-153.071</v>
      </c>
      <c r="W440" s="883">
        <f>ROUND('T2 MET'!G82,$D$439)</f>
        <v>2030.299</v>
      </c>
    </row>
    <row r="441" spans="1:23" outlineLevel="1">
      <c r="A441" s="876"/>
      <c r="B441" s="876"/>
      <c r="C441" s="889" t="s">
        <v>209</v>
      </c>
      <c r="D441" s="890"/>
      <c r="E441" s="871"/>
      <c r="F441" s="871"/>
      <c r="G441" s="871"/>
      <c r="H441" s="871"/>
      <c r="I441" s="871"/>
      <c r="J441" s="162"/>
      <c r="K441" s="162"/>
      <c r="L441" s="162"/>
      <c r="S441" s="883">
        <f>ROUND('T3 MET'!E17,$D$439)</f>
        <v>0</v>
      </c>
      <c r="T441" s="883">
        <f>ROUND('T3 MET'!F17,$D$439)</f>
        <v>0</v>
      </c>
      <c r="U441" s="883">
        <f>ROUND('T3 MET'!G17,$D$439)</f>
        <v>0</v>
      </c>
      <c r="V441" s="883">
        <f>ROUND('T3 MET'!H21,$D$439)</f>
        <v>-153.071</v>
      </c>
      <c r="W441" s="883">
        <f>ROUND('T3 MET'!I21,$D$439)</f>
        <v>2030.299</v>
      </c>
    </row>
    <row r="442" spans="1:23">
      <c r="A442" s="876" t="s">
        <v>210</v>
      </c>
      <c r="B442" s="876" t="s">
        <v>211</v>
      </c>
      <c r="C442" s="888" t="s">
        <v>212</v>
      </c>
      <c r="D442" s="863">
        <v>3</v>
      </c>
      <c r="E442" s="871"/>
      <c r="F442" s="871"/>
      <c r="G442" s="871"/>
      <c r="H442" s="871"/>
      <c r="I442" s="871"/>
      <c r="J442" s="162"/>
      <c r="K442" s="162"/>
      <c r="L442" s="162"/>
      <c r="S442" s="879" t="b">
        <f>ROUND('T2 MET'!C83,$D$442)=ROUND('T3 MET'!E28,$D$442)</f>
        <v>1</v>
      </c>
      <c r="T442" s="879" t="b">
        <f>ROUND('T2 MET'!D83,$D$442)=ROUND('T3 MET'!F28,$D$442)</f>
        <v>1</v>
      </c>
      <c r="U442" s="879" t="b">
        <f>ROUND('T2 MET'!E83,$D$442)=ROUND('T3 MET'!G28,$D$442)</f>
        <v>1</v>
      </c>
      <c r="V442" s="879" t="b">
        <f>ROUND('T2 MET'!F83,$D$442)=ROUND('T3 MET'!H28,$D$442)</f>
        <v>1</v>
      </c>
      <c r="W442" s="879" t="b">
        <f>ROUND('T2 MET'!G83,$D$442)=ROUND('T3 MET'!I28,$D$442)</f>
        <v>1</v>
      </c>
    </row>
    <row r="443" spans="1:23" outlineLevel="1">
      <c r="A443" s="876"/>
      <c r="B443" s="876"/>
      <c r="C443" s="889" t="s">
        <v>208</v>
      </c>
      <c r="D443" s="890"/>
      <c r="E443" s="871"/>
      <c r="F443" s="871"/>
      <c r="G443" s="871"/>
      <c r="H443" s="871"/>
      <c r="I443" s="871"/>
      <c r="J443" s="162"/>
      <c r="K443" s="162"/>
      <c r="L443" s="162"/>
      <c r="S443" s="883">
        <f>ROUND('T2 MET'!C83,$D$442)</f>
        <v>0</v>
      </c>
      <c r="T443" s="883">
        <f>ROUND('T2 MET'!D83,$D$442)</f>
        <v>0</v>
      </c>
      <c r="U443" s="883">
        <f>ROUND('T2 MET'!E83,$D$442)</f>
        <v>0</v>
      </c>
      <c r="V443" s="883">
        <f>ROUND('T2 MET'!F83,$D$442)</f>
        <v>0</v>
      </c>
      <c r="W443" s="883">
        <f>ROUND('T2 MET'!G83,$D$442)</f>
        <v>0</v>
      </c>
    </row>
    <row r="444" spans="1:23" outlineLevel="1">
      <c r="A444" s="876"/>
      <c r="B444" s="876"/>
      <c r="C444" s="889" t="s">
        <v>209</v>
      </c>
      <c r="D444" s="890"/>
      <c r="E444" s="871"/>
      <c r="F444" s="871"/>
      <c r="G444" s="871"/>
      <c r="H444" s="871"/>
      <c r="I444" s="871"/>
      <c r="J444" s="162"/>
      <c r="K444" s="162"/>
      <c r="L444" s="162"/>
      <c r="S444" s="883">
        <f>ROUND('T3 MET'!E28,$D$442)</f>
        <v>0</v>
      </c>
      <c r="T444" s="883">
        <f>ROUND('T3 MET'!F28,$D$442)</f>
        <v>0</v>
      </c>
      <c r="U444" s="883">
        <f>ROUND('T3 MET'!G28,$D$442)</f>
        <v>0</v>
      </c>
      <c r="V444" s="883">
        <f>ROUND('T3 MET'!H28,$D$442)</f>
        <v>0</v>
      </c>
      <c r="W444" s="883">
        <f>ROUND('T3 MET'!I28,$D$442)</f>
        <v>0</v>
      </c>
    </row>
    <row r="445" spans="1:23">
      <c r="A445" s="876" t="s">
        <v>213</v>
      </c>
      <c r="B445" s="876" t="s">
        <v>214</v>
      </c>
      <c r="C445" s="888" t="s">
        <v>215</v>
      </c>
      <c r="D445" s="863">
        <v>3</v>
      </c>
      <c r="E445" s="871"/>
      <c r="F445" s="871"/>
      <c r="G445" s="871"/>
      <c r="H445" s="871"/>
      <c r="I445" s="871"/>
      <c r="J445" s="162"/>
      <c r="K445" s="162"/>
      <c r="L445" s="162"/>
      <c r="S445" s="879" t="b">
        <f>ROUND('T2 MET'!C84,$D$445)=ROUND('T3 MET'!E35+'T3 MET'!E42+'T3 MET'!E49+'T3 MET'!E56+'T3 MET'!E63+'T3 MET'!E70+'T3 MET'!E75,$D$445)</f>
        <v>1</v>
      </c>
      <c r="T445" s="879" t="b">
        <f>ROUND('T2 MET'!D84,$D$445)=ROUND('T3 MET'!F35+'T3 MET'!F42+'T3 MET'!F49+'T3 MET'!F56+'T3 MET'!F63+'T3 MET'!F70+'T3 MET'!F75,$D$445)</f>
        <v>1</v>
      </c>
      <c r="U445" s="879" t="b">
        <f>ROUND('T2 MET'!E84,$D$445)=ROUND('T3 MET'!G35+'T3 MET'!G42+'T3 MET'!G49+'T3 MET'!G56+'T3 MET'!G63+'T3 MET'!G70+'T3 MET'!G75,$D$445)</f>
        <v>1</v>
      </c>
      <c r="V445" s="879" t="b">
        <f>ROUND('T2 MET'!F84,$D$445)=ROUND('T3 MET'!H35+'T3 MET'!H42+'T3 MET'!H49+'T3 MET'!H56+'T3 MET'!H63+'T3 MET'!H70+'T3 MET'!H75,$D$445)</f>
        <v>1</v>
      </c>
      <c r="W445" s="879" t="b">
        <f>ROUND('T2 MET'!G84,$D$445)=ROUND('T3 MET'!I35+'T3 MET'!I42+'T3 MET'!I49+'T3 MET'!I56+'T3 MET'!I63+'T3 MET'!I70+'T3 MET'!I75,$D$445)</f>
        <v>1</v>
      </c>
    </row>
    <row r="446" spans="1:23" outlineLevel="1">
      <c r="A446" s="876"/>
      <c r="B446" s="876"/>
      <c r="C446" s="889" t="s">
        <v>208</v>
      </c>
      <c r="D446" s="890"/>
      <c r="E446" s="871"/>
      <c r="F446" s="871"/>
      <c r="G446" s="871"/>
      <c r="H446" s="871"/>
      <c r="I446" s="871"/>
      <c r="J446" s="162"/>
      <c r="K446" s="162"/>
      <c r="L446" s="162"/>
      <c r="S446" s="883">
        <f>ROUND('T2 MET'!C84,$D$445)</f>
        <v>0</v>
      </c>
      <c r="T446" s="883">
        <f>ROUND('T2 MET'!D84,$D$445)</f>
        <v>0</v>
      </c>
      <c r="U446" s="883">
        <f>ROUND('T2 MET'!E84,$D$445)</f>
        <v>0</v>
      </c>
      <c r="V446" s="883">
        <f>ROUND('T2 MET'!F84,$D$445)</f>
        <v>0</v>
      </c>
      <c r="W446" s="883">
        <f>ROUND('T2 MET'!G84,$D$445)</f>
        <v>0</v>
      </c>
    </row>
    <row r="447" spans="1:23" outlineLevel="1">
      <c r="A447" s="876"/>
      <c r="B447" s="876"/>
      <c r="C447" s="889" t="s">
        <v>209</v>
      </c>
      <c r="D447" s="890"/>
      <c r="E447" s="871"/>
      <c r="F447" s="871"/>
      <c r="G447" s="871"/>
      <c r="H447" s="871"/>
      <c r="I447" s="871"/>
      <c r="J447" s="162"/>
      <c r="K447" s="162"/>
      <c r="L447" s="162"/>
      <c r="S447" s="883">
        <f>ROUND('T3 MET'!E35+'T3 MET'!E42+'T3 MET'!E49+'T3 MET'!E56+'T3 MET'!E63+'T3 MET'!E70+'T3 MET'!E75,$D$445)</f>
        <v>0</v>
      </c>
      <c r="T447" s="883">
        <f>ROUND('T3 MET'!F35+'T3 MET'!F42+'T3 MET'!F49+'T3 MET'!F56+'T3 MET'!F63+'T3 MET'!F70+'T3 MET'!F75,$D$445)</f>
        <v>0</v>
      </c>
      <c r="U447" s="883">
        <f>ROUND('T3 MET'!G35+'T3 MET'!G42+'T3 MET'!G49+'T3 MET'!G56+'T3 MET'!G63+'T3 MET'!G70+'T3 MET'!G75,$D$445)</f>
        <v>0</v>
      </c>
      <c r="V447" s="883">
        <f>ROUND('T3 MET'!H35+'T3 MET'!H42+'T3 MET'!H49+'T3 MET'!H56+'T3 MET'!H63+'T3 MET'!H70+'T3 MET'!H75,$D$445)</f>
        <v>0</v>
      </c>
      <c r="W447" s="883">
        <f>ROUND('T3 MET'!I35+'T3 MET'!I42+'T3 MET'!I49+'T3 MET'!I56+'T3 MET'!I63+'T3 MET'!I70+'T3 MET'!I75,$D$445)</f>
        <v>0</v>
      </c>
    </row>
    <row r="448" spans="1:23">
      <c r="A448" s="876" t="s">
        <v>216</v>
      </c>
      <c r="B448" s="876" t="s">
        <v>217</v>
      </c>
      <c r="C448" s="888" t="s">
        <v>218</v>
      </c>
      <c r="D448" s="863">
        <v>3</v>
      </c>
      <c r="E448" s="871"/>
      <c r="F448" s="871"/>
      <c r="G448" s="871"/>
      <c r="H448" s="871"/>
      <c r="I448" s="871"/>
      <c r="J448" s="162"/>
      <c r="K448" s="162"/>
      <c r="L448" s="162"/>
      <c r="S448" s="879" t="b">
        <f>ROUND('T2 MET'!C85,$D$448)=ROUND('T3 MET'!E86,$D$448)</f>
        <v>1</v>
      </c>
      <c r="T448" s="879" t="b">
        <f>ROUND('T2 MET'!D85,$D$448)=ROUND('T3 MET'!F86,$D$448)</f>
        <v>1</v>
      </c>
      <c r="U448" s="879" t="b">
        <f>ROUND('T2 MET'!E85,$D$448)=ROUND('T3 MET'!G86,$D$448)</f>
        <v>1</v>
      </c>
      <c r="V448" s="879" t="b">
        <f>ROUND('T2 MET'!F85,$D$448)=ROUND('T3 MET'!H86,$D$448)</f>
        <v>1</v>
      </c>
      <c r="W448" s="879" t="b">
        <f>ROUND('T2 MET'!G85,$D$448)=ROUND('T3 MET'!I86,$D$448)</f>
        <v>1</v>
      </c>
    </row>
    <row r="449" spans="1:23" outlineLevel="1">
      <c r="A449" s="876"/>
      <c r="B449" s="876"/>
      <c r="C449" s="889" t="s">
        <v>208</v>
      </c>
      <c r="D449" s="890"/>
      <c r="E449" s="871"/>
      <c r="F449" s="871"/>
      <c r="G449" s="871"/>
      <c r="H449" s="871"/>
      <c r="I449" s="871"/>
      <c r="J449" s="162"/>
      <c r="K449" s="162"/>
      <c r="L449" s="162"/>
      <c r="S449" s="883">
        <f>ROUND('T2 MET'!C85,$D$448)</f>
        <v>0</v>
      </c>
      <c r="T449" s="883">
        <f>ROUND('T2 MET'!D85,$D$448)</f>
        <v>0</v>
      </c>
      <c r="U449" s="883">
        <f>ROUND('T2 MET'!E85,$D$448)</f>
        <v>0</v>
      </c>
      <c r="V449" s="883">
        <f>ROUND('T2 MET'!F85,$D$448)</f>
        <v>0</v>
      </c>
      <c r="W449" s="883">
        <f>ROUND('T2 MET'!G85,$D$448)</f>
        <v>0</v>
      </c>
    </row>
    <row r="450" spans="1:23" outlineLevel="1">
      <c r="A450" s="876"/>
      <c r="B450" s="876"/>
      <c r="C450" s="889" t="s">
        <v>209</v>
      </c>
      <c r="D450" s="890"/>
      <c r="E450" s="871"/>
      <c r="F450" s="871"/>
      <c r="G450" s="871"/>
      <c r="H450" s="871"/>
      <c r="I450" s="871"/>
      <c r="J450" s="162"/>
      <c r="K450" s="162"/>
      <c r="L450" s="162"/>
      <c r="S450" s="883">
        <f>ROUND('T3 MET'!E86,$D$448)</f>
        <v>0</v>
      </c>
      <c r="T450" s="883">
        <f>ROUND('T3 MET'!F86,$D$448)</f>
        <v>0</v>
      </c>
      <c r="U450" s="883">
        <f>ROUND('T3 MET'!G86,$D$448)</f>
        <v>0</v>
      </c>
      <c r="V450" s="883">
        <f>ROUND('T3 MET'!H86,$D$448)</f>
        <v>0</v>
      </c>
      <c r="W450" s="883">
        <f>ROUND('T3 MET'!I86,$D$448)</f>
        <v>0</v>
      </c>
    </row>
    <row r="451" spans="1:23">
      <c r="A451" s="876" t="s">
        <v>219</v>
      </c>
      <c r="B451" s="876" t="s">
        <v>220</v>
      </c>
      <c r="C451" s="888" t="s">
        <v>221</v>
      </c>
      <c r="D451" s="863">
        <v>3</v>
      </c>
      <c r="E451" s="871"/>
      <c r="F451" s="871"/>
      <c r="G451" s="871"/>
      <c r="H451" s="871"/>
      <c r="I451" s="871"/>
      <c r="J451" s="162"/>
      <c r="K451" s="162"/>
      <c r="L451" s="162"/>
      <c r="S451" s="879" t="b">
        <f>ROUND('T2 MET'!C86,$D$451)=ROUND('T3 MET'!E97,$D$451)</f>
        <v>1</v>
      </c>
      <c r="T451" s="879" t="b">
        <f>ROUND('T2 MET'!D86,$D$451)=ROUND('T3 MET'!F97,$D$451)</f>
        <v>1</v>
      </c>
      <c r="U451" s="879" t="b">
        <f>ROUND('T2 MET'!E86,$D$451)=ROUND('T3 MET'!G97,$D$451)</f>
        <v>1</v>
      </c>
      <c r="V451" s="879" t="b">
        <f>ROUND('T2 MET'!F86,$D$451)=ROUND('T3 MET'!H97,$D$451)</f>
        <v>1</v>
      </c>
      <c r="W451" s="879" t="b">
        <f>ROUND('T2 MET'!G86,$D$451)=ROUND('T3 MET'!I97,$D$451)</f>
        <v>1</v>
      </c>
    </row>
    <row r="452" spans="1:23" outlineLevel="1">
      <c r="A452" s="876"/>
      <c r="B452" s="876"/>
      <c r="C452" s="889" t="s">
        <v>208</v>
      </c>
      <c r="D452" s="890"/>
      <c r="E452" s="871"/>
      <c r="F452" s="871"/>
      <c r="G452" s="871"/>
      <c r="H452" s="871"/>
      <c r="I452" s="871"/>
      <c r="J452" s="162"/>
      <c r="K452" s="162"/>
      <c r="L452" s="162"/>
      <c r="S452" s="883">
        <f>ROUND('T2 MET'!C86,$D$451)</f>
        <v>0</v>
      </c>
      <c r="T452" s="883">
        <f>ROUND('T2 MET'!D86,$D$451)</f>
        <v>0</v>
      </c>
      <c r="U452" s="883">
        <f>ROUND('T2 MET'!E86,$D$451)</f>
        <v>0</v>
      </c>
      <c r="V452" s="883">
        <f>ROUND('T2 MET'!F86,$D$451)</f>
        <v>0</v>
      </c>
      <c r="W452" s="883">
        <f>ROUND('T2 MET'!G86,$D$451)</f>
        <v>0</v>
      </c>
    </row>
    <row r="453" spans="1:23" outlineLevel="1">
      <c r="A453" s="876"/>
      <c r="B453" s="876"/>
      <c r="C453" s="889" t="s">
        <v>209</v>
      </c>
      <c r="D453" s="890"/>
      <c r="E453" s="871"/>
      <c r="F453" s="871"/>
      <c r="G453" s="871"/>
      <c r="H453" s="871"/>
      <c r="I453" s="871"/>
      <c r="J453" s="162"/>
      <c r="K453" s="162"/>
      <c r="L453" s="162"/>
      <c r="S453" s="883">
        <f>ROUND('T3 MET'!E97,$D$451)</f>
        <v>0</v>
      </c>
      <c r="T453" s="883">
        <f>ROUND('T3 MET'!F97,$D$451)</f>
        <v>0</v>
      </c>
      <c r="U453" s="883">
        <f>ROUND('T3 MET'!G97,$D$451)</f>
        <v>0</v>
      </c>
      <c r="V453" s="883">
        <f>ROUND('T3 MET'!H97,$D$451)</f>
        <v>0</v>
      </c>
      <c r="W453" s="883">
        <f>ROUND('T3 MET'!I97,$D$451)</f>
        <v>0</v>
      </c>
    </row>
    <row r="454" spans="1:23">
      <c r="A454" s="876" t="s">
        <v>222</v>
      </c>
      <c r="B454" s="876" t="s">
        <v>223</v>
      </c>
      <c r="C454" s="888" t="s">
        <v>224</v>
      </c>
      <c r="D454" s="863">
        <v>3</v>
      </c>
      <c r="E454" s="871"/>
      <c r="F454" s="871"/>
      <c r="G454" s="871"/>
      <c r="H454" s="871"/>
      <c r="I454" s="871"/>
      <c r="J454" s="162"/>
      <c r="K454" s="162"/>
      <c r="L454" s="162"/>
      <c r="S454" s="879" t="b">
        <f>ROUND('T2 MET'!C87,$D$454)=ROUND('T3 MET'!E166,$D$454)</f>
        <v>1</v>
      </c>
      <c r="T454" s="879" t="b">
        <f>ROUND('T2 MET'!D87,$D$454)=ROUND('T3 MET'!F166,$D$454)</f>
        <v>1</v>
      </c>
      <c r="U454" s="879" t="b">
        <f>ROUND('T2 MET'!E87,$D$454)=ROUND('T3 MET'!G166,$D$454)</f>
        <v>1</v>
      </c>
      <c r="V454" s="879" t="b">
        <f>ROUND('T2 MET'!F87,$D$454)=ROUND('T3 MET'!H166,$D$454)</f>
        <v>1</v>
      </c>
      <c r="W454" s="879" t="b">
        <f>ROUND('T2 MET'!G87,$D$454)=ROUND('T3 MET'!I166,$D$454)</f>
        <v>1</v>
      </c>
    </row>
    <row r="455" spans="1:23" outlineLevel="1">
      <c r="A455" s="876"/>
      <c r="B455" s="876"/>
      <c r="C455" s="889" t="s">
        <v>208</v>
      </c>
      <c r="D455" s="890"/>
      <c r="E455" s="871"/>
      <c r="F455" s="871"/>
      <c r="G455" s="871"/>
      <c r="H455" s="871"/>
      <c r="I455" s="871"/>
      <c r="J455" s="162"/>
      <c r="K455" s="162"/>
      <c r="L455" s="162"/>
      <c r="S455" s="883">
        <f>ROUND('T2 MET'!C87,$D$454)</f>
        <v>-3366</v>
      </c>
      <c r="T455" s="883">
        <f>ROUND('T2 MET'!D87,$D$454)</f>
        <v>-3558.183</v>
      </c>
      <c r="U455" s="883">
        <f>ROUND('T2 MET'!E87,$D$454)</f>
        <v>16091.902</v>
      </c>
      <c r="V455" s="883">
        <f>ROUND('T2 MET'!F87,$D$454)</f>
        <v>14830.308999999999</v>
      </c>
      <c r="W455" s="883">
        <f>ROUND('T2 MET'!G87,$D$454)</f>
        <v>8568.9290000000001</v>
      </c>
    </row>
    <row r="456" spans="1:23" outlineLevel="1">
      <c r="A456" s="876"/>
      <c r="B456" s="876"/>
      <c r="C456" s="889" t="s">
        <v>209</v>
      </c>
      <c r="D456" s="890"/>
      <c r="E456" s="871"/>
      <c r="F456" s="871"/>
      <c r="G456" s="871"/>
      <c r="H456" s="871"/>
      <c r="I456" s="871"/>
      <c r="J456" s="162"/>
      <c r="K456" s="162"/>
      <c r="L456" s="162"/>
      <c r="S456" s="883">
        <f>ROUND('T3 MET'!E166,$D$454)</f>
        <v>-3366</v>
      </c>
      <c r="T456" s="883">
        <f>ROUND('T3 MET'!F166,$D$454)</f>
        <v>-3558.183</v>
      </c>
      <c r="U456" s="883">
        <f>ROUND('T3 MET'!G166,$D$454)</f>
        <v>16091.902</v>
      </c>
      <c r="V456" s="883">
        <f>ROUND('T3 MET'!H166,$D$454)</f>
        <v>14830.308999999999</v>
      </c>
      <c r="W456" s="883">
        <f>ROUND('T3 MET'!I166,$D$454)</f>
        <v>8568.9290000000001</v>
      </c>
    </row>
    <row r="457" spans="1:23">
      <c r="A457" s="876" t="s">
        <v>225</v>
      </c>
      <c r="B457" s="876" t="s">
        <v>226</v>
      </c>
      <c r="C457" s="888" t="s">
        <v>227</v>
      </c>
      <c r="D457" s="863">
        <v>3</v>
      </c>
      <c r="E457" s="871"/>
      <c r="F457" s="871"/>
      <c r="G457" s="871"/>
      <c r="H457" s="871"/>
      <c r="I457" s="871"/>
      <c r="J457" s="162"/>
      <c r="K457" s="162"/>
      <c r="L457" s="162"/>
      <c r="S457" s="879" t="b">
        <f>ROUND('T2 MET'!C88,$D$457)=ROUND('T3 MET'!E125+'T3 MET'!E136+'T3 MET'!E147+'T3 MET'!E158,$D$457)</f>
        <v>1</v>
      </c>
      <c r="T457" s="879" t="b">
        <f>ROUND('T2 MET'!D88,$D$457)=ROUND('T3 MET'!F125+'T3 MET'!F136+'T3 MET'!F147+'T3 MET'!F158,$D$457)</f>
        <v>1</v>
      </c>
      <c r="U457" s="879" t="b">
        <f>ROUND('T2 MET'!E88,$D$457)=ROUND('T3 MET'!G181+'T3 MET'!G196+'T3 MET'!G211,$D$457)</f>
        <v>1</v>
      </c>
      <c r="V457" s="879" t="b">
        <f>ROUND('T2 MET'!F88,$D$457)=ROUND('T3 MET'!H181+'T3 MET'!H196+'T3 MET'!H211,$D$457)</f>
        <v>1</v>
      </c>
      <c r="W457" s="879" t="b">
        <f>ROUND('T2 MET'!G88,$D$457)=ROUND('T3 MET'!I181+'T3 MET'!I196+'T3 MET'!I211,$D$457)</f>
        <v>1</v>
      </c>
    </row>
    <row r="458" spans="1:23" outlineLevel="1">
      <c r="A458" s="876"/>
      <c r="B458" s="876"/>
      <c r="C458" s="889" t="s">
        <v>208</v>
      </c>
      <c r="D458" s="890"/>
      <c r="E458" s="871"/>
      <c r="F458" s="871"/>
      <c r="G458" s="871"/>
      <c r="H458" s="871"/>
      <c r="I458" s="871"/>
      <c r="J458" s="162"/>
      <c r="K458" s="162"/>
      <c r="L458" s="162"/>
      <c r="S458" s="883">
        <f>ROUND('T2 MET'!C88,$D$457)</f>
        <v>0</v>
      </c>
      <c r="T458" s="883">
        <f>ROUND('T2 MET'!D88,$D$457)</f>
        <v>0</v>
      </c>
      <c r="U458" s="883">
        <f>ROUND('T2 MET'!E88,$D$457)</f>
        <v>0</v>
      </c>
      <c r="V458" s="883">
        <f>ROUND('T2 MET'!F88,$D$457)</f>
        <v>0</v>
      </c>
      <c r="W458" s="883">
        <f>ROUND('T2 MET'!G88,$D$457)</f>
        <v>0</v>
      </c>
    </row>
    <row r="459" spans="1:23" outlineLevel="1">
      <c r="A459" s="876"/>
      <c r="B459" s="876"/>
      <c r="C459" s="889" t="s">
        <v>209</v>
      </c>
      <c r="D459" s="890"/>
      <c r="E459" s="871"/>
      <c r="F459" s="871"/>
      <c r="G459" s="871"/>
      <c r="H459" s="871"/>
      <c r="I459" s="871"/>
      <c r="J459" s="162"/>
      <c r="K459" s="162"/>
      <c r="L459" s="162"/>
      <c r="S459" s="883">
        <f>ROUND('T3 MET'!E125+'T3 MET'!E136+'T3 MET'!E147+'T3 MET'!E158,$D$457)</f>
        <v>0</v>
      </c>
      <c r="T459" s="883">
        <f>ROUND('T3 MET'!F125+'T3 MET'!F136+'T3 MET'!F147+'T3 MET'!F158,$D$457)</f>
        <v>0</v>
      </c>
      <c r="U459" s="883">
        <f>ROUND('T3 MET'!G181+'T3 MET'!G196+'T3 MET'!G211,$D$457)</f>
        <v>0</v>
      </c>
      <c r="V459" s="883">
        <f>ROUND('T3 MET'!H181+'T3 MET'!H196+'T3 MET'!H211,$D$457)</f>
        <v>0</v>
      </c>
      <c r="W459" s="883">
        <f>ROUND('T3 MET'!I125+'T3 MET'!I136+'T3 MET'!I147+'T3 MET'!I158,$D$457)</f>
        <v>0</v>
      </c>
    </row>
    <row r="460" spans="1:23">
      <c r="A460" s="876" t="s">
        <v>228</v>
      </c>
      <c r="B460" s="876" t="s">
        <v>229</v>
      </c>
      <c r="C460" s="888" t="s">
        <v>230</v>
      </c>
      <c r="D460" s="863">
        <v>3</v>
      </c>
      <c r="E460" s="871"/>
      <c r="F460" s="871"/>
      <c r="G460" s="871"/>
      <c r="H460" s="871"/>
      <c r="I460" s="871"/>
      <c r="J460" s="162"/>
      <c r="K460" s="162"/>
      <c r="L460" s="162"/>
      <c r="S460" s="879" t="b">
        <f>ROUND('T2 MET'!C89,$D$460)=ROUND('T3 MET'!E172,$D$460)</f>
        <v>1</v>
      </c>
      <c r="T460" s="879" t="b">
        <f>ROUND('T2 MET'!D89,$D$460)=ROUND('T3 MET'!F172,$D$460)</f>
        <v>1</v>
      </c>
      <c r="U460" s="879" t="b">
        <f>ROUND('T2 MET'!E89,$D$460)=ROUND('T3 MET'!G172,$D$460)</f>
        <v>1</v>
      </c>
      <c r="V460" s="879" t="b">
        <f>ROUND('T2 MET'!F89,$D$460)=ROUND('T3 MET'!H172,$D$460)</f>
        <v>1</v>
      </c>
      <c r="W460" s="879" t="b">
        <f>ROUND('T2 MET'!G89,$D$460)=ROUND('T3 MET'!I172,$D$460)</f>
        <v>1</v>
      </c>
    </row>
    <row r="461" spans="1:23" outlineLevel="1">
      <c r="A461" s="876"/>
      <c r="B461" s="876"/>
      <c r="C461" s="889" t="s">
        <v>208</v>
      </c>
      <c r="D461" s="890"/>
      <c r="E461" s="871"/>
      <c r="F461" s="871"/>
      <c r="G461" s="871"/>
      <c r="H461" s="871"/>
      <c r="I461" s="871"/>
      <c r="J461" s="162"/>
      <c r="K461" s="162"/>
      <c r="L461" s="162"/>
      <c r="S461" s="883">
        <f>ROUND('T2 MET'!C89,$D$460)</f>
        <v>0</v>
      </c>
      <c r="T461" s="883">
        <f>ROUND('T2 MET'!D89,$D$460)</f>
        <v>0</v>
      </c>
      <c r="U461" s="883">
        <f>ROUND('T2 MET'!E89,$D$460)</f>
        <v>0</v>
      </c>
      <c r="V461" s="883">
        <f>ROUND('T2 MET'!F89,$D$460)</f>
        <v>0</v>
      </c>
      <c r="W461" s="883">
        <f>ROUND('T2 MET'!G89,$D$460)</f>
        <v>0</v>
      </c>
    </row>
    <row r="462" spans="1:23" outlineLevel="1">
      <c r="A462" s="876"/>
      <c r="B462" s="876"/>
      <c r="C462" s="889" t="s">
        <v>209</v>
      </c>
      <c r="D462" s="890"/>
      <c r="E462" s="871"/>
      <c r="F462" s="871"/>
      <c r="G462" s="871"/>
      <c r="H462" s="871"/>
      <c r="I462" s="871"/>
      <c r="J462" s="162"/>
      <c r="K462" s="162"/>
      <c r="L462" s="162"/>
      <c r="S462" s="883">
        <f>ROUND('T3 MET'!E172,$D$460)</f>
        <v>0</v>
      </c>
      <c r="T462" s="883">
        <f>ROUND('T3 MET'!F172,$D$460)</f>
        <v>0</v>
      </c>
      <c r="U462" s="883">
        <f>ROUND('T3 MET'!G172,$D$460)</f>
        <v>0</v>
      </c>
      <c r="V462" s="883">
        <f>ROUND('T3 MET'!H172,$D$460)</f>
        <v>0</v>
      </c>
      <c r="W462" s="883">
        <f>ROUND('T3 MET'!I172,$D$460)</f>
        <v>0</v>
      </c>
    </row>
    <row r="463" spans="1:23">
      <c r="A463" s="876" t="s">
        <v>231</v>
      </c>
      <c r="B463" s="876" t="s">
        <v>232</v>
      </c>
      <c r="C463" s="888" t="s">
        <v>233</v>
      </c>
      <c r="D463" s="863">
        <v>3</v>
      </c>
      <c r="E463" s="871"/>
      <c r="F463" s="871"/>
      <c r="G463" s="871"/>
      <c r="H463" s="871"/>
      <c r="I463" s="871"/>
      <c r="J463" s="162"/>
      <c r="K463" s="162"/>
      <c r="L463" s="162"/>
      <c r="S463" s="879" t="b">
        <f>ROUND('T2 MET'!C90,$D$463)=ROUND('T3 MET'!E165,$D$463)</f>
        <v>1</v>
      </c>
      <c r="T463" s="879" t="b">
        <f>ROUND('T2 MET'!D90,$D$463)=ROUND('T3 MET'!F165,$D$463)</f>
        <v>1</v>
      </c>
      <c r="U463" s="879" t="b">
        <f>ROUND('T2 MET'!E90,$D$463)=ROUND('T3 MET'!G165,$D$463)</f>
        <v>1</v>
      </c>
      <c r="V463" s="879" t="b">
        <f>ROUND('T2 MET'!F90,$D$463)=ROUND('T3 MET'!H165,$D$463)</f>
        <v>1</v>
      </c>
      <c r="W463" s="879" t="b">
        <f>ROUND('T2 MET'!G90,$D$463)=ROUND('T3 MET'!I165,$D$463)</f>
        <v>1</v>
      </c>
    </row>
    <row r="464" spans="1:23" outlineLevel="1">
      <c r="A464" s="876"/>
      <c r="B464" s="876"/>
      <c r="C464" s="889" t="s">
        <v>208</v>
      </c>
      <c r="D464" s="890"/>
      <c r="E464" s="871"/>
      <c r="F464" s="871"/>
      <c r="G464" s="871"/>
      <c r="H464" s="871"/>
      <c r="I464" s="871"/>
      <c r="J464" s="162"/>
      <c r="K464" s="162"/>
      <c r="L464" s="162"/>
      <c r="S464" s="883">
        <f>ROUND('T2 MET'!C90,$D$463)</f>
        <v>0</v>
      </c>
      <c r="T464" s="883">
        <f>ROUND('T2 MET'!D90,$D$463)</f>
        <v>0</v>
      </c>
      <c r="U464" s="883">
        <f>ROUND('T2 MET'!E90,$D$463)</f>
        <v>0</v>
      </c>
      <c r="V464" s="883">
        <f>ROUND('T2 MET'!F90,$D$463)</f>
        <v>0</v>
      </c>
      <c r="W464" s="883">
        <f>ROUND('T2 MET'!G90,$D$463)</f>
        <v>0</v>
      </c>
    </row>
    <row r="465" spans="1:26" outlineLevel="1">
      <c r="A465" s="876"/>
      <c r="B465" s="876"/>
      <c r="C465" s="889" t="s">
        <v>209</v>
      </c>
      <c r="D465" s="890"/>
      <c r="E465" s="871"/>
      <c r="F465" s="871"/>
      <c r="G465" s="871"/>
      <c r="H465" s="871"/>
      <c r="I465" s="871"/>
      <c r="J465" s="162"/>
      <c r="K465" s="162"/>
      <c r="L465" s="162"/>
      <c r="S465" s="883">
        <f>ROUND('T3 MET'!E165,$D$463)</f>
        <v>0</v>
      </c>
      <c r="T465" s="883">
        <f>ROUND('T3 MET'!F165,$D$463)</f>
        <v>0</v>
      </c>
      <c r="U465" s="883">
        <f>ROUND('T3 MET'!G165,$D$463)</f>
        <v>0</v>
      </c>
      <c r="V465" s="883">
        <f>ROUND('T3 MET'!H165,$D$463)</f>
        <v>0</v>
      </c>
      <c r="W465" s="883">
        <f>ROUND('T3 MET'!I165,$D$463)</f>
        <v>0</v>
      </c>
    </row>
    <row r="466" spans="1:26" s="891" customFormat="1">
      <c r="A466" s="875" t="s">
        <v>234</v>
      </c>
      <c r="B466" s="876" t="s">
        <v>235</v>
      </c>
      <c r="C466" s="888" t="s">
        <v>236</v>
      </c>
      <c r="D466" s="863">
        <v>3</v>
      </c>
      <c r="E466" s="871"/>
      <c r="F466" s="871"/>
      <c r="G466" s="871"/>
      <c r="H466" s="871"/>
      <c r="I466" s="871"/>
      <c r="R466" s="162"/>
      <c r="S466" s="879" t="b">
        <f>ROUND(SUM('T2 MET'!C82:C90),$D$466)=ROUND('T3 MET'!E251,$D$466)</f>
        <v>1</v>
      </c>
      <c r="T466" s="879" t="b">
        <f>ROUND(SUM('T2 MET'!D82:D90),$D$466)=ROUND('T3 MET'!F251,$D$466)</f>
        <v>1</v>
      </c>
      <c r="U466" s="879" t="b">
        <f>ROUND(SUM('T2 MET'!E82:E90),$D$466)=ROUND('T3 MET'!G251,$D$466)</f>
        <v>1</v>
      </c>
      <c r="V466" s="879" t="b">
        <f>ROUND(SUM('T2 MET'!F82:F90),$D$466)=ROUND('T3 MET'!H251,$D$466)</f>
        <v>1</v>
      </c>
      <c r="W466" s="879" t="b">
        <f>ROUND(SUM('T2 MET'!G82:G90),$D$466)=ROUND('T3 MET'!I251,$D$466)</f>
        <v>1</v>
      </c>
      <c r="X466" s="871"/>
      <c r="Y466" s="871"/>
      <c r="Z466" s="871"/>
    </row>
    <row r="467" spans="1:26" outlineLevel="1">
      <c r="A467" s="876"/>
      <c r="B467" s="876"/>
      <c r="C467" s="889" t="s">
        <v>237</v>
      </c>
      <c r="D467" s="890"/>
      <c r="E467" s="871"/>
      <c r="F467" s="871"/>
      <c r="G467" s="871"/>
      <c r="H467" s="871"/>
      <c r="I467" s="871"/>
      <c r="J467" s="162"/>
      <c r="K467" s="162"/>
      <c r="L467" s="162"/>
      <c r="S467" s="883">
        <f>ROUND(SUM('T2 MET'!C82:C90),$D$466)</f>
        <v>-3976</v>
      </c>
      <c r="T467" s="883">
        <f>ROUND(SUM('T2 MET'!D82:D90),$D$466)</f>
        <v>-4217.1270000000004</v>
      </c>
      <c r="U467" s="883">
        <f>ROUND(SUM('T2 MET'!E82:E90),$D$466)</f>
        <v>15755.052</v>
      </c>
      <c r="V467" s="883">
        <f>ROUND(SUM('T2 MET'!F82:F90),$D$466)</f>
        <v>14677.237999999999</v>
      </c>
      <c r="W467" s="883">
        <f>ROUND(SUM('T2 MET'!G82:G90),$D$466)</f>
        <v>10599.227999999999</v>
      </c>
      <c r="X467" s="871"/>
      <c r="Y467" s="871"/>
      <c r="Z467" s="871"/>
    </row>
    <row r="468" spans="1:26" outlineLevel="1">
      <c r="A468" s="876"/>
      <c r="B468" s="876"/>
      <c r="C468" s="889" t="s">
        <v>238</v>
      </c>
      <c r="D468" s="890"/>
      <c r="E468" s="871"/>
      <c r="F468" s="871"/>
      <c r="G468" s="871"/>
      <c r="H468" s="871"/>
      <c r="I468" s="871"/>
      <c r="J468" s="162"/>
      <c r="K468" s="162"/>
      <c r="L468" s="162"/>
      <c r="S468" s="883">
        <f>ROUND('T3 MET'!E251,$D$466)</f>
        <v>-3976</v>
      </c>
      <c r="T468" s="883">
        <f>ROUND('T3 MET'!F251,$D$466)</f>
        <v>-4217.1270000000004</v>
      </c>
      <c r="U468" s="883">
        <f>ROUND('T3 MET'!G251,$D$466)</f>
        <v>15755.052</v>
      </c>
      <c r="V468" s="883">
        <f>ROUND('T3 MET'!H251,$D$466)</f>
        <v>14677.237999999999</v>
      </c>
      <c r="W468" s="883">
        <f>ROUND('T3 MET'!I251,$D$466)</f>
        <v>10599.227999999999</v>
      </c>
      <c r="X468" s="871"/>
      <c r="Y468" s="871"/>
      <c r="Z468" s="871"/>
    </row>
    <row r="469" spans="1:26" s="878" customFormat="1">
      <c r="A469" s="875" t="s">
        <v>239</v>
      </c>
      <c r="B469" s="876" t="s">
        <v>240</v>
      </c>
      <c r="C469" s="877" t="s">
        <v>241</v>
      </c>
      <c r="D469" s="863">
        <v>3</v>
      </c>
      <c r="E469" s="871"/>
      <c r="F469" s="871"/>
      <c r="G469" s="871"/>
      <c r="H469" s="871"/>
      <c r="I469" s="871"/>
      <c r="R469" s="162"/>
      <c r="S469" s="879" t="b">
        <f>ROUND('T2 MET'!C91,$D$469)=ROUND(SUM('T2 MET'!C81:C90),$D$469)</f>
        <v>1</v>
      </c>
      <c r="T469" s="879" t="b">
        <f>ROUND('T2 MET'!D91,$D$469)=ROUND(SUM('T2 MET'!D81:D90),$D$469)</f>
        <v>1</v>
      </c>
      <c r="U469" s="879" t="b">
        <f>ROUND('T2 MET'!E91,$D$469)=ROUND(SUM('T2 MET'!E81:E90),$D$469)</f>
        <v>1</v>
      </c>
      <c r="V469" s="879" t="b">
        <f>ROUND('T2 MET'!F91,$D$469)=ROUND(SUM('T2 MET'!F81:F90),$D$469)</f>
        <v>1</v>
      </c>
      <c r="W469" s="879" t="b">
        <f>ROUND('T2 MET'!G91,$D$469)=ROUND(SUM('T2 MET'!G81:G90),$D$469)</f>
        <v>1</v>
      </c>
    </row>
    <row r="470" spans="1:26" s="882" customFormat="1" outlineLevel="1">
      <c r="A470" s="875"/>
      <c r="B470" s="876"/>
      <c r="C470" s="880" t="s">
        <v>242</v>
      </c>
      <c r="D470" s="881"/>
      <c r="E470" s="871"/>
      <c r="F470" s="871"/>
      <c r="G470" s="871"/>
      <c r="H470" s="871"/>
      <c r="I470" s="871"/>
      <c r="R470" s="162"/>
      <c r="S470" s="883">
        <f>ROUND('T2 MET'!C91,$D$469)</f>
        <v>26961.955000000002</v>
      </c>
      <c r="T470" s="883">
        <f>ROUND('T2 MET'!D91,$D$469)</f>
        <v>25976.796999999999</v>
      </c>
      <c r="U470" s="883">
        <f>ROUND('T2 MET'!E91,$D$469)</f>
        <v>47386.857000000004</v>
      </c>
      <c r="V470" s="883">
        <f>ROUND('T2 MET'!F91,$D$469)</f>
        <v>49657.232000000004</v>
      </c>
      <c r="W470" s="883">
        <f>ROUND('T2 MET'!G91,$D$469)</f>
        <v>49753.864000000001</v>
      </c>
    </row>
    <row r="471" spans="1:26" s="882" customFormat="1" outlineLevel="1">
      <c r="A471" s="875"/>
      <c r="B471" s="876"/>
      <c r="C471" s="865" t="s">
        <v>243</v>
      </c>
      <c r="D471" s="881"/>
      <c r="E471" s="871"/>
      <c r="F471" s="871"/>
      <c r="G471" s="871"/>
      <c r="H471" s="871"/>
      <c r="I471" s="871"/>
      <c r="R471" s="162"/>
      <c r="S471" s="883">
        <f>ROUND(SUM('T2 MET'!C81:C90),$D$469)</f>
        <v>26961.955000000002</v>
      </c>
      <c r="T471" s="883">
        <f>ROUND(SUM('T2 MET'!D81:D90),$D$469)</f>
        <v>25976.796999999999</v>
      </c>
      <c r="U471" s="883">
        <f>ROUND(SUM('T2 MET'!E81:E90),$D$469)</f>
        <v>47386.857000000004</v>
      </c>
      <c r="V471" s="883">
        <f>ROUND(SUM('T2 MET'!F81:F90),$D$469)</f>
        <v>49657.232000000004</v>
      </c>
      <c r="W471" s="883">
        <f>ROUND(SUM('T2 MET'!G81:G90),$D$469)</f>
        <v>49753.864000000001</v>
      </c>
    </row>
    <row r="472" spans="1:26" s="878" customFormat="1">
      <c r="A472" s="875" t="s">
        <v>244</v>
      </c>
      <c r="B472" s="876" t="s">
        <v>245</v>
      </c>
      <c r="C472" s="877" t="s">
        <v>246</v>
      </c>
      <c r="D472" s="863">
        <v>3</v>
      </c>
      <c r="E472" s="871"/>
      <c r="F472" s="871"/>
      <c r="G472" s="871"/>
      <c r="H472" s="871"/>
      <c r="I472" s="871"/>
      <c r="R472" s="162"/>
      <c r="S472" s="879" t="b">
        <f>ROUND('T2 MET'!C92,$D$472)=ROUND('T2 MET'!C38,$D$472)</f>
        <v>1</v>
      </c>
      <c r="T472" s="879" t="b">
        <f>ROUND('T2 MET'!D92,$D$472)=ROUND('T2 MET'!D38,$D$472)</f>
        <v>1</v>
      </c>
      <c r="U472" s="879" t="b">
        <f>ROUND('T2 MET'!E92,$D$472)=ROUND('T2 MET'!E38,$D$472)</f>
        <v>1</v>
      </c>
      <c r="V472" s="879" t="b">
        <f>ROUND('T2 MET'!F92,$D$472)=ROUND('T2 MET'!F38,$D$472)</f>
        <v>1</v>
      </c>
      <c r="W472" s="879" t="b">
        <f>ROUND('T2 MET'!G92,$D$472)=ROUND('T2 MET'!G38,$D$472)</f>
        <v>1</v>
      </c>
    </row>
    <row r="473" spans="1:26" s="882" customFormat="1" outlineLevel="1">
      <c r="A473" s="875"/>
      <c r="B473" s="876"/>
      <c r="C473" s="880" t="s">
        <v>247</v>
      </c>
      <c r="D473" s="881"/>
      <c r="E473" s="871"/>
      <c r="F473" s="871"/>
      <c r="G473" s="871"/>
      <c r="H473" s="871"/>
      <c r="I473" s="871"/>
      <c r="R473" s="162"/>
      <c r="S473" s="883">
        <f>ROUND('T2 MET'!C92,$D$472)</f>
        <v>12647.945</v>
      </c>
      <c r="T473" s="883">
        <f>ROUND('T2 MET'!D92,$D$472)</f>
        <v>12891</v>
      </c>
      <c r="U473" s="883">
        <f>ROUND('T2 MET'!E92,$D$472)</f>
        <v>13183</v>
      </c>
      <c r="V473" s="883">
        <f>ROUND('T2 MET'!F92,$D$472)</f>
        <v>11956</v>
      </c>
      <c r="W473" s="883">
        <f>ROUND('T2 MET'!G92,$D$472)</f>
        <v>12930</v>
      </c>
    </row>
    <row r="474" spans="1:26" s="882" customFormat="1" outlineLevel="1">
      <c r="A474" s="875"/>
      <c r="B474" s="876"/>
      <c r="C474" s="880" t="s">
        <v>248</v>
      </c>
      <c r="D474" s="881"/>
      <c r="E474" s="871"/>
      <c r="F474" s="871"/>
      <c r="G474" s="871"/>
      <c r="H474" s="871"/>
      <c r="I474" s="871"/>
      <c r="R474" s="162"/>
      <c r="S474" s="883">
        <f>ROUND('T2 MET'!C38,$D$472)</f>
        <v>12647.945</v>
      </c>
      <c r="T474" s="883">
        <f>ROUND('T2 MET'!D38,$D$472)</f>
        <v>12891</v>
      </c>
      <c r="U474" s="883">
        <f>ROUND('T2 MET'!E38,$D$472)</f>
        <v>13183</v>
      </c>
      <c r="V474" s="883">
        <f>ROUND('T2 MET'!F38,$D$472)</f>
        <v>11956</v>
      </c>
      <c r="W474" s="883">
        <f>ROUND('T2 MET'!G38,$D$472)</f>
        <v>12930</v>
      </c>
    </row>
    <row r="475" spans="1:26" s="878" customFormat="1">
      <c r="A475" s="875" t="s">
        <v>249</v>
      </c>
      <c r="B475" s="876" t="s">
        <v>250</v>
      </c>
      <c r="C475" s="877" t="s">
        <v>251</v>
      </c>
      <c r="D475" s="863">
        <v>2</v>
      </c>
      <c r="E475" s="871"/>
      <c r="F475" s="871"/>
      <c r="G475" s="871"/>
      <c r="H475" s="871"/>
      <c r="I475" s="871"/>
      <c r="R475" s="162"/>
      <c r="S475" s="892" t="b">
        <f>ROUND('T2 MET'!C93,$D$475)=ROUND('T2 MET'!C91/'T2 MET'!C92,$D$475)</f>
        <v>1</v>
      </c>
      <c r="T475" s="892" t="b">
        <f>ROUND('T2 MET'!D93,$D$475)=ROUND('T2 MET'!D91/'T2 MET'!D92,$D$475)</f>
        <v>1</v>
      </c>
      <c r="U475" s="892" t="b">
        <f>ROUND('T2 MET'!E93,$D$475)=ROUND('T2 MET'!E91/'T2 MET'!E92,$D$475)</f>
        <v>1</v>
      </c>
      <c r="V475" s="892" t="b">
        <f>ROUND('T2 MET'!F93,$D$475)=ROUND('T2 MET'!F91/'T2 MET'!F92,$D$475)</f>
        <v>1</v>
      </c>
      <c r="W475" s="892" t="b">
        <f>ROUND('T2 MET'!G93,$D$475)=ROUND('T2 MET'!G91/'T2 MET'!G92,$D$475)</f>
        <v>1</v>
      </c>
    </row>
    <row r="476" spans="1:26" s="882" customFormat="1" outlineLevel="1">
      <c r="A476" s="875"/>
      <c r="B476" s="876"/>
      <c r="C476" s="880" t="s">
        <v>252</v>
      </c>
      <c r="D476" s="881"/>
      <c r="E476" s="871"/>
      <c r="F476" s="871"/>
      <c r="G476" s="871"/>
      <c r="H476" s="871"/>
      <c r="I476" s="871"/>
      <c r="R476" s="162"/>
      <c r="S476" s="884">
        <f>ROUND('T2 MET'!C93,$D$475)</f>
        <v>2.13</v>
      </c>
      <c r="T476" s="884">
        <f>ROUND('T2 MET'!D93,$D$475)</f>
        <v>2.02</v>
      </c>
      <c r="U476" s="884">
        <f>ROUND('T2 MET'!E93,$D$475)</f>
        <v>3.59</v>
      </c>
      <c r="V476" s="884">
        <f>ROUND('T2 MET'!F93,$D$475)</f>
        <v>4.1500000000000004</v>
      </c>
      <c r="W476" s="884">
        <f>ROUND('T2 MET'!G93,$D$475)</f>
        <v>3.85</v>
      </c>
    </row>
    <row r="477" spans="1:26" s="882" customFormat="1" outlineLevel="1">
      <c r="A477" s="875"/>
      <c r="B477" s="876"/>
      <c r="C477" s="865" t="s">
        <v>253</v>
      </c>
      <c r="D477" s="881"/>
      <c r="E477" s="871"/>
      <c r="F477" s="871"/>
      <c r="G477" s="871"/>
      <c r="H477" s="871"/>
      <c r="I477" s="871"/>
      <c r="R477" s="162"/>
      <c r="S477" s="884">
        <f>ROUND('T2 MET'!C91/'T2 MET'!C92,$D$475)</f>
        <v>2.13</v>
      </c>
      <c r="T477" s="884">
        <f>ROUND('T2 MET'!D91/'T2 MET'!D92,$D$475)</f>
        <v>2.02</v>
      </c>
      <c r="U477" s="884">
        <f>ROUND('T2 MET'!E91/'T2 MET'!E92,$D$475)</f>
        <v>3.59</v>
      </c>
      <c r="V477" s="884">
        <f>ROUND('T2 MET'!F91/'T2 MET'!F92,$D$475)</f>
        <v>4.1500000000000004</v>
      </c>
      <c r="W477" s="884">
        <f>ROUND('T2 MET'!G91/'T2 MET'!G92,$D$475)</f>
        <v>3.85</v>
      </c>
    </row>
    <row r="478" spans="1:26" s="878" customFormat="1">
      <c r="A478" s="875" t="s">
        <v>254</v>
      </c>
      <c r="B478" s="876" t="s">
        <v>255</v>
      </c>
      <c r="C478" s="877" t="s">
        <v>256</v>
      </c>
      <c r="D478" s="863">
        <v>2</v>
      </c>
      <c r="E478" s="871"/>
      <c r="F478" s="871"/>
      <c r="G478" s="871"/>
      <c r="H478" s="871"/>
      <c r="I478" s="871"/>
      <c r="R478" s="162"/>
      <c r="S478" s="892" t="b">
        <f>ROUND('T2 MET'!C96,$D$478)=ROUND('T2 MET'!C93-'T2 MET'!C94,$D$478)</f>
        <v>1</v>
      </c>
      <c r="T478" s="892" t="b">
        <f>ROUND('T2 MET'!D96,$D$478)=ROUND('T2 MET'!D93-'T2 MET'!D94,$D$478)</f>
        <v>1</v>
      </c>
      <c r="U478" s="892" t="b">
        <f>ROUND('T2 MET'!E96,$D$478)=ROUND('T2 MET'!E93-'T2 MET'!E94,$D$478)</f>
        <v>1</v>
      </c>
      <c r="V478" s="892" t="b">
        <f>ROUND('T2 MET'!F96,$D$478)=ROUND('T2 MET'!F93-'T2 MET'!F94,$D$478)</f>
        <v>0</v>
      </c>
      <c r="W478" s="892" t="b">
        <f>ROUND('T2 MET'!G96,$D$478)=ROUND('T2 MET'!G93-'T2 MET'!G94,$D$478)</f>
        <v>1</v>
      </c>
    </row>
    <row r="479" spans="1:26" s="882" customFormat="1" outlineLevel="1">
      <c r="A479" s="875"/>
      <c r="B479" s="876"/>
      <c r="C479" s="880" t="s">
        <v>257</v>
      </c>
      <c r="D479" s="881"/>
      <c r="E479" s="871"/>
      <c r="F479" s="871"/>
      <c r="G479" s="871"/>
      <c r="H479" s="871"/>
      <c r="I479" s="871"/>
      <c r="R479" s="162"/>
      <c r="S479" s="884">
        <f>ROUND('T2 MET'!C96,$D$478)</f>
        <v>2.13</v>
      </c>
      <c r="T479" s="884">
        <f>ROUND('T2 MET'!D96,$D$478)</f>
        <v>2.02</v>
      </c>
      <c r="U479" s="884">
        <f>ROUND('T2 MET'!E96,$D$478)</f>
        <v>3.59</v>
      </c>
      <c r="V479" s="884">
        <f>ROUND('T2 MET'!F96,$D$478)</f>
        <v>4.05</v>
      </c>
      <c r="W479" s="884">
        <f>ROUND('T2 MET'!G96,$D$478)</f>
        <v>3.85</v>
      </c>
    </row>
    <row r="480" spans="1:26" s="882" customFormat="1" outlineLevel="1">
      <c r="A480" s="875"/>
      <c r="B480" s="876"/>
      <c r="C480" s="880" t="s">
        <v>258</v>
      </c>
      <c r="D480" s="881"/>
      <c r="E480" s="871"/>
      <c r="F480" s="871"/>
      <c r="G480" s="871"/>
      <c r="H480" s="871"/>
      <c r="I480" s="871"/>
      <c r="R480" s="162"/>
      <c r="S480" s="884">
        <f>ROUND('T2 MET'!C93-'T2 MET'!C94,$D$478)</f>
        <v>2.13</v>
      </c>
      <c r="T480" s="884">
        <f>ROUND('T2 MET'!D93-'T2 MET'!D94,$D$478)</f>
        <v>2.02</v>
      </c>
      <c r="U480" s="884">
        <f>ROUND('T2 MET'!E93-'T2 MET'!E94,$D$478)</f>
        <v>3.59</v>
      </c>
      <c r="V480" s="884">
        <f>ROUND('T2 MET'!F93-'T2 MET'!F94,$D$478)</f>
        <v>4.25</v>
      </c>
      <c r="W480" s="884">
        <f>ROUND('T2 MET'!G93-'T2 MET'!G94,$D$478)</f>
        <v>3.85</v>
      </c>
    </row>
    <row r="481" spans="1:23" s="874" customFormat="1" ht="18">
      <c r="A481" s="172" t="s">
        <v>13</v>
      </c>
      <c r="B481" s="173" t="s">
        <v>14</v>
      </c>
      <c r="C481" s="174" t="s">
        <v>275</v>
      </c>
      <c r="D481" s="872"/>
      <c r="E481" s="873"/>
      <c r="F481" s="873"/>
      <c r="G481" s="873"/>
      <c r="H481" s="873"/>
      <c r="I481" s="873"/>
      <c r="J481" s="873"/>
      <c r="K481" s="873"/>
      <c r="L481" s="873"/>
      <c r="M481" s="873"/>
      <c r="N481" s="873"/>
      <c r="O481" s="873"/>
      <c r="P481" s="873"/>
      <c r="Q481" s="873"/>
      <c r="R481" s="162"/>
      <c r="S481" s="873"/>
      <c r="T481" s="873"/>
      <c r="U481" s="873"/>
      <c r="V481" s="873"/>
      <c r="W481" s="873"/>
    </row>
    <row r="482" spans="1:23" s="878" customFormat="1">
      <c r="A482" s="875" t="s">
        <v>129</v>
      </c>
      <c r="B482" s="876" t="s">
        <v>54</v>
      </c>
      <c r="C482" s="877" t="s">
        <v>130</v>
      </c>
      <c r="D482" s="863">
        <v>3</v>
      </c>
      <c r="E482" s="871"/>
      <c r="F482" s="871"/>
      <c r="G482" s="871"/>
      <c r="H482" s="871"/>
      <c r="I482" s="871"/>
      <c r="R482" s="162"/>
      <c r="S482" s="879" t="b">
        <f>ROUND('T2 NSA'!C12,$D$482)=ROUND('T1 NSA'!K61,$D$482)</f>
        <v>1</v>
      </c>
      <c r="T482" s="879" t="b">
        <f>ROUND('T2 NSA'!D12,$D$482)=ROUND('T1 NSA'!L61,$D$482)</f>
        <v>1</v>
      </c>
      <c r="U482" s="879" t="b">
        <f>ROUND('T2 NSA'!E12,$D$482)=ROUND('T1 NSA'!M61,$D$482)</f>
        <v>1</v>
      </c>
      <c r="V482" s="879" t="b">
        <f>ROUND('T2 NSA'!F12,$D$482)=ROUND('T1 NSA'!N61,$D$482)</f>
        <v>1</v>
      </c>
      <c r="W482" s="879" t="b">
        <f>ROUND('T2 NSA'!G12,$D$482)=ROUND('T1 NSA'!O61,$D$482)</f>
        <v>1</v>
      </c>
    </row>
    <row r="483" spans="1:23" s="882" customFormat="1" outlineLevel="1">
      <c r="A483" s="875"/>
      <c r="B483" s="876"/>
      <c r="C483" s="880" t="s">
        <v>131</v>
      </c>
      <c r="D483" s="881"/>
      <c r="E483" s="871"/>
      <c r="F483" s="871"/>
      <c r="G483" s="871"/>
      <c r="H483" s="871"/>
      <c r="I483" s="871"/>
      <c r="R483" s="162"/>
      <c r="S483" s="883">
        <f>ROUND('T2 NSA'!C12,$D$482)</f>
        <v>69525.566999999995</v>
      </c>
      <c r="T483" s="883">
        <f>ROUND('T2 NSA'!D12,$D$482)</f>
        <v>70562.278000000006</v>
      </c>
      <c r="U483" s="883">
        <f>ROUND('T2 NSA'!E12,$D$482)</f>
        <v>70564.365999999995</v>
      </c>
      <c r="V483" s="883">
        <f>ROUND('T2 NSA'!F12,$D$482)</f>
        <v>79593.538</v>
      </c>
      <c r="W483" s="883">
        <f>ROUND('T2 NSA'!G12,$D$482)</f>
        <v>80109.551999999996</v>
      </c>
    </row>
    <row r="484" spans="1:23" s="882" customFormat="1" outlineLevel="1">
      <c r="A484" s="875"/>
      <c r="B484" s="876"/>
      <c r="C484" s="880" t="s">
        <v>132</v>
      </c>
      <c r="D484" s="881"/>
      <c r="E484" s="871"/>
      <c r="F484" s="871"/>
      <c r="G484" s="871"/>
      <c r="H484" s="871"/>
      <c r="I484" s="871"/>
      <c r="R484" s="162"/>
      <c r="S484" s="883">
        <f>ROUND('T1 NSA'!K61,$D$482)</f>
        <v>69525.566999999995</v>
      </c>
      <c r="T484" s="883">
        <f>ROUND('T1 NSA'!L61,$D$482)</f>
        <v>70562.278000000006</v>
      </c>
      <c r="U484" s="883">
        <f>ROUND('T1 NSA'!M61,$D$482)</f>
        <v>70564.365999999995</v>
      </c>
      <c r="V484" s="883">
        <f>ROUND('T1 NSA'!N61,$D$482)</f>
        <v>79593.538</v>
      </c>
      <c r="W484" s="883">
        <f>ROUND('T1 NSA'!O61,$D$482)</f>
        <v>80109.551999999996</v>
      </c>
    </row>
    <row r="485" spans="1:23" s="878" customFormat="1">
      <c r="A485" s="875" t="s">
        <v>133</v>
      </c>
      <c r="B485" s="876" t="s">
        <v>52</v>
      </c>
      <c r="C485" s="877" t="s">
        <v>134</v>
      </c>
      <c r="D485" s="863">
        <v>3</v>
      </c>
      <c r="E485" s="871"/>
      <c r="F485" s="871"/>
      <c r="G485" s="871"/>
      <c r="H485" s="871"/>
      <c r="I485" s="871"/>
      <c r="R485" s="162"/>
      <c r="S485" s="879" t="str">
        <f>IF('T2 NSA'!$A$5="UK CAA + DfT Eurocontrol","N/A",ROUND('T2 NSA'!C15,$D$485)=ROUND('T1 NSA'!K61-'T1 NSA'!K15-'T1 NSA'!K16,$D$485))</f>
        <v>N/A</v>
      </c>
      <c r="T485" s="879" t="str">
        <f>IF('T2 NSA'!$A$5="UK CAA + DfT Eurocontrol","N/A",ROUND('T2 NSA'!D15,$D$485)=ROUND('T1 NSA'!L61-'T1 NSA'!L15-'T1 NSA'!L16,$D$485))</f>
        <v>N/A</v>
      </c>
      <c r="U485" s="879" t="str">
        <f>IF('T2 NSA'!$A$5="UK CAA + DfT Eurocontrol","N/A",ROUND('T2 NSA'!E15,$D$485)=ROUND('T1 NSA'!M61-'T1 NSA'!M15-'T1 NSA'!M16,$D$485))</f>
        <v>N/A</v>
      </c>
      <c r="V485" s="879" t="str">
        <f>IF('T2 NSA'!$A$5="UK CAA + DfT Eurocontrol","N/A",ROUND('T2 NSA'!F15,$D$485)=ROUND('T1 NSA'!N61-'T1 NSA'!N15-'T1 NSA'!N16,$D$485))</f>
        <v>N/A</v>
      </c>
      <c r="W485" s="879" t="str">
        <f>IF('T2 NSA'!$A$5="UK CAA + DfT Eurocontrol","N/A",ROUND('T2 NSA'!G15,$D$485)=ROUND('T1 NSA'!O61-'T1 NSA'!O15-'T1 NSA'!O16,$D$485))</f>
        <v>N/A</v>
      </c>
    </row>
    <row r="486" spans="1:23" s="882" customFormat="1" outlineLevel="1">
      <c r="A486" s="875"/>
      <c r="B486" s="876"/>
      <c r="C486" s="880" t="s">
        <v>135</v>
      </c>
      <c r="D486" s="881"/>
      <c r="E486" s="871"/>
      <c r="F486" s="871"/>
      <c r="G486" s="871"/>
      <c r="H486" s="871"/>
      <c r="I486" s="871"/>
      <c r="R486" s="162"/>
      <c r="S486" s="883" t="str">
        <f>IF('T2 NSA'!$A$5="UK CAA + DfT Eurocontrol","N/A",ROUND('T2 NSA'!C15,$D$485))</f>
        <v>N/A</v>
      </c>
      <c r="T486" s="883" t="str">
        <f>IF('T2 NSA'!$A$5="UK CAA + DfT Eurocontrol","N/A",ROUND('T2 NSA'!D15,$D$485))</f>
        <v>N/A</v>
      </c>
      <c r="U486" s="883" t="str">
        <f>IF('T2 NSA'!$A$5="UK CAA + DfT Eurocontrol","N/A",ROUND('T2 NSA'!E15,$D$485))</f>
        <v>N/A</v>
      </c>
      <c r="V486" s="883" t="str">
        <f>IF('T2 NSA'!$A$5="UK CAA + DfT Eurocontrol","N/A",ROUND('T2 NSA'!F15,$D$485))</f>
        <v>N/A</v>
      </c>
      <c r="W486" s="883" t="str">
        <f>IF('T2 NSA'!$A$5="UK CAA + DfT Eurocontrol","N/A",ROUND('T2 NSA'!G15,$D$485))</f>
        <v>N/A</v>
      </c>
    </row>
    <row r="487" spans="1:23" s="882" customFormat="1" outlineLevel="1">
      <c r="A487" s="875"/>
      <c r="B487" s="876"/>
      <c r="C487" s="880" t="s">
        <v>136</v>
      </c>
      <c r="D487" s="881"/>
      <c r="E487" s="871"/>
      <c r="F487" s="871"/>
      <c r="G487" s="871"/>
      <c r="H487" s="871"/>
      <c r="I487" s="871"/>
      <c r="R487" s="162"/>
      <c r="S487" s="883" t="str">
        <f>IF('T2 NSA'!$A$5="UK CAA + DfT Eurocontrol","N/A",ROUND('T1 NSA'!K61-'T1 NSA'!K15-'T1 NSA'!K16,$D$485))</f>
        <v>N/A</v>
      </c>
      <c r="T487" s="883" t="str">
        <f>IF('T2 NSA'!$A$5="UK CAA + DfT Eurocontrol","N/A",ROUND('T1 NSA'!L61-'T1 NSA'!L15-'T1 NSA'!L16,$D$485))</f>
        <v>N/A</v>
      </c>
      <c r="U487" s="883" t="str">
        <f>IF('T2 NSA'!$A$5="UK CAA + DfT Eurocontrol","N/A",ROUND('T1 NSA'!M61-'T1 NSA'!M15-'T1 NSA'!M16,$D$485))</f>
        <v>N/A</v>
      </c>
      <c r="V487" s="883" t="str">
        <f>IF('T2 NSA'!$A$5="UK CAA + DfT Eurocontrol","N/A",ROUND('T1 NSA'!N61-'T1 NSA'!N15-'T1 NSA'!N16,$D$485))</f>
        <v>N/A</v>
      </c>
      <c r="W487" s="883" t="str">
        <f>IF('T2 NSA'!$A$5="UK CAA + DfT Eurocontrol","N/A",ROUND('T1 NSA'!O61-'T1 NSA'!O15-'T1 NSA'!O16,$D$485))</f>
        <v>N/A</v>
      </c>
    </row>
    <row r="488" spans="1:23" s="878" customFormat="1">
      <c r="A488" s="875" t="s">
        <v>137</v>
      </c>
      <c r="B488" s="876" t="s">
        <v>138</v>
      </c>
      <c r="C488" s="877" t="s">
        <v>139</v>
      </c>
      <c r="D488" s="881"/>
      <c r="E488" s="871"/>
      <c r="F488" s="871"/>
      <c r="G488" s="871"/>
      <c r="H488" s="871"/>
      <c r="I488" s="871"/>
      <c r="R488" s="162"/>
      <c r="S488" s="879" t="str">
        <f>IF('T2 NSA'!$A$5="UK CAA + DfT Eurocontrol","N/A",'T2 NSA'!C16='T1 NSA'!K65)</f>
        <v>N/A</v>
      </c>
      <c r="T488" s="879" t="str">
        <f>IF('T2 NSA'!$A$5="UK CAA + DfT Eurocontrol","N/A",'T2 NSA'!D16='T1 NSA'!L65)</f>
        <v>N/A</v>
      </c>
      <c r="U488" s="879" t="str">
        <f>IF('T2 NSA'!$A$5="UK CAA + DfT Eurocontrol","N/A",'T2 NSA'!E16='T1 NSA'!M65)</f>
        <v>N/A</v>
      </c>
      <c r="V488" s="879" t="str">
        <f>IF('T2 NSA'!$A$5="UK CAA + DfT Eurocontrol","N/A",'T2 NSA'!F16='T1 NSA'!N65)</f>
        <v>N/A</v>
      </c>
      <c r="W488" s="879" t="str">
        <f>IF('T2 NSA'!$A$5="UK CAA + DfT Eurocontrol","N/A",'T2 NSA'!G16='T1 NSA'!O65)</f>
        <v>N/A</v>
      </c>
    </row>
    <row r="489" spans="1:23" s="882" customFormat="1" outlineLevel="1">
      <c r="A489" s="875"/>
      <c r="B489" s="876"/>
      <c r="C489" s="880" t="s">
        <v>140</v>
      </c>
      <c r="D489" s="881"/>
      <c r="E489" s="871"/>
      <c r="F489" s="871"/>
      <c r="G489" s="871"/>
      <c r="H489" s="871"/>
      <c r="I489" s="871"/>
      <c r="R489" s="162"/>
      <c r="S489" s="884" t="str">
        <f>IF('T2 NSA'!$A$5="UK CAA + DfT Eurocontrol","N/A",'T2 NSA'!C16)</f>
        <v>N/A</v>
      </c>
      <c r="T489" s="884" t="str">
        <f>IF('T2 NSA'!$A$5="UK CAA + DfT Eurocontrol","N/A",'T2 NSA'!D16)</f>
        <v>N/A</v>
      </c>
      <c r="U489" s="884" t="str">
        <f>IF('T2 NSA'!$A$5="UK CAA + DfT Eurocontrol","N/A",'T2 NSA'!E16)</f>
        <v>N/A</v>
      </c>
      <c r="V489" s="884" t="str">
        <f>IF('T2 NSA'!$A$5="UK CAA + DfT Eurocontrol","N/A",'T2 NSA'!F16)</f>
        <v>N/A</v>
      </c>
      <c r="W489" s="884" t="str">
        <f>IF('T2 NSA'!$A$5="UK CAA + DfT Eurocontrol","N/A",'T2 NSA'!G16)</f>
        <v>N/A</v>
      </c>
    </row>
    <row r="490" spans="1:23" s="882" customFormat="1" outlineLevel="1">
      <c r="A490" s="875"/>
      <c r="B490" s="876"/>
      <c r="C490" s="880" t="s">
        <v>141</v>
      </c>
      <c r="D490" s="881"/>
      <c r="E490" s="871"/>
      <c r="F490" s="871"/>
      <c r="G490" s="871"/>
      <c r="H490" s="871"/>
      <c r="I490" s="871"/>
      <c r="R490" s="162"/>
      <c r="S490" s="884" t="str">
        <f>IF('T2 NSA'!$A$5="UK CAA + DfT Eurocontrol","N/A",'T1 NSA'!K65)</f>
        <v>N/A</v>
      </c>
      <c r="T490" s="884" t="str">
        <f>IF('T2 NSA'!$A$5="UK CAA + DfT Eurocontrol","N/A",'T1 NSA'!L65)</f>
        <v>N/A</v>
      </c>
      <c r="U490" s="884" t="str">
        <f>IF('T2 NSA'!$A$5="UK CAA + DfT Eurocontrol","N/A",'T1 NSA'!M65)</f>
        <v>N/A</v>
      </c>
      <c r="V490" s="884" t="str">
        <f>IF('T2 NSA'!$A$5="UK CAA + DfT Eurocontrol","N/A",'T1 NSA'!N65)</f>
        <v>N/A</v>
      </c>
      <c r="W490" s="884" t="str">
        <f>IF('T2 NSA'!$A$5="UK CAA + DfT Eurocontrol","N/A",'T1 NSA'!O65)</f>
        <v>N/A</v>
      </c>
    </row>
    <row r="491" spans="1:23" s="878" customFormat="1">
      <c r="A491" s="875" t="s">
        <v>142</v>
      </c>
      <c r="B491" s="876" t="s">
        <v>143</v>
      </c>
      <c r="C491" s="877" t="s">
        <v>144</v>
      </c>
      <c r="D491" s="881"/>
      <c r="E491" s="871"/>
      <c r="F491" s="871"/>
      <c r="G491" s="871"/>
      <c r="H491" s="871"/>
      <c r="I491" s="871"/>
      <c r="J491" s="871"/>
      <c r="K491" s="871"/>
      <c r="L491" s="871"/>
      <c r="M491" s="871"/>
      <c r="N491" s="871"/>
      <c r="O491" s="871"/>
      <c r="R491" s="162"/>
    </row>
    <row r="492" spans="1:23" s="882" customFormat="1" outlineLevel="1">
      <c r="A492" s="875"/>
      <c r="B492" s="876"/>
      <c r="C492" s="880" t="s">
        <v>145</v>
      </c>
      <c r="D492" s="881"/>
      <c r="E492" s="871"/>
      <c r="F492" s="871"/>
      <c r="G492" s="871"/>
      <c r="H492" s="871"/>
      <c r="I492" s="871"/>
      <c r="J492" s="871"/>
      <c r="K492" s="871"/>
      <c r="L492" s="871"/>
      <c r="M492" s="871"/>
      <c r="N492" s="871"/>
      <c r="O492" s="871"/>
      <c r="R492" s="162"/>
    </row>
    <row r="493" spans="1:23" s="882" customFormat="1" outlineLevel="1">
      <c r="A493" s="875"/>
      <c r="B493" s="876"/>
      <c r="C493" s="880" t="s">
        <v>146</v>
      </c>
      <c r="D493" s="881"/>
      <c r="E493" s="871"/>
      <c r="F493" s="871"/>
      <c r="G493" s="871"/>
      <c r="H493" s="871"/>
      <c r="I493" s="871"/>
      <c r="J493" s="871"/>
      <c r="K493" s="871"/>
      <c r="L493" s="871"/>
      <c r="M493" s="871"/>
      <c r="N493" s="871"/>
      <c r="O493" s="871"/>
      <c r="R493" s="162"/>
    </row>
    <row r="494" spans="1:23" s="878" customFormat="1">
      <c r="A494" s="875" t="s">
        <v>147</v>
      </c>
      <c r="B494" s="876" t="s">
        <v>148</v>
      </c>
      <c r="C494" s="877" t="s">
        <v>149</v>
      </c>
      <c r="D494" s="881"/>
      <c r="E494" s="871"/>
      <c r="F494" s="871"/>
      <c r="G494" s="871"/>
      <c r="H494" s="871"/>
      <c r="I494" s="871"/>
      <c r="J494" s="871"/>
      <c r="K494" s="871"/>
      <c r="L494" s="871"/>
      <c r="M494" s="871"/>
      <c r="N494" s="871"/>
      <c r="O494" s="871"/>
      <c r="R494" s="162"/>
    </row>
    <row r="495" spans="1:23" s="882" customFormat="1" outlineLevel="1">
      <c r="A495" s="875"/>
      <c r="B495" s="876"/>
      <c r="C495" s="880" t="s">
        <v>150</v>
      </c>
      <c r="D495" s="881"/>
      <c r="E495" s="871"/>
      <c r="F495" s="871"/>
      <c r="G495" s="871"/>
      <c r="H495" s="871"/>
      <c r="I495" s="871"/>
      <c r="J495" s="871"/>
      <c r="K495" s="871"/>
      <c r="L495" s="871"/>
      <c r="M495" s="871"/>
      <c r="N495" s="871"/>
      <c r="O495" s="871"/>
      <c r="R495" s="162"/>
    </row>
    <row r="496" spans="1:23" s="882" customFormat="1" outlineLevel="1">
      <c r="A496" s="875"/>
      <c r="B496" s="876"/>
      <c r="C496" s="880" t="s">
        <v>151</v>
      </c>
      <c r="D496" s="881"/>
      <c r="E496" s="871"/>
      <c r="F496" s="871"/>
      <c r="G496" s="871"/>
      <c r="H496" s="871"/>
      <c r="I496" s="871"/>
      <c r="J496" s="871"/>
      <c r="K496" s="871"/>
      <c r="L496" s="871"/>
      <c r="M496" s="871"/>
      <c r="N496" s="871"/>
      <c r="O496" s="871"/>
      <c r="R496" s="162"/>
    </row>
    <row r="497" spans="1:23" s="878" customFormat="1">
      <c r="A497" s="875" t="s">
        <v>152</v>
      </c>
      <c r="B497" s="876">
        <v>2.5</v>
      </c>
      <c r="C497" s="885" t="s">
        <v>153</v>
      </c>
      <c r="D497" s="863">
        <v>3</v>
      </c>
      <c r="E497" s="871"/>
      <c r="F497" s="871"/>
      <c r="G497" s="871"/>
      <c r="H497" s="871"/>
      <c r="I497" s="871"/>
      <c r="J497" s="871"/>
      <c r="K497" s="871"/>
      <c r="L497" s="871"/>
      <c r="M497" s="871"/>
      <c r="N497" s="871"/>
      <c r="R497" s="162"/>
    </row>
    <row r="498" spans="1:23" s="882" customFormat="1" outlineLevel="1">
      <c r="A498" s="875"/>
      <c r="B498" s="876"/>
      <c r="C498" s="886" t="s">
        <v>154</v>
      </c>
      <c r="D498" s="887"/>
      <c r="E498" s="871"/>
      <c r="G498" s="871"/>
      <c r="H498" s="871"/>
      <c r="I498" s="871"/>
      <c r="J498" s="871"/>
      <c r="K498" s="871"/>
      <c r="L498" s="871"/>
      <c r="M498" s="871"/>
      <c r="N498" s="871"/>
      <c r="R498" s="162"/>
    </row>
    <row r="499" spans="1:23" s="882" customFormat="1" outlineLevel="1">
      <c r="A499" s="875"/>
      <c r="B499" s="876"/>
      <c r="C499" s="886" t="s">
        <v>155</v>
      </c>
      <c r="D499" s="887"/>
      <c r="E499" s="871"/>
      <c r="F499" s="871"/>
      <c r="G499" s="871"/>
      <c r="H499" s="871"/>
      <c r="I499" s="871"/>
      <c r="J499" s="871"/>
      <c r="K499" s="871"/>
      <c r="L499" s="871"/>
      <c r="M499" s="871"/>
      <c r="N499" s="871"/>
      <c r="R499" s="162"/>
    </row>
    <row r="500" spans="1:23" s="878" customFormat="1">
      <c r="A500" s="875" t="s">
        <v>156</v>
      </c>
      <c r="B500" s="876" t="s">
        <v>81</v>
      </c>
      <c r="C500" s="877" t="s">
        <v>157</v>
      </c>
      <c r="D500" s="863">
        <v>3</v>
      </c>
      <c r="E500" s="871"/>
      <c r="F500" s="871"/>
      <c r="G500" s="871"/>
      <c r="H500" s="871"/>
      <c r="I500" s="871"/>
      <c r="J500" s="871"/>
      <c r="K500" s="871"/>
      <c r="L500" s="871"/>
      <c r="M500" s="871"/>
      <c r="N500" s="871"/>
      <c r="R500" s="162"/>
    </row>
    <row r="501" spans="1:23" s="882" customFormat="1" outlineLevel="1">
      <c r="A501" s="875"/>
      <c r="B501" s="876"/>
      <c r="C501" s="880" t="s">
        <v>158</v>
      </c>
      <c r="D501" s="881"/>
      <c r="E501" s="871"/>
      <c r="F501" s="871"/>
      <c r="G501" s="871"/>
      <c r="H501" s="871"/>
      <c r="I501" s="871"/>
      <c r="J501" s="871"/>
      <c r="K501" s="871"/>
      <c r="L501" s="871"/>
      <c r="M501" s="871"/>
      <c r="N501" s="871"/>
      <c r="R501" s="162"/>
    </row>
    <row r="502" spans="1:23" s="882" customFormat="1" outlineLevel="1">
      <c r="A502" s="875"/>
      <c r="B502" s="876"/>
      <c r="C502" s="865" t="s">
        <v>159</v>
      </c>
      <c r="D502" s="881"/>
      <c r="E502" s="871"/>
      <c r="F502" s="871"/>
      <c r="G502" s="871"/>
      <c r="H502" s="871"/>
      <c r="I502" s="871"/>
      <c r="J502" s="871"/>
      <c r="K502" s="871"/>
      <c r="L502" s="871"/>
      <c r="M502" s="871"/>
      <c r="N502" s="871"/>
      <c r="R502" s="162"/>
    </row>
    <row r="503" spans="1:23" s="878" customFormat="1">
      <c r="A503" s="875" t="s">
        <v>160</v>
      </c>
      <c r="B503" s="876" t="s">
        <v>161</v>
      </c>
      <c r="C503" s="877" t="s">
        <v>162</v>
      </c>
      <c r="D503" s="863">
        <v>3</v>
      </c>
      <c r="E503" s="871"/>
      <c r="F503" s="871"/>
      <c r="G503" s="871"/>
      <c r="H503" s="871"/>
      <c r="I503" s="871"/>
      <c r="R503" s="162"/>
      <c r="S503" s="879" t="str">
        <f>IF(OR('T2 NSA'!$A$5="MET",'T2 NSA'!$A$5="UK CAA + DfT Eurocontrol"),"N/A",ROUND('T2 NSA'!C33,$D$503)=ROUND('T1 NSA'!K61-'T1 NSA'!K28,$D$503))</f>
        <v>N/A</v>
      </c>
      <c r="T503" s="879" t="str">
        <f>IF(OR('T2 NSA'!$A$5="MET",'T2 NSA'!$A$5="UK CAA + DfT Eurocontrol"),"N/A",ROUND('T2 NSA'!D33,$D$503)=ROUND('T1 NSA'!L61-'T1 NSA'!L28,$D$503))</f>
        <v>N/A</v>
      </c>
      <c r="U503" s="879" t="str">
        <f>IF(OR('T2 NSA'!$A$5="MET",'T2 NSA'!$A$5="UK CAA + DfT Eurocontrol"),"N/A",ROUND('T2 NSA'!E33,$D$503)=ROUND('T1 NSA'!M61-'T1 NSA'!M28,$D$503))</f>
        <v>N/A</v>
      </c>
      <c r="V503" s="879" t="str">
        <f>IF(OR('T2 NSA'!$A$5="MET",'T2 NSA'!$A$5="UK CAA + DfT Eurocontrol"),"N/A",ROUND('T2 NSA'!F33,$D$503)=ROUND('T1 NSA'!N61-'T1 NSA'!N28,$D$503))</f>
        <v>N/A</v>
      </c>
      <c r="W503" s="879" t="str">
        <f>IF(OR('T2 NSA'!$A$5="MET",'T2 NSA'!$A$5="UK CAA + DfT Eurocontrol"),"N/A",ROUND('T2 NSA'!G33,$D$503)=ROUND('T1 NSA'!O61-'T1 NSA'!O28,$D$503))</f>
        <v>N/A</v>
      </c>
    </row>
    <row r="504" spans="1:23" s="882" customFormat="1" outlineLevel="1">
      <c r="A504" s="875"/>
      <c r="B504" s="876"/>
      <c r="C504" s="880" t="s">
        <v>163</v>
      </c>
      <c r="D504" s="881"/>
      <c r="E504" s="871"/>
      <c r="F504" s="871"/>
      <c r="G504" s="871"/>
      <c r="H504" s="871"/>
      <c r="I504" s="871"/>
      <c r="R504" s="162"/>
      <c r="S504" s="883" t="str">
        <f>IF(OR('T2 NSA'!$A$5="MET",'T2 NSA'!$A$5="UK CAA + DfT Eurocontrol"),"N/A",ROUND('T2 NSA'!C33,$D$503))</f>
        <v>N/A</v>
      </c>
      <c r="T504" s="883" t="str">
        <f>IF(OR('T2 NSA'!$A$5="MET",'T2 NSA'!$A$5="UK CAA + DfT Eurocontrol"),"N/A",ROUND('T2 NSA'!D33,$D$503))</f>
        <v>N/A</v>
      </c>
      <c r="U504" s="883" t="str">
        <f>IF(OR('T2 NSA'!$A$5="MET",'T2 NSA'!$A$5="UK CAA + DfT Eurocontrol"),"N/A",ROUND('T2 NSA'!E33,$D$503))</f>
        <v>N/A</v>
      </c>
      <c r="V504" s="883" t="str">
        <f>IF(OR('T2 NSA'!$A$5="MET",'T2 NSA'!$A$5="UK CAA + DfT Eurocontrol"),"N/A",ROUND('T2 NSA'!F33,$D$503))</f>
        <v>N/A</v>
      </c>
      <c r="W504" s="883" t="str">
        <f>IF(OR('T2 NSA'!$A$5="MET",'T2 NSA'!$A$5="UK CAA + DfT Eurocontrol"),"N/A",ROUND('T2 NSA'!G33,$D$503))</f>
        <v>N/A</v>
      </c>
    </row>
    <row r="505" spans="1:23" s="882" customFormat="1" outlineLevel="1">
      <c r="A505" s="875"/>
      <c r="B505" s="876"/>
      <c r="C505" s="880" t="s">
        <v>164</v>
      </c>
      <c r="D505" s="881"/>
      <c r="E505" s="871"/>
      <c r="F505" s="871"/>
      <c r="G505" s="871"/>
      <c r="H505" s="871"/>
      <c r="I505" s="871"/>
      <c r="R505" s="162"/>
      <c r="S505" s="883" t="str">
        <f>IF(OR('T2 NSA'!$A$5="MET",'T2 NSA'!$A$5="UK CAA + DfT Eurocontrol"),"N/A",ROUND('T1 NSA'!K61-'T1 NSA'!K28,$D$503))</f>
        <v>N/A</v>
      </c>
      <c r="T505" s="883" t="str">
        <f>IF(OR('T2 NSA'!$A$5="MET",'T2 NSA'!$A$5="UK CAA + DfT Eurocontrol"),"N/A",ROUND('T1 NSA'!L61-'T1 NSA'!L28,$D$503))</f>
        <v>N/A</v>
      </c>
      <c r="U505" s="883" t="str">
        <f>IF(OR('T2 NSA'!$A$5="MET",'T2 NSA'!$A$5="UK CAA + DfT Eurocontrol"),"N/A",ROUND('T1 NSA'!M61-'T1 NSA'!M28,$D$503))</f>
        <v>N/A</v>
      </c>
      <c r="V505" s="883" t="str">
        <f>IF(OR('T2 NSA'!$A$5="MET",'T2 NSA'!$A$5="UK CAA + DfT Eurocontrol"),"N/A",ROUND('T1 NSA'!N61-'T1 NSA'!N28,$D$503))</f>
        <v>N/A</v>
      </c>
      <c r="W505" s="883" t="str">
        <f>IF(OR('T2 NSA'!$A$5="MET",'T2 NSA'!$A$5="UK CAA + DfT Eurocontrol"),"N/A",ROUND('T1 NSA'!O61-'T1 NSA'!O28,$D$503))</f>
        <v>N/A</v>
      </c>
    </row>
    <row r="506" spans="1:23" s="878" customFormat="1">
      <c r="A506" s="875" t="s">
        <v>260</v>
      </c>
      <c r="B506" s="876" t="s">
        <v>17</v>
      </c>
      <c r="C506" s="877" t="s">
        <v>261</v>
      </c>
      <c r="D506" s="863">
        <v>2</v>
      </c>
      <c r="E506" s="871"/>
      <c r="F506" s="871"/>
      <c r="G506" s="871"/>
      <c r="H506" s="871"/>
      <c r="I506" s="871"/>
      <c r="N506" s="882"/>
      <c r="R506" s="162"/>
      <c r="S506" s="879" t="str">
        <f>IF(OR('T2 NSA'!$A$5="MET",'T2 NSA'!$A$5="UK CAA + DfT Eurocontrol"),"N/A",ROUND('T2 NSA'!C34,$D$506)=2%)</f>
        <v>N/A</v>
      </c>
      <c r="T506" s="879" t="str">
        <f>IF(OR('T2 NSA'!$A$5="MET",'T2 NSA'!$A$5="UK CAA + DfT Eurocontrol"),"N/A",ROUND('T2 NSA'!D34,$D$506)=2%)</f>
        <v>N/A</v>
      </c>
      <c r="U506" s="879" t="str">
        <f>IF(OR('T2 NSA'!$A$5="MET",'T2 NSA'!$A$5="UK CAA + DfT Eurocontrol"),"N/A",ROUND('T2 NSA'!E34,$D$506)=2%)</f>
        <v>N/A</v>
      </c>
      <c r="V506" s="879" t="str">
        <f>IF(OR('T2 NSA'!$A$5="MET",'T2 NSA'!$A$5="UK CAA + DfT Eurocontrol"),"N/A",ROUND('T2 NSA'!F34,$D$506)=2%)</f>
        <v>N/A</v>
      </c>
      <c r="W506" s="879" t="str">
        <f>IF(OR('T2 NSA'!$A$5="MET",'T2 NSA'!$A$5="UK CAA + DfT Eurocontrol"),"N/A",ROUND('T2 NSA'!G34,$D$506)=2%)</f>
        <v>N/A</v>
      </c>
    </row>
    <row r="507" spans="1:23" s="882" customFormat="1" outlineLevel="1">
      <c r="A507" s="875"/>
      <c r="B507" s="876"/>
      <c r="C507" s="880" t="s">
        <v>262</v>
      </c>
      <c r="D507" s="881"/>
      <c r="E507" s="871"/>
      <c r="F507" s="871"/>
      <c r="G507" s="871"/>
      <c r="H507" s="871"/>
      <c r="I507" s="871"/>
      <c r="R507" s="162"/>
      <c r="S507" s="893" t="str">
        <f>IF(OR('T2 NSA'!$A$5="MET",'T2 NSA'!$A$5="UK CAA + DfT Eurocontrol"),"N/A",ROUND('T2 NSA'!C34,$D$506))</f>
        <v>N/A</v>
      </c>
      <c r="T507" s="893" t="str">
        <f>IF(OR('T2 NSA'!$A$5="MET",'T2 NSA'!$A$5="UK CAA + DfT Eurocontrol"),"N/A",ROUND('T2 NSA'!D34,$D$506))</f>
        <v>N/A</v>
      </c>
      <c r="U507" s="893" t="str">
        <f>IF(OR('T2 NSA'!$A$5="MET",'T2 NSA'!$A$5="UK CAA + DfT Eurocontrol"),"N/A",ROUND('T2 NSA'!E34,$D$506))</f>
        <v>N/A</v>
      </c>
      <c r="V507" s="893" t="str">
        <f>IF(OR('T2 NSA'!$A$5="MET",'T2 NSA'!$A$5="UK CAA + DfT Eurocontrol"),"N/A",ROUND('T2 NSA'!F34,$D$506))</f>
        <v>N/A</v>
      </c>
      <c r="W507" s="893" t="str">
        <f>IF(OR('T2 NSA'!$A$5="MET",'T2 NSA'!$A$5="UK CAA + DfT Eurocontrol"),"N/A",ROUND('T2 NSA'!G34,$D$506))</f>
        <v>N/A</v>
      </c>
    </row>
    <row r="508" spans="1:23" s="878" customFormat="1">
      <c r="A508" s="875" t="s">
        <v>263</v>
      </c>
      <c r="B508" s="876" t="s">
        <v>264</v>
      </c>
      <c r="C508" s="877" t="s">
        <v>265</v>
      </c>
      <c r="D508" s="863">
        <v>2</v>
      </c>
      <c r="E508" s="871"/>
      <c r="F508" s="871"/>
      <c r="G508" s="871"/>
      <c r="H508" s="871"/>
      <c r="I508" s="871"/>
      <c r="N508" s="882"/>
      <c r="R508" s="162"/>
      <c r="S508" s="879" t="str">
        <f>IF(OR('T2 NSA'!$A$5="MET",'T2 NSA'!$A$5="UK CAA + DfT Eurocontrol"),"N/A",ROUND('T2 NSA'!C35,$D$508)=70%)</f>
        <v>N/A</v>
      </c>
      <c r="T508" s="879" t="str">
        <f>IF(OR('T2 NSA'!$A$5="MET",'T2 NSA'!$A$5="UK CAA + DfT Eurocontrol"),"N/A",ROUND('T2 NSA'!D35,$D$508)=70%)</f>
        <v>N/A</v>
      </c>
      <c r="U508" s="879" t="str">
        <f>IF(OR('T2 NSA'!$A$5="MET",'T2 NSA'!$A$5="UK CAA + DfT Eurocontrol"),"N/A",ROUND('T2 NSA'!E35,$D$508)=70%)</f>
        <v>N/A</v>
      </c>
      <c r="V508" s="879" t="str">
        <f>IF(OR('T2 NSA'!$A$5="MET",'T2 NSA'!$A$5="UK CAA + DfT Eurocontrol"),"N/A",ROUND('T2 NSA'!F35,$D$508)=70%)</f>
        <v>N/A</v>
      </c>
      <c r="W508" s="879" t="str">
        <f>IF(OR('T2 NSA'!$A$5="MET",'T2 NSA'!$A$5="UK CAA + DfT Eurocontrol"),"N/A",ROUND('T2 NSA'!G35,$D$508)=70%)</f>
        <v>N/A</v>
      </c>
    </row>
    <row r="509" spans="1:23" s="882" customFormat="1" outlineLevel="1">
      <c r="A509" s="875"/>
      <c r="B509" s="876"/>
      <c r="C509" s="880" t="s">
        <v>266</v>
      </c>
      <c r="D509" s="881"/>
      <c r="E509" s="871"/>
      <c r="F509" s="871"/>
      <c r="G509" s="871"/>
      <c r="H509" s="871"/>
      <c r="I509" s="871"/>
      <c r="R509" s="162"/>
      <c r="S509" s="893" t="str">
        <f>IF(OR('T2 NSA'!$A$5="MET",'T2 NSA'!$A$5="UK CAA + DfT Eurocontrol"),"N/A",ROUND('T2 NSA'!C35,$D$508))</f>
        <v>N/A</v>
      </c>
      <c r="T509" s="893" t="str">
        <f>IF(OR('T2 NSA'!$A$5="MET",'T2 NSA'!$A$5="UK CAA + DfT Eurocontrol"),"N/A",ROUND('T2 NSA'!D35,$D$508))</f>
        <v>N/A</v>
      </c>
      <c r="U509" s="893" t="str">
        <f>IF(OR('T2 NSA'!$A$5="MET",'T2 NSA'!$A$5="UK CAA + DfT Eurocontrol"),"N/A",ROUND('T2 NSA'!E35,$D$508))</f>
        <v>N/A</v>
      </c>
      <c r="V509" s="893" t="str">
        <f>IF(OR('T2 NSA'!$A$5="MET",'T2 NSA'!$A$5="UK CAA + DfT Eurocontrol"),"N/A",ROUND('T2 NSA'!F35,$D$508))</f>
        <v>N/A</v>
      </c>
      <c r="W509" s="893" t="str">
        <f>IF(OR('T2 NSA'!$A$5="MET",'T2 NSA'!$A$5="UK CAA + DfT Eurocontrol"),"N/A",ROUND('T2 NSA'!G35,$D$508))</f>
        <v>N/A</v>
      </c>
    </row>
    <row r="510" spans="1:23" s="878" customFormat="1">
      <c r="A510" s="875" t="s">
        <v>267</v>
      </c>
      <c r="B510" s="876" t="s">
        <v>268</v>
      </c>
      <c r="C510" s="877" t="s">
        <v>269</v>
      </c>
      <c r="D510" s="863">
        <v>2</v>
      </c>
      <c r="E510" s="871"/>
      <c r="F510" s="871"/>
      <c r="G510" s="871"/>
      <c r="H510" s="871"/>
      <c r="I510" s="871"/>
      <c r="N510" s="882"/>
      <c r="R510" s="162"/>
      <c r="S510" s="879" t="str">
        <f>IF(OR('T2 NSA'!$A$5="MET",'T2 NSA'!$A$5="UK CAA + DfT Eurocontrol"),"N/A",ROUND('T2 NSA'!C36,$D$510)=70%)</f>
        <v>N/A</v>
      </c>
      <c r="T510" s="879" t="str">
        <f>IF(OR('T2 NSA'!$A$5="MET",'T2 NSA'!$A$5="UK CAA + DfT Eurocontrol"),"N/A",ROUND('T2 NSA'!D36,$D$510)=70%)</f>
        <v>N/A</v>
      </c>
      <c r="U510" s="879" t="str">
        <f>IF(OR('T2 NSA'!$A$5="MET",'T2 NSA'!$A$5="UK CAA + DfT Eurocontrol"),"N/A",ROUND('T2 NSA'!E36,$D$510)=70%)</f>
        <v>N/A</v>
      </c>
      <c r="V510" s="879" t="str">
        <f>IF(OR('T2 NSA'!$A$5="MET",'T2 NSA'!$A$5="UK CAA + DfT Eurocontrol"),"N/A",ROUND('T2 NSA'!F36,$D$510)=70%)</f>
        <v>N/A</v>
      </c>
      <c r="W510" s="879" t="str">
        <f>IF(OR('T2 NSA'!$A$5="MET",'T2 NSA'!$A$5="UK CAA + DfT Eurocontrol"),"N/A",ROUND('T2 NSA'!G36,$D$510)=70%)</f>
        <v>N/A</v>
      </c>
    </row>
    <row r="511" spans="1:23" s="882" customFormat="1" outlineLevel="1">
      <c r="A511" s="875"/>
      <c r="B511" s="876"/>
      <c r="C511" s="880" t="s">
        <v>270</v>
      </c>
      <c r="D511" s="881"/>
      <c r="E511" s="871"/>
      <c r="F511" s="871"/>
      <c r="G511" s="871"/>
      <c r="H511" s="871"/>
      <c r="I511" s="871"/>
      <c r="R511" s="162"/>
      <c r="S511" s="893" t="str">
        <f>IF(OR('T2 NSA'!$A$5="MET",'T2 NSA'!$A$5="UK CAA + DfT Eurocontrol"),"N/A",ROUND('T2 NSA'!C36,$D$510))</f>
        <v>N/A</v>
      </c>
      <c r="T511" s="893" t="str">
        <f>IF(OR('T2 NSA'!$A$5="MET",'T2 NSA'!$A$5="UK CAA + DfT Eurocontrol"),"N/A",ROUND('T2 NSA'!D36,$D$510))</f>
        <v>N/A</v>
      </c>
      <c r="U511" s="893" t="str">
        <f>IF(OR('T2 NSA'!$A$5="MET",'T2 NSA'!$A$5="UK CAA + DfT Eurocontrol"),"N/A",ROUND('T2 NSA'!E36,$D$510))</f>
        <v>N/A</v>
      </c>
      <c r="V511" s="893" t="str">
        <f>IF(OR('T2 NSA'!$A$5="MET",'T2 NSA'!$A$5="UK CAA + DfT Eurocontrol"),"N/A",ROUND('T2 NSA'!F36,$D$510))</f>
        <v>N/A</v>
      </c>
      <c r="W511" s="893" t="str">
        <f>IF(OR('T2 NSA'!$A$5="MET",'T2 NSA'!$A$5="UK CAA + DfT Eurocontrol"),"N/A",ROUND('T2 NSA'!G36,$D$510))</f>
        <v>N/A</v>
      </c>
    </row>
    <row r="512" spans="1:23" s="878" customFormat="1">
      <c r="A512" s="875" t="s">
        <v>271</v>
      </c>
      <c r="B512" s="876" t="s">
        <v>272</v>
      </c>
      <c r="C512" s="877" t="s">
        <v>273</v>
      </c>
      <c r="D512" s="863">
        <v>2</v>
      </c>
      <c r="E512" s="871"/>
      <c r="F512" s="871"/>
      <c r="G512" s="871"/>
      <c r="H512" s="871"/>
      <c r="I512" s="871"/>
      <c r="N512" s="882"/>
      <c r="R512" s="162"/>
      <c r="S512" s="879" t="str">
        <f>IF(OR('T2 NSA'!$A$5="MET",'T2 NSA'!$A$5="UK CAA + DfT Eurocontrol"),"N/A",ROUND('T2 NSA'!C37,$D$512)=10%)</f>
        <v>N/A</v>
      </c>
      <c r="T512" s="879" t="str">
        <f>IF(OR('T2 NSA'!$A$5="MET",'T2 NSA'!$A$5="UK CAA + DfT Eurocontrol"),"N/A",ROUND('T2 NSA'!D37,$D$512)=10%)</f>
        <v>N/A</v>
      </c>
      <c r="U512" s="879" t="str">
        <f>IF(OR('T2 NSA'!$A$5="MET",'T2 NSA'!$A$5="UK CAA + DfT Eurocontrol"),"N/A",ROUND('T2 NSA'!E37,$D$512)=10%)</f>
        <v>N/A</v>
      </c>
      <c r="V512" s="879" t="str">
        <f>IF(OR('T2 NSA'!$A$5="MET",'T2 NSA'!$A$5="UK CAA + DfT Eurocontrol"),"N/A",ROUND('T2 NSA'!F37,$D$512)=10%)</f>
        <v>N/A</v>
      </c>
      <c r="W512" s="879" t="str">
        <f>IF(OR('T2 NSA'!$A$5="MET",'T2 NSA'!$A$5="UK CAA + DfT Eurocontrol"),"N/A",ROUND('T2 NSA'!G37,$D$512)=10%)</f>
        <v>N/A</v>
      </c>
    </row>
    <row r="513" spans="1:23" s="882" customFormat="1" outlineLevel="1">
      <c r="A513" s="875"/>
      <c r="B513" s="876"/>
      <c r="C513" s="880" t="s">
        <v>262</v>
      </c>
      <c r="D513" s="881"/>
      <c r="E513" s="871"/>
      <c r="F513" s="871"/>
      <c r="G513" s="871"/>
      <c r="H513" s="871"/>
      <c r="I513" s="871"/>
      <c r="R513" s="162"/>
      <c r="S513" s="893" t="str">
        <f>IF(OR('T2 NSA'!$A$5="MET",'T2 NSA'!$A$5="UK CAA + DfT Eurocontrol"),"N/A",ROUND('T2 NSA'!C37,$D$512))</f>
        <v>N/A</v>
      </c>
      <c r="T513" s="893" t="str">
        <f>IF(OR('T2 NSA'!$A$5="MET",'T2 NSA'!$A$5="UK CAA + DfT Eurocontrol"),"N/A",ROUND('T2 NSA'!D37,$D$512))</f>
        <v>N/A</v>
      </c>
      <c r="U513" s="893" t="str">
        <f>IF(OR('T2 NSA'!$A$5="MET",'T2 NSA'!$A$5="UK CAA + DfT Eurocontrol"),"N/A",ROUND('T2 NSA'!E37,$D$512))</f>
        <v>N/A</v>
      </c>
      <c r="V513" s="893" t="str">
        <f>IF(OR('T2 NSA'!$A$5="MET",'T2 NSA'!$A$5="UK CAA + DfT Eurocontrol"),"N/A",ROUND('T2 NSA'!F37,$D$512))</f>
        <v>N/A</v>
      </c>
      <c r="W513" s="893" t="str">
        <f>IF(OR('T2 NSA'!$A$5="MET",'T2 NSA'!$A$5="UK CAA + DfT Eurocontrol"),"N/A",ROUND('T2 NSA'!G37,$D$512))</f>
        <v>N/A</v>
      </c>
    </row>
    <row r="514" spans="1:23" s="878" customFormat="1">
      <c r="A514" s="875" t="s">
        <v>165</v>
      </c>
      <c r="B514" s="876" t="s">
        <v>166</v>
      </c>
      <c r="C514" s="877" t="s">
        <v>167</v>
      </c>
      <c r="D514" s="863">
        <v>3</v>
      </c>
      <c r="E514" s="871"/>
      <c r="F514" s="871"/>
      <c r="G514" s="871"/>
      <c r="H514" s="871"/>
      <c r="I514" s="871"/>
      <c r="N514" s="882"/>
      <c r="R514" s="162"/>
      <c r="S514" s="879" t="b">
        <f>ROUND('T2 NSA'!C38,$D$514)=ROUND('T1 NSA'!K68,$D$514)</f>
        <v>1</v>
      </c>
      <c r="T514" s="879" t="b">
        <f>ROUND('T2 NSA'!D38,$D$514)=ROUND('T1 NSA'!L68,$D$514)</f>
        <v>1</v>
      </c>
      <c r="U514" s="879" t="b">
        <f>ROUND('T2 NSA'!E38,$D$514)=ROUND('T1 NSA'!M68,$D$514)</f>
        <v>1</v>
      </c>
      <c r="V514" s="879" t="b">
        <f>ROUND('T2 NSA'!F38,$D$514)=ROUND('T1 NSA'!N68,$D$514)</f>
        <v>1</v>
      </c>
      <c r="W514" s="879" t="b">
        <f>ROUND('T2 NSA'!G38,$D$514)=ROUND('T1 NSA'!O68,$D$514)</f>
        <v>1</v>
      </c>
    </row>
    <row r="515" spans="1:23" s="882" customFormat="1" outlineLevel="1">
      <c r="A515" s="875"/>
      <c r="B515" s="876"/>
      <c r="C515" s="880" t="s">
        <v>168</v>
      </c>
      <c r="D515" s="881"/>
      <c r="E515" s="871"/>
      <c r="F515" s="871"/>
      <c r="G515" s="871"/>
      <c r="H515" s="871"/>
      <c r="I515" s="871"/>
      <c r="R515" s="162"/>
      <c r="S515" s="883">
        <f>ROUND('T2 NSA'!C38,$D$514)</f>
        <v>12647.945</v>
      </c>
      <c r="T515" s="883">
        <f>ROUND('T2 NSA'!D38,$D$514)</f>
        <v>12891</v>
      </c>
      <c r="U515" s="883">
        <f>ROUND('T2 NSA'!E38,$D$514)</f>
        <v>13183</v>
      </c>
      <c r="V515" s="883">
        <f>ROUND('T2 NSA'!F38,$D$514)</f>
        <v>11956</v>
      </c>
      <c r="W515" s="883">
        <f>ROUND('T2 NSA'!G38,$D$514)</f>
        <v>12930</v>
      </c>
    </row>
    <row r="516" spans="1:23" s="882" customFormat="1" outlineLevel="1">
      <c r="A516" s="875"/>
      <c r="B516" s="876"/>
      <c r="C516" s="880" t="s">
        <v>169</v>
      </c>
      <c r="D516" s="881"/>
      <c r="E516" s="871"/>
      <c r="F516" s="871"/>
      <c r="G516" s="871"/>
      <c r="H516" s="871"/>
      <c r="I516" s="871"/>
      <c r="R516" s="162"/>
      <c r="S516" s="883">
        <f>ROUND('T1 NSA'!K68,$D$514)</f>
        <v>12647.945</v>
      </c>
      <c r="T516" s="883">
        <f>ROUND('T1 NSA'!L68,$D$514)</f>
        <v>12891</v>
      </c>
      <c r="U516" s="883">
        <f>ROUND('T1 NSA'!M68,$D$514)</f>
        <v>13183</v>
      </c>
      <c r="V516" s="883">
        <f>ROUND('T1 NSA'!N68,$D$514)</f>
        <v>11956</v>
      </c>
      <c r="W516" s="883">
        <f>ROUND('T1 NSA'!O68,$D$514)</f>
        <v>12930</v>
      </c>
    </row>
    <row r="517" spans="1:23" s="878" customFormat="1">
      <c r="A517" s="875" t="s">
        <v>170</v>
      </c>
      <c r="B517" s="876">
        <v>4.7</v>
      </c>
      <c r="C517" s="885" t="s">
        <v>171</v>
      </c>
      <c r="D517" s="863">
        <v>3</v>
      </c>
      <c r="E517" s="871"/>
      <c r="F517" s="871"/>
      <c r="G517" s="871"/>
      <c r="H517" s="871"/>
      <c r="I517" s="871"/>
      <c r="J517" s="871"/>
      <c r="K517" s="871"/>
      <c r="L517" s="871"/>
      <c r="M517" s="871"/>
      <c r="N517" s="871"/>
      <c r="R517" s="162"/>
    </row>
    <row r="518" spans="1:23" s="882" customFormat="1" outlineLevel="1">
      <c r="A518" s="875"/>
      <c r="B518" s="876"/>
      <c r="C518" s="886" t="s">
        <v>172</v>
      </c>
      <c r="D518" s="887"/>
      <c r="E518" s="871"/>
      <c r="F518" s="871"/>
      <c r="G518" s="871"/>
      <c r="H518" s="871"/>
      <c r="I518" s="871"/>
      <c r="J518" s="871"/>
      <c r="K518" s="871"/>
      <c r="L518" s="871"/>
      <c r="M518" s="871"/>
      <c r="N518" s="871"/>
      <c r="R518" s="162"/>
    </row>
    <row r="519" spans="1:23" s="882" customFormat="1" outlineLevel="1">
      <c r="A519" s="875"/>
      <c r="B519" s="876"/>
      <c r="C519" s="886" t="s">
        <v>173</v>
      </c>
      <c r="D519" s="887"/>
      <c r="E519" s="871"/>
      <c r="F519" s="871"/>
      <c r="G519" s="871"/>
      <c r="H519" s="871"/>
      <c r="I519" s="871"/>
      <c r="J519" s="871"/>
      <c r="K519" s="871"/>
      <c r="L519" s="871"/>
      <c r="M519" s="871"/>
      <c r="N519" s="871"/>
      <c r="R519" s="162"/>
    </row>
    <row r="520" spans="1:23" s="878" customFormat="1">
      <c r="A520" s="875" t="s">
        <v>174</v>
      </c>
      <c r="B520" s="876">
        <v>4.8</v>
      </c>
      <c r="C520" s="885" t="s">
        <v>175</v>
      </c>
      <c r="D520" s="863">
        <v>3</v>
      </c>
      <c r="E520" s="871"/>
      <c r="F520" s="871"/>
      <c r="G520" s="871"/>
      <c r="H520" s="871"/>
      <c r="I520" s="871"/>
      <c r="J520" s="871"/>
      <c r="K520" s="871"/>
      <c r="L520" s="871"/>
      <c r="M520" s="871"/>
      <c r="N520" s="871"/>
      <c r="R520" s="162"/>
    </row>
    <row r="521" spans="1:23" s="882" customFormat="1" outlineLevel="1">
      <c r="A521" s="875"/>
      <c r="B521" s="876"/>
      <c r="C521" s="886" t="s">
        <v>176</v>
      </c>
      <c r="D521" s="887"/>
      <c r="E521" s="871"/>
      <c r="F521" s="871"/>
      <c r="G521" s="871"/>
      <c r="H521" s="871"/>
      <c r="I521" s="871"/>
      <c r="J521" s="871"/>
      <c r="K521" s="871"/>
      <c r="L521" s="871"/>
      <c r="M521" s="871"/>
      <c r="N521" s="871"/>
      <c r="R521" s="162"/>
    </row>
    <row r="522" spans="1:23" s="882" customFormat="1" outlineLevel="1">
      <c r="A522" s="875"/>
      <c r="B522" s="876"/>
      <c r="C522" s="886" t="s">
        <v>177</v>
      </c>
      <c r="D522" s="887"/>
      <c r="E522" s="871"/>
      <c r="F522" s="871"/>
      <c r="G522" s="871"/>
      <c r="H522" s="871"/>
      <c r="I522" s="871"/>
      <c r="J522" s="871"/>
      <c r="K522" s="871"/>
      <c r="L522" s="871"/>
      <c r="M522" s="871"/>
      <c r="N522" s="871"/>
      <c r="R522" s="162"/>
    </row>
    <row r="523" spans="1:23" s="878" customFormat="1">
      <c r="A523" s="875" t="s">
        <v>178</v>
      </c>
      <c r="B523" s="876" t="s">
        <v>179</v>
      </c>
      <c r="C523" s="885" t="s">
        <v>180</v>
      </c>
      <c r="D523" s="863">
        <v>3</v>
      </c>
      <c r="E523" s="871"/>
      <c r="F523" s="871"/>
      <c r="G523" s="871"/>
      <c r="H523" s="871"/>
      <c r="I523" s="871"/>
      <c r="J523" s="871"/>
      <c r="K523" s="871"/>
      <c r="L523" s="871"/>
      <c r="M523" s="871"/>
      <c r="N523" s="871"/>
      <c r="R523" s="162"/>
    </row>
    <row r="524" spans="1:23" s="882" customFormat="1" outlineLevel="1">
      <c r="A524" s="875"/>
      <c r="B524" s="876"/>
      <c r="C524" s="886" t="s">
        <v>181</v>
      </c>
      <c r="D524" s="881"/>
      <c r="E524" s="871"/>
      <c r="F524" s="871"/>
      <c r="G524" s="871"/>
      <c r="H524" s="871"/>
      <c r="I524" s="871"/>
      <c r="J524" s="871"/>
      <c r="K524" s="871"/>
      <c r="L524" s="871"/>
      <c r="M524" s="871"/>
      <c r="N524" s="871"/>
      <c r="R524" s="162"/>
    </row>
    <row r="525" spans="1:23" s="882" customFormat="1" outlineLevel="1">
      <c r="A525" s="875"/>
      <c r="B525" s="876"/>
      <c r="C525" s="886" t="s">
        <v>182</v>
      </c>
      <c r="D525" s="881"/>
      <c r="E525" s="871"/>
      <c r="F525" s="871"/>
      <c r="G525" s="871"/>
      <c r="H525" s="871"/>
      <c r="I525" s="871"/>
      <c r="J525" s="871"/>
      <c r="K525" s="871"/>
      <c r="L525" s="871"/>
      <c r="M525" s="871"/>
      <c r="N525" s="871"/>
      <c r="R525" s="162"/>
    </row>
    <row r="526" spans="1:23" s="878" customFormat="1">
      <c r="A526" s="875" t="s">
        <v>183</v>
      </c>
      <c r="B526" s="876" t="s">
        <v>34</v>
      </c>
      <c r="C526" s="877" t="s">
        <v>184</v>
      </c>
      <c r="D526" s="863">
        <v>3</v>
      </c>
      <c r="E526" s="871"/>
      <c r="F526" s="871"/>
      <c r="G526" s="871"/>
      <c r="H526" s="871"/>
      <c r="I526" s="871"/>
      <c r="J526" s="871"/>
      <c r="K526" s="871"/>
      <c r="L526" s="871"/>
      <c r="M526" s="871"/>
      <c r="N526" s="871"/>
      <c r="R526" s="162"/>
    </row>
    <row r="527" spans="1:23" s="882" customFormat="1" outlineLevel="1">
      <c r="A527" s="875"/>
      <c r="B527" s="876"/>
      <c r="C527" s="880" t="s">
        <v>185</v>
      </c>
      <c r="D527" s="881"/>
      <c r="E527" s="871"/>
      <c r="F527" s="871"/>
      <c r="G527" s="871"/>
      <c r="H527" s="871"/>
      <c r="I527" s="871"/>
      <c r="J527" s="871"/>
      <c r="K527" s="871"/>
      <c r="L527" s="871"/>
      <c r="M527" s="871"/>
      <c r="N527" s="871"/>
      <c r="R527" s="162"/>
    </row>
    <row r="528" spans="1:23" s="882" customFormat="1" outlineLevel="1">
      <c r="A528" s="875"/>
      <c r="B528" s="876"/>
      <c r="C528" s="880" t="s">
        <v>186</v>
      </c>
      <c r="D528" s="881"/>
      <c r="E528" s="871"/>
      <c r="F528" s="871"/>
      <c r="G528" s="871"/>
      <c r="H528" s="871"/>
      <c r="I528" s="871"/>
      <c r="J528" s="871"/>
      <c r="K528" s="871"/>
      <c r="L528" s="871"/>
      <c r="M528" s="871"/>
      <c r="N528" s="871"/>
      <c r="R528" s="162"/>
    </row>
    <row r="529" spans="1:23" s="878" customFormat="1">
      <c r="A529" s="875" t="s">
        <v>183</v>
      </c>
      <c r="B529" s="876" t="s">
        <v>38</v>
      </c>
      <c r="C529" s="877" t="s">
        <v>187</v>
      </c>
      <c r="D529" s="863">
        <v>3</v>
      </c>
      <c r="E529" s="871"/>
      <c r="F529" s="871"/>
      <c r="G529" s="871"/>
      <c r="H529" s="871"/>
      <c r="I529" s="871"/>
      <c r="J529" s="871"/>
      <c r="K529" s="871"/>
      <c r="L529" s="871"/>
      <c r="M529" s="871"/>
      <c r="N529" s="871"/>
      <c r="R529" s="162"/>
    </row>
    <row r="530" spans="1:23" s="882" customFormat="1" outlineLevel="1">
      <c r="A530" s="875"/>
      <c r="B530" s="876"/>
      <c r="C530" s="880" t="s">
        <v>185</v>
      </c>
      <c r="D530" s="881"/>
      <c r="E530" s="871"/>
      <c r="F530" s="871"/>
      <c r="G530" s="871"/>
      <c r="H530" s="871"/>
      <c r="I530" s="871"/>
      <c r="J530" s="871"/>
      <c r="K530" s="871"/>
      <c r="L530" s="871"/>
      <c r="M530" s="871"/>
      <c r="N530" s="871"/>
      <c r="R530" s="162"/>
    </row>
    <row r="531" spans="1:23" s="882" customFormat="1" outlineLevel="1">
      <c r="A531" s="875"/>
      <c r="B531" s="876"/>
      <c r="C531" s="880" t="s">
        <v>186</v>
      </c>
      <c r="D531" s="881"/>
      <c r="E531" s="871"/>
      <c r="F531" s="871"/>
      <c r="G531" s="871"/>
      <c r="H531" s="871"/>
      <c r="I531" s="871"/>
      <c r="J531" s="871"/>
      <c r="K531" s="871"/>
      <c r="L531" s="871"/>
      <c r="M531" s="871"/>
      <c r="N531" s="871"/>
      <c r="R531" s="162"/>
    </row>
    <row r="532" spans="1:23" s="878" customFormat="1">
      <c r="A532" s="875" t="s">
        <v>183</v>
      </c>
      <c r="B532" s="876" t="s">
        <v>58</v>
      </c>
      <c r="C532" s="877" t="s">
        <v>188</v>
      </c>
      <c r="D532" s="863">
        <v>3</v>
      </c>
      <c r="E532" s="871"/>
      <c r="F532" s="871"/>
      <c r="G532" s="871"/>
      <c r="H532" s="871"/>
      <c r="I532" s="871"/>
      <c r="J532" s="871"/>
      <c r="K532" s="871"/>
      <c r="L532" s="871"/>
      <c r="M532" s="871"/>
      <c r="N532" s="871"/>
      <c r="R532" s="162"/>
    </row>
    <row r="533" spans="1:23" s="882" customFormat="1" outlineLevel="1">
      <c r="A533" s="875"/>
      <c r="B533" s="876"/>
      <c r="C533" s="880" t="s">
        <v>189</v>
      </c>
      <c r="D533" s="881"/>
      <c r="E533" s="871"/>
      <c r="F533" s="871"/>
      <c r="G533" s="871"/>
      <c r="H533" s="871"/>
      <c r="I533" s="871"/>
      <c r="J533" s="871"/>
      <c r="K533" s="871"/>
      <c r="L533" s="871"/>
      <c r="M533" s="871"/>
      <c r="N533" s="871"/>
      <c r="R533" s="162"/>
    </row>
    <row r="534" spans="1:23" s="882" customFormat="1" outlineLevel="1">
      <c r="A534" s="875"/>
      <c r="B534" s="876"/>
      <c r="C534" s="880" t="s">
        <v>190</v>
      </c>
      <c r="D534" s="881"/>
      <c r="E534" s="871"/>
      <c r="F534" s="871"/>
      <c r="G534" s="871"/>
      <c r="H534" s="871"/>
      <c r="I534" s="871"/>
      <c r="J534" s="871"/>
      <c r="K534" s="871"/>
      <c r="L534" s="871"/>
      <c r="M534" s="871"/>
      <c r="N534" s="871"/>
      <c r="R534" s="162"/>
    </row>
    <row r="535" spans="1:23" s="878" customFormat="1">
      <c r="A535" s="875" t="s">
        <v>191</v>
      </c>
      <c r="B535" s="876" t="s">
        <v>192</v>
      </c>
      <c r="C535" s="877" t="s">
        <v>193</v>
      </c>
      <c r="D535" s="863">
        <v>3</v>
      </c>
      <c r="E535" s="871"/>
      <c r="F535" s="871"/>
      <c r="G535" s="871"/>
      <c r="H535" s="871"/>
      <c r="I535" s="871"/>
      <c r="J535" s="871"/>
      <c r="K535" s="871"/>
      <c r="L535" s="871"/>
      <c r="M535" s="871"/>
      <c r="N535" s="871"/>
      <c r="R535" s="162"/>
    </row>
    <row r="536" spans="1:23" s="882" customFormat="1" outlineLevel="1">
      <c r="A536" s="875"/>
      <c r="B536" s="876"/>
      <c r="C536" s="880" t="s">
        <v>194</v>
      </c>
      <c r="D536" s="881"/>
      <c r="E536" s="871"/>
      <c r="F536" s="871"/>
      <c r="G536" s="871"/>
      <c r="H536" s="871"/>
      <c r="I536" s="871"/>
      <c r="J536" s="871"/>
      <c r="K536" s="871"/>
      <c r="L536" s="871"/>
      <c r="M536" s="871"/>
      <c r="N536" s="871"/>
      <c r="R536" s="162"/>
    </row>
    <row r="537" spans="1:23" s="882" customFormat="1" outlineLevel="1">
      <c r="A537" s="875"/>
      <c r="B537" s="876"/>
      <c r="C537" s="865" t="s">
        <v>195</v>
      </c>
      <c r="D537" s="881"/>
      <c r="E537" s="871"/>
      <c r="F537" s="871"/>
      <c r="G537" s="871"/>
      <c r="H537" s="871"/>
      <c r="I537" s="871"/>
      <c r="J537" s="871"/>
      <c r="K537" s="871"/>
      <c r="L537" s="871"/>
      <c r="M537" s="871"/>
      <c r="N537" s="871"/>
      <c r="R537" s="162"/>
    </row>
    <row r="538" spans="1:23" s="878" customFormat="1">
      <c r="A538" s="875" t="s">
        <v>196</v>
      </c>
      <c r="B538" s="876" t="s">
        <v>197</v>
      </c>
      <c r="C538" s="877" t="s">
        <v>198</v>
      </c>
      <c r="D538" s="863">
        <v>3</v>
      </c>
      <c r="E538" s="871"/>
      <c r="F538" s="871"/>
      <c r="G538" s="871"/>
      <c r="H538" s="871"/>
      <c r="I538" s="871"/>
      <c r="J538" s="871"/>
      <c r="K538" s="871"/>
      <c r="L538" s="871"/>
      <c r="M538" s="871"/>
      <c r="N538" s="871"/>
      <c r="R538" s="162"/>
    </row>
    <row r="539" spans="1:23" s="882" customFormat="1" outlineLevel="1">
      <c r="A539" s="875"/>
      <c r="B539" s="876"/>
      <c r="C539" s="880" t="s">
        <v>199</v>
      </c>
      <c r="D539" s="881"/>
      <c r="E539" s="871"/>
      <c r="F539" s="871"/>
      <c r="G539" s="871"/>
      <c r="H539" s="871"/>
      <c r="I539" s="871"/>
      <c r="J539" s="871"/>
      <c r="K539" s="871"/>
      <c r="L539" s="871"/>
      <c r="M539" s="871"/>
      <c r="N539" s="871"/>
      <c r="R539" s="162"/>
    </row>
    <row r="540" spans="1:23" s="882" customFormat="1" outlineLevel="1">
      <c r="A540" s="875"/>
      <c r="B540" s="876"/>
      <c r="C540" s="865" t="s">
        <v>200</v>
      </c>
      <c r="D540" s="881"/>
      <c r="E540" s="871"/>
      <c r="F540" s="871"/>
      <c r="G540" s="871"/>
      <c r="H540" s="871"/>
      <c r="I540" s="871"/>
      <c r="J540" s="871"/>
      <c r="K540" s="871"/>
      <c r="L540" s="871"/>
      <c r="M540" s="871"/>
      <c r="N540" s="871"/>
      <c r="R540" s="162"/>
    </row>
    <row r="541" spans="1:23" s="878" customFormat="1">
      <c r="A541" s="875" t="s">
        <v>133</v>
      </c>
      <c r="B541" s="876" t="s">
        <v>201</v>
      </c>
      <c r="C541" s="877" t="s">
        <v>202</v>
      </c>
      <c r="D541" s="863">
        <v>3</v>
      </c>
      <c r="E541" s="871"/>
      <c r="F541" s="871"/>
      <c r="G541" s="871"/>
      <c r="H541" s="871"/>
      <c r="I541" s="871"/>
      <c r="R541" s="162"/>
      <c r="S541" s="879" t="b">
        <f>ROUND('T2 NSA'!C81,$D$541)=ROUND('T2 NSA'!C12,$D$541)</f>
        <v>1</v>
      </c>
      <c r="T541" s="879" t="b">
        <f>ROUND('T2 NSA'!D81,$D$541)=ROUND('T2 NSA'!D12,$D$541)</f>
        <v>1</v>
      </c>
      <c r="U541" s="879" t="b">
        <f>ROUND('T2 NSA'!E81,$D$541)=ROUND('T2 NSA'!E12,$D$541)</f>
        <v>1</v>
      </c>
      <c r="V541" s="879" t="b">
        <f>ROUND('T2 NSA'!F81,$D$541)=ROUND('T2 NSA'!F12,$D$541)</f>
        <v>1</v>
      </c>
      <c r="W541" s="879" t="b">
        <f>ROUND('T2 NSA'!G81,$D$541)=ROUND('T2 NSA'!G12,$D$541)</f>
        <v>1</v>
      </c>
    </row>
    <row r="542" spans="1:23" s="882" customFormat="1" outlineLevel="1">
      <c r="A542" s="875"/>
      <c r="B542" s="876"/>
      <c r="C542" s="880" t="s">
        <v>203</v>
      </c>
      <c r="D542" s="881"/>
      <c r="E542" s="871"/>
      <c r="F542" s="871"/>
      <c r="G542" s="871"/>
      <c r="H542" s="871"/>
      <c r="I542" s="871"/>
      <c r="R542" s="162"/>
      <c r="S542" s="883">
        <f>ROUND('T2 NSA'!C81,$D$541)</f>
        <v>69525.566999999995</v>
      </c>
      <c r="T542" s="883">
        <f>ROUND('T2 NSA'!D81,$D$541)</f>
        <v>70562.278000000006</v>
      </c>
      <c r="U542" s="883">
        <f>ROUND('T2 NSA'!E81,$D$541)</f>
        <v>70564.365999999995</v>
      </c>
      <c r="V542" s="883">
        <f>ROUND('T2 NSA'!F81,$D$541)</f>
        <v>79593.538</v>
      </c>
      <c r="W542" s="883">
        <f>ROUND('T2 NSA'!G81,$D$541)</f>
        <v>80109.551999999996</v>
      </c>
    </row>
    <row r="543" spans="1:23" s="882" customFormat="1" outlineLevel="1">
      <c r="A543" s="875"/>
      <c r="B543" s="876"/>
      <c r="C543" s="880" t="s">
        <v>204</v>
      </c>
      <c r="D543" s="881"/>
      <c r="E543" s="871"/>
      <c r="F543" s="871"/>
      <c r="G543" s="871"/>
      <c r="H543" s="871"/>
      <c r="I543" s="871"/>
      <c r="R543" s="162"/>
      <c r="S543" s="883">
        <f>ROUND('T2 NSA'!C12,$D$541)</f>
        <v>69525.566999999995</v>
      </c>
      <c r="T543" s="883">
        <f>ROUND('T2 NSA'!D12,$D$541)</f>
        <v>70562.278000000006</v>
      </c>
      <c r="U543" s="883">
        <f>ROUND('T2 NSA'!E12,$D$541)</f>
        <v>70564.365999999995</v>
      </c>
      <c r="V543" s="883">
        <f>ROUND('T2 NSA'!F12,$D$541)</f>
        <v>79593.538</v>
      </c>
      <c r="W543" s="883">
        <f>ROUND('T2 NSA'!G12,$D$541)</f>
        <v>80109.551999999996</v>
      </c>
    </row>
    <row r="544" spans="1:23">
      <c r="A544" s="875" t="s">
        <v>205</v>
      </c>
      <c r="B544" s="876" t="s">
        <v>206</v>
      </c>
      <c r="C544" s="888" t="s">
        <v>207</v>
      </c>
      <c r="D544" s="863">
        <v>3</v>
      </c>
      <c r="E544" s="871"/>
      <c r="F544" s="871"/>
      <c r="G544" s="871"/>
      <c r="H544" s="871"/>
      <c r="I544" s="871"/>
      <c r="J544" s="162"/>
      <c r="K544" s="162"/>
      <c r="L544" s="162"/>
      <c r="S544" s="879" t="b">
        <f>ROUND('T2 NSA'!C82,$D$544)=ROUND('T3 NSA'!E17,$D$544)</f>
        <v>0</v>
      </c>
      <c r="T544" s="879" t="b">
        <f>ROUND('T2 NSA'!D82,$D$544)=ROUND('T3 NSA'!F17,$D$544)</f>
        <v>0</v>
      </c>
      <c r="U544" s="879" t="b">
        <f>ROUND('T2 NSA'!E82,$D$544)=ROUND('T3 NSA'!G17,$D$544)</f>
        <v>1</v>
      </c>
      <c r="V544" s="879" t="b">
        <f>ROUND('T2 NSA'!F82,$D$544)=ROUND('T3 NSA'!H17,$D$544)</f>
        <v>1</v>
      </c>
      <c r="W544" s="879" t="b">
        <f>ROUND('T2 NSA'!G82,$D$544)=ROUND('T3 NSA'!I17,$D$544)</f>
        <v>1</v>
      </c>
    </row>
    <row r="545" spans="1:25" outlineLevel="1">
      <c r="A545" s="876"/>
      <c r="B545" s="876"/>
      <c r="C545" s="889" t="s">
        <v>208</v>
      </c>
      <c r="D545" s="890"/>
      <c r="E545" s="871"/>
      <c r="F545" s="871"/>
      <c r="G545" s="871"/>
      <c r="H545" s="871"/>
      <c r="I545" s="871"/>
      <c r="J545" s="162"/>
      <c r="K545" s="162"/>
      <c r="L545" s="162"/>
      <c r="S545" s="883">
        <f>ROUND('T2 NSA'!C82,$D$544)</f>
        <v>-1453</v>
      </c>
      <c r="T545" s="883">
        <f>ROUND('T2 NSA'!D82,$D$544)</f>
        <v>-1608.5</v>
      </c>
      <c r="U545" s="883">
        <f>ROUND('T2 NSA'!E82,$D$544)</f>
        <v>0</v>
      </c>
      <c r="V545" s="883">
        <f>ROUND('T2 NSA'!F82,$D$544)</f>
        <v>0</v>
      </c>
      <c r="W545" s="883">
        <f>ROUND('T2 NSA'!G82,$D$544)</f>
        <v>0</v>
      </c>
    </row>
    <row r="546" spans="1:25" outlineLevel="1">
      <c r="A546" s="876"/>
      <c r="B546" s="876"/>
      <c r="C546" s="889" t="s">
        <v>209</v>
      </c>
      <c r="D546" s="890"/>
      <c r="E546" s="871"/>
      <c r="F546" s="871"/>
      <c r="G546" s="871"/>
      <c r="H546" s="871"/>
      <c r="I546" s="871"/>
      <c r="J546" s="162"/>
      <c r="K546" s="162"/>
      <c r="L546" s="162"/>
      <c r="S546" s="883">
        <f>ROUND('T3 NSA'!E17,$D$544)</f>
        <v>0</v>
      </c>
      <c r="T546" s="883">
        <f>ROUND('T3 NSA'!F17,$D$544)</f>
        <v>0</v>
      </c>
      <c r="U546" s="883">
        <f>ROUND('T3 NSA'!G17,$D$544)</f>
        <v>0</v>
      </c>
      <c r="V546" s="883">
        <f>ROUND('T3 NSA'!H17,$D$544)</f>
        <v>0</v>
      </c>
      <c r="W546" s="883">
        <f>ROUND('T3 NSA'!I17,$D$544)</f>
        <v>0</v>
      </c>
    </row>
    <row r="547" spans="1:25">
      <c r="A547" s="876" t="s">
        <v>210</v>
      </c>
      <c r="B547" s="876" t="s">
        <v>211</v>
      </c>
      <c r="C547" s="888" t="s">
        <v>212</v>
      </c>
      <c r="D547" s="863">
        <v>3</v>
      </c>
      <c r="E547" s="871"/>
      <c r="F547" s="871"/>
      <c r="G547" s="871"/>
      <c r="H547" s="871"/>
      <c r="I547" s="871"/>
      <c r="J547" s="162"/>
      <c r="K547" s="162"/>
      <c r="L547" s="162"/>
      <c r="S547" s="879" t="b">
        <f>ROUND('T2 NSA'!C83,$D$547)=ROUND('T3 NSA'!E28,$D$547)</f>
        <v>1</v>
      </c>
      <c r="T547" s="879" t="b">
        <f>ROUND('T2 NSA'!D83,$D$547)=ROUND('T3 NSA'!F28,$D$547)</f>
        <v>1</v>
      </c>
      <c r="U547" s="879" t="b">
        <f>ROUND('T2 NSA'!E83,$D$547)=ROUND('T3 NSA'!G28,$D$547)</f>
        <v>1</v>
      </c>
      <c r="V547" s="879" t="b">
        <f>ROUND('T2 NSA'!F83,$D$547)=ROUND('T3 NSA'!H28,$D$547)</f>
        <v>1</v>
      </c>
      <c r="W547" s="879" t="b">
        <f>ROUND('T2 NSA'!G83,$D$547)=ROUND('T3 NSA'!I28,$D$547)</f>
        <v>1</v>
      </c>
    </row>
    <row r="548" spans="1:25" outlineLevel="1">
      <c r="A548" s="876"/>
      <c r="B548" s="876"/>
      <c r="C548" s="889" t="s">
        <v>208</v>
      </c>
      <c r="D548" s="890"/>
      <c r="E548" s="871"/>
      <c r="F548" s="871"/>
      <c r="G548" s="871"/>
      <c r="H548" s="871"/>
      <c r="I548" s="871"/>
      <c r="J548" s="162"/>
      <c r="K548" s="162"/>
      <c r="L548" s="162"/>
      <c r="S548" s="883">
        <f>ROUND('T2 NSA'!C83,$D$547)</f>
        <v>0</v>
      </c>
      <c r="T548" s="883">
        <f>ROUND('T2 NSA'!D83,$D$547)</f>
        <v>0</v>
      </c>
      <c r="U548" s="883">
        <f>ROUND('T2 NSA'!E83,$D$547)</f>
        <v>0</v>
      </c>
      <c r="V548" s="883">
        <f>ROUND('T2 NSA'!F83,$D$547)</f>
        <v>0</v>
      </c>
      <c r="W548" s="883">
        <f>ROUND('T2 NSA'!G83,$D$547)</f>
        <v>0</v>
      </c>
    </row>
    <row r="549" spans="1:25" outlineLevel="1">
      <c r="A549" s="876"/>
      <c r="B549" s="876"/>
      <c r="C549" s="889" t="s">
        <v>209</v>
      </c>
      <c r="D549" s="890"/>
      <c r="E549" s="871"/>
      <c r="F549" s="871"/>
      <c r="G549" s="871"/>
      <c r="H549" s="871"/>
      <c r="I549" s="871"/>
      <c r="J549" s="162"/>
      <c r="K549" s="162"/>
      <c r="L549" s="162"/>
      <c r="S549" s="883">
        <f>ROUND('T3 NSA'!E28,$D$547)</f>
        <v>0</v>
      </c>
      <c r="T549" s="883">
        <f>ROUND('T3 NSA'!F28,$D$547)</f>
        <v>0</v>
      </c>
      <c r="U549" s="883">
        <f>ROUND('T3 NSA'!G28,$D$547)</f>
        <v>0</v>
      </c>
      <c r="V549" s="883">
        <f>ROUND('T3 NSA'!H28,$D$547)</f>
        <v>0</v>
      </c>
      <c r="W549" s="883">
        <f>ROUND('T3 NSA'!I28,$D$547)</f>
        <v>0</v>
      </c>
    </row>
    <row r="550" spans="1:25">
      <c r="A550" s="876" t="s">
        <v>213</v>
      </c>
      <c r="B550" s="876" t="s">
        <v>214</v>
      </c>
      <c r="C550" s="888" t="s">
        <v>215</v>
      </c>
      <c r="D550" s="863">
        <v>3</v>
      </c>
      <c r="E550" s="871"/>
      <c r="F550" s="871"/>
      <c r="G550" s="871"/>
      <c r="H550" s="871"/>
      <c r="I550" s="871"/>
      <c r="J550" s="162"/>
      <c r="K550" s="162"/>
      <c r="L550" s="162"/>
      <c r="S550" s="879" t="b">
        <f>ROUND('T2 NSA'!C84,$D$550)=ROUND('T3 NSA'!E35+'T3 NSA'!E42+'T3 NSA'!E49+'T3 NSA'!E56+'T3 NSA'!E63+'T3 NSA'!E70+'T3 NSA'!E75,$D$550)</f>
        <v>1</v>
      </c>
      <c r="T550" s="879" t="b">
        <f>ROUND('T2 NSA'!D84,$D$550)=ROUND('T3 NSA'!F35+'T3 NSA'!F42+'T3 NSA'!F49+'T3 NSA'!F56+'T3 NSA'!F63+'T3 NSA'!F70+'T3 NSA'!F75,$D$550)</f>
        <v>0</v>
      </c>
      <c r="U550" s="879" t="b">
        <f>ROUND('T2 NSA'!E84,$D$550)=ROUND('T3 NSA'!G35+'T3 NSA'!G42+'T3 NSA'!G49+'T3 NSA'!G56+'T3 NSA'!G63+'T3 NSA'!G70+'T3 NSA'!G75,$D$550)</f>
        <v>1</v>
      </c>
      <c r="V550" s="879" t="b">
        <f>ROUND('T2 NSA'!F84,$D$550)=ROUND('T3 NSA'!H47+'T3 NSA'!H58+'T3 NSA'!H69+'T3 NSA'!H80+'T3 NSA'!H91+'T3 NSA'!H102+'T3 NSA'!H111,$D$550)</f>
        <v>1</v>
      </c>
      <c r="W550" s="879" t="b">
        <f>ROUND('T2 NSA'!G84,$D$550)=ROUND('T3 NSA'!I47+'T3 NSA'!I58+'T3 NSA'!I69+'T3 NSA'!I80+'T3 NSA'!I91+'T3 NSA'!I102+'T3 NSA'!I111,$D$550)</f>
        <v>1</v>
      </c>
      <c r="Y550" s="1389">
        <f>V551-V552</f>
        <v>0</v>
      </c>
    </row>
    <row r="551" spans="1:25" outlineLevel="1">
      <c r="A551" s="876"/>
      <c r="B551" s="876"/>
      <c r="C551" s="889" t="s">
        <v>208</v>
      </c>
      <c r="D551" s="890"/>
      <c r="E551" s="871"/>
      <c r="F551" s="871"/>
      <c r="G551" s="871"/>
      <c r="H551" s="871"/>
      <c r="I551" s="871"/>
      <c r="J551" s="162"/>
      <c r="K551" s="162"/>
      <c r="L551" s="162"/>
      <c r="S551" s="883">
        <f>ROUND('T2 NSA'!C84,$D$550)</f>
        <v>0</v>
      </c>
      <c r="T551" s="883">
        <f>ROUND('T2 NSA'!D84,$D$550)</f>
        <v>-5528.924</v>
      </c>
      <c r="U551" s="883">
        <f>ROUND('T2 NSA'!E84,$D$550)</f>
        <v>-7519.6360000000004</v>
      </c>
      <c r="V551" s="883">
        <f>ROUND('T2 NSA'!F84,$D$550)</f>
        <v>-6608.9989999999998</v>
      </c>
      <c r="W551" s="883">
        <f>ROUND('T2 NSA'!G84,$D$550)</f>
        <v>2051.739</v>
      </c>
    </row>
    <row r="552" spans="1:25" outlineLevel="1">
      <c r="A552" s="876"/>
      <c r="B552" s="876"/>
      <c r="C552" s="889" t="s">
        <v>209</v>
      </c>
      <c r="D552" s="890"/>
      <c r="E552" s="871"/>
      <c r="F552" s="871"/>
      <c r="G552" s="871"/>
      <c r="H552" s="871"/>
      <c r="I552" s="871"/>
      <c r="J552" s="162"/>
      <c r="K552" s="162"/>
      <c r="L552" s="162"/>
      <c r="S552" s="883">
        <f>ROUND('T3 NSA'!E35+'T3 NSA'!E42+'T3 NSA'!E49+'T3 NSA'!E56+'T3 NSA'!E63+'T3 NSA'!E70+'T3 NSA'!E75,$D$550)</f>
        <v>0</v>
      </c>
      <c r="T552" s="883">
        <f>ROUND('T3 NSA'!F35+'T3 NSA'!F42+'T3 NSA'!F49+'T3 NSA'!F56+'T3 NSA'!F63+'T3 NSA'!F70+'T3 NSA'!F75,$D$550)</f>
        <v>0</v>
      </c>
      <c r="U552" s="883">
        <f>ROUND('T3 NSA'!G35+'T3 NSA'!G42+'T3 NSA'!G49+'T3 NSA'!G56+'T3 NSA'!G63+'T3 NSA'!G70+'T3 NSA'!G75,$D$550)</f>
        <v>-7519.6360000000004</v>
      </c>
      <c r="V552" s="883">
        <f>ROUND('T3 NSA'!H47+'T3 NSA'!H58+'T3 NSA'!H69+'T3 NSA'!H80+'T3 NSA'!H91+'T3 NSA'!H102+'T3 NSA'!H111,$D$550)</f>
        <v>-6608.9989999999998</v>
      </c>
      <c r="W552" s="883">
        <f>ROUND('T3 NSA'!I35+'T3 NSA'!I42+'T3 NSA'!I49+'T3 NSA'!I56+'T3 NSA'!I63+'T3 NSA'!I70+'T3 NSA'!I75,$D$550)</f>
        <v>2137.4450000000002</v>
      </c>
    </row>
    <row r="553" spans="1:25">
      <c r="A553" s="876" t="s">
        <v>216</v>
      </c>
      <c r="B553" s="876" t="s">
        <v>217</v>
      </c>
      <c r="C553" s="888" t="s">
        <v>218</v>
      </c>
      <c r="D553" s="863">
        <v>3</v>
      </c>
      <c r="E553" s="871"/>
      <c r="F553" s="871"/>
      <c r="G553" s="871"/>
      <c r="H553" s="871"/>
      <c r="I553" s="871"/>
      <c r="J553" s="162"/>
      <c r="K553" s="162"/>
      <c r="L553" s="162"/>
      <c r="S553" s="879" t="b">
        <f>ROUND('T2 NSA'!C85,$D$553)=ROUND('T3 NSA'!E86,$D$553)</f>
        <v>1</v>
      </c>
      <c r="T553" s="879" t="b">
        <f>ROUND('T2 NSA'!D85,$D$553)=ROUND('T3 NSA'!F86,$D$553)</f>
        <v>1</v>
      </c>
      <c r="U553" s="879" t="b">
        <f>ROUND('T2 NSA'!E85,$D$553)=ROUND('T3 NSA'!G86,$D$553)</f>
        <v>1</v>
      </c>
      <c r="V553" s="879" t="b">
        <f>ROUND('T2 NSA'!F85,$D$553)=ROUND('T3 NSA'!H86,$D$553)</f>
        <v>1</v>
      </c>
      <c r="W553" s="879" t="b">
        <f>ROUND('T2 NSA'!G85,$D$553)=ROUND('T3 NSA'!I86,$D$553)</f>
        <v>1</v>
      </c>
    </row>
    <row r="554" spans="1:25" outlineLevel="1">
      <c r="A554" s="876"/>
      <c r="B554" s="876"/>
      <c r="C554" s="889" t="s">
        <v>208</v>
      </c>
      <c r="D554" s="890"/>
      <c r="E554" s="871"/>
      <c r="F554" s="871"/>
      <c r="G554" s="871"/>
      <c r="H554" s="871"/>
      <c r="I554" s="871"/>
      <c r="J554" s="162"/>
      <c r="K554" s="162"/>
      <c r="L554" s="162"/>
      <c r="S554" s="883">
        <f>ROUND('T2 NSA'!C85,$D$553)</f>
        <v>0</v>
      </c>
      <c r="T554" s="883">
        <f>ROUND('T2 NSA'!D85,$D$553)</f>
        <v>0</v>
      </c>
      <c r="U554" s="883">
        <f>ROUND('T2 NSA'!E85,$D$553)</f>
        <v>0</v>
      </c>
      <c r="V554" s="883">
        <f>ROUND('T2 NSA'!F85,$D$553)</f>
        <v>0</v>
      </c>
      <c r="W554" s="883">
        <f>ROUND('T2 NSA'!G85,$D$553)</f>
        <v>0</v>
      </c>
    </row>
    <row r="555" spans="1:25" outlineLevel="1">
      <c r="A555" s="876"/>
      <c r="B555" s="876"/>
      <c r="C555" s="889" t="s">
        <v>209</v>
      </c>
      <c r="D555" s="890"/>
      <c r="E555" s="871"/>
      <c r="F555" s="871"/>
      <c r="G555" s="871"/>
      <c r="H555" s="871"/>
      <c r="I555" s="871"/>
      <c r="J555" s="162"/>
      <c r="K555" s="162"/>
      <c r="L555" s="162"/>
      <c r="S555" s="883">
        <f>ROUND('T3 NSA'!E86,$D$553)</f>
        <v>0</v>
      </c>
      <c r="T555" s="883">
        <f>ROUND('T3 NSA'!F86,$D$553)</f>
        <v>0</v>
      </c>
      <c r="U555" s="883">
        <f>ROUND('T3 NSA'!G86,$D$553)</f>
        <v>0</v>
      </c>
      <c r="V555" s="883">
        <f>ROUND('T3 NSA'!H86,$D$553)</f>
        <v>0</v>
      </c>
      <c r="W555" s="883">
        <f>ROUND('T3 NSA'!I86,$D$553)</f>
        <v>0</v>
      </c>
    </row>
    <row r="556" spans="1:25">
      <c r="A556" s="876" t="s">
        <v>219</v>
      </c>
      <c r="B556" s="876" t="s">
        <v>220</v>
      </c>
      <c r="C556" s="888" t="s">
        <v>221</v>
      </c>
      <c r="D556" s="863">
        <v>3</v>
      </c>
      <c r="E556" s="871"/>
      <c r="F556" s="871"/>
      <c r="G556" s="871"/>
      <c r="H556" s="871"/>
      <c r="I556" s="871"/>
      <c r="J556" s="162"/>
      <c r="K556" s="162"/>
      <c r="L556" s="162"/>
      <c r="S556" s="879" t="b">
        <f>ROUND('T2 NSA'!C86,$D$556)=ROUND('T3 NSA'!E97,$D$556)</f>
        <v>1</v>
      </c>
      <c r="T556" s="879" t="b">
        <f>ROUND('T2 NSA'!D86,$D$556)=ROUND('T3 NSA'!F97,$D$556)</f>
        <v>1</v>
      </c>
      <c r="U556" s="879" t="b">
        <f>ROUND('T2 NSA'!E86,$D$556)=ROUND('T3 NSA'!G97,$D$556)</f>
        <v>1</v>
      </c>
      <c r="V556" s="879" t="b">
        <f>ROUND('T2 NSA'!F86,$D$556)=ROUND('T3 NSA'!H97,$D$556)</f>
        <v>1</v>
      </c>
      <c r="W556" s="879" t="b">
        <f>ROUND('T2 NSA'!G86,$D$556)=ROUND('T3 NSA'!I97,$D$556)</f>
        <v>1</v>
      </c>
    </row>
    <row r="557" spans="1:25" outlineLevel="1">
      <c r="A557" s="876"/>
      <c r="B557" s="876"/>
      <c r="C557" s="889" t="s">
        <v>208</v>
      </c>
      <c r="D557" s="890"/>
      <c r="E557" s="871"/>
      <c r="F557" s="871"/>
      <c r="G557" s="871"/>
      <c r="H557" s="871"/>
      <c r="I557" s="871"/>
      <c r="J557" s="162"/>
      <c r="K557" s="162"/>
      <c r="L557" s="162"/>
      <c r="S557" s="883">
        <f>ROUND('T2 NSA'!C86,$D$556)</f>
        <v>0</v>
      </c>
      <c r="T557" s="883">
        <f>ROUND('T2 NSA'!D86,$D$556)</f>
        <v>0</v>
      </c>
      <c r="U557" s="883">
        <f>ROUND('T2 NSA'!E86,$D$556)</f>
        <v>0</v>
      </c>
      <c r="V557" s="883">
        <f>ROUND('T2 NSA'!F86,$D$556)</f>
        <v>0</v>
      </c>
      <c r="W557" s="883">
        <f>ROUND('T2 NSA'!G86,$D$556)</f>
        <v>0</v>
      </c>
    </row>
    <row r="558" spans="1:25" outlineLevel="1">
      <c r="A558" s="876"/>
      <c r="B558" s="876"/>
      <c r="C558" s="889" t="s">
        <v>209</v>
      </c>
      <c r="D558" s="890"/>
      <c r="E558" s="871"/>
      <c r="F558" s="871"/>
      <c r="G558" s="871"/>
      <c r="H558" s="871"/>
      <c r="I558" s="871"/>
      <c r="J558" s="162"/>
      <c r="K558" s="162"/>
      <c r="L558" s="162"/>
      <c r="S558" s="883">
        <f>ROUND('T3 NSA'!E97,$D$556)</f>
        <v>0</v>
      </c>
      <c r="T558" s="883">
        <f>ROUND('T3 NSA'!F97,$D$556)</f>
        <v>0</v>
      </c>
      <c r="U558" s="883">
        <f>ROUND('T3 NSA'!G97,$D$556)</f>
        <v>0</v>
      </c>
      <c r="V558" s="883">
        <f>ROUND('T3 NSA'!H97,$D$556)</f>
        <v>0</v>
      </c>
      <c r="W558" s="883">
        <f>ROUND('T3 NSA'!I97,$D$556)</f>
        <v>0</v>
      </c>
    </row>
    <row r="559" spans="1:25">
      <c r="A559" s="876" t="s">
        <v>222</v>
      </c>
      <c r="B559" s="876" t="s">
        <v>223</v>
      </c>
      <c r="C559" s="888" t="s">
        <v>224</v>
      </c>
      <c r="D559" s="863">
        <v>3</v>
      </c>
      <c r="E559" s="871"/>
      <c r="F559" s="871"/>
      <c r="G559" s="871"/>
      <c r="H559" s="871"/>
      <c r="I559" s="871"/>
      <c r="J559" s="162"/>
      <c r="K559" s="162"/>
      <c r="L559" s="162"/>
      <c r="S559" s="879" t="b">
        <f>ROUND('T2 NSA'!C87,$D$559)=ROUND('T3 NSA'!E166,$D$559)</f>
        <v>1</v>
      </c>
      <c r="T559" s="879" t="b">
        <f>ROUND('T2 NSA'!D87,$D$559)=ROUND('T3 NSA'!F166,$D$559)</f>
        <v>1</v>
      </c>
      <c r="U559" s="879" t="b">
        <f>ROUND('T2 NSA'!E87,$D$559)=ROUND('T3 NSA'!G166,$D$559)</f>
        <v>1</v>
      </c>
      <c r="V559" s="879" t="b">
        <f>ROUND('T2 NSA'!F87,$D$559)=ROUND('T3 NSA'!H166,$D$559)</f>
        <v>1</v>
      </c>
      <c r="W559" s="879" t="b">
        <f>ROUND('T2 NSA'!G87,$D$559)=ROUND('T3 NSA'!I166,$D$559)</f>
        <v>1</v>
      </c>
    </row>
    <row r="560" spans="1:25" outlineLevel="1">
      <c r="A560" s="876"/>
      <c r="B560" s="876"/>
      <c r="C560" s="889" t="s">
        <v>208</v>
      </c>
      <c r="D560" s="890"/>
      <c r="E560" s="871"/>
      <c r="F560" s="871"/>
      <c r="G560" s="871"/>
      <c r="H560" s="871"/>
      <c r="I560" s="871"/>
      <c r="J560" s="162"/>
      <c r="K560" s="162"/>
      <c r="L560" s="162"/>
      <c r="S560" s="883">
        <f>ROUND('T2 NSA'!C87,$D$559)</f>
        <v>-8107.9229999999998</v>
      </c>
      <c r="T560" s="883">
        <f>ROUND('T2 NSA'!D87,$D$559)</f>
        <v>-8764.768</v>
      </c>
      <c r="U560" s="883">
        <f>ROUND('T2 NSA'!E87,$D$559)</f>
        <v>35789.139000000003</v>
      </c>
      <c r="V560" s="883">
        <f>ROUND('T2 NSA'!F87,$D$559)</f>
        <v>31205.77</v>
      </c>
      <c r="W560" s="883">
        <f>ROUND('T2 NSA'!G87,$D$559)</f>
        <v>18000.007000000001</v>
      </c>
    </row>
    <row r="561" spans="1:26" outlineLevel="1">
      <c r="A561" s="876"/>
      <c r="B561" s="876"/>
      <c r="C561" s="889" t="s">
        <v>209</v>
      </c>
      <c r="D561" s="890"/>
      <c r="E561" s="871"/>
      <c r="F561" s="871"/>
      <c r="G561" s="871"/>
      <c r="H561" s="871"/>
      <c r="I561" s="871"/>
      <c r="J561" s="162"/>
      <c r="K561" s="162"/>
      <c r="L561" s="162"/>
      <c r="S561" s="883">
        <f>ROUND('T3 NSA'!E166,$D$559)</f>
        <v>-8107.9229999999998</v>
      </c>
      <c r="T561" s="883">
        <f>ROUND('T3 NSA'!F166,$D$559)</f>
        <v>-8764.768</v>
      </c>
      <c r="U561" s="883">
        <f>ROUND('T3 NSA'!G166,$D$559)</f>
        <v>35789.139000000003</v>
      </c>
      <c r="V561" s="883">
        <f>ROUND('T3 NSA'!H166,$D$559)</f>
        <v>31205.77</v>
      </c>
      <c r="W561" s="883">
        <f>ROUND('T3 NSA'!I114,$D$559)</f>
        <v>0</v>
      </c>
    </row>
    <row r="562" spans="1:26">
      <c r="A562" s="876" t="s">
        <v>225</v>
      </c>
      <c r="B562" s="876" t="s">
        <v>226</v>
      </c>
      <c r="C562" s="888" t="s">
        <v>227</v>
      </c>
      <c r="D562" s="863">
        <v>3</v>
      </c>
      <c r="E562" s="871"/>
      <c r="F562" s="871"/>
      <c r="G562" s="871"/>
      <c r="H562" s="871"/>
      <c r="I562" s="871"/>
      <c r="J562" s="162"/>
      <c r="K562" s="162"/>
      <c r="L562" s="162"/>
      <c r="S562" s="879" t="b">
        <f>ROUND('T2 NSA'!C88,$D$562)=ROUND('T3 NSA'!E125+'T3 NSA'!E136+'T3 NSA'!E147+'T3 NSA'!E158,$D$562)</f>
        <v>1</v>
      </c>
      <c r="T562" s="879" t="b">
        <f>ROUND('T2 NSA'!D88,$D$562)=ROUND('T3 NSA'!F125+'T3 NSA'!F136+'T3 NSA'!F147+'T3 NSA'!F158,$D$562)</f>
        <v>1</v>
      </c>
      <c r="U562" s="879" t="b">
        <f>ROUND('T2 NSA'!E88,$D$562)=ROUND('T3 NSA'!G181+'T3 NSA'!G196+'T3 NSA'!G211,$D$562)</f>
        <v>1</v>
      </c>
      <c r="V562" s="879" t="b">
        <f>ROUND('T2 NSA'!F88,$D$562)=ROUND('T3 NSA'!H181+'T3 NSA'!H196+'T3 NSA'!H211,$D$562)</f>
        <v>1</v>
      </c>
      <c r="W562" s="879" t="b">
        <f>ROUND('T2 NSA'!G88,$D$562)=ROUND('T3 NSA'!I125+'T3 NSA'!I136+'T3 NSA'!I147+'T3 NSA'!I158,$D$562)</f>
        <v>1</v>
      </c>
    </row>
    <row r="563" spans="1:26" outlineLevel="1">
      <c r="A563" s="876"/>
      <c r="B563" s="876"/>
      <c r="C563" s="889" t="s">
        <v>208</v>
      </c>
      <c r="D563" s="890"/>
      <c r="E563" s="871"/>
      <c r="F563" s="871"/>
      <c r="G563" s="871"/>
      <c r="H563" s="871"/>
      <c r="I563" s="871"/>
      <c r="J563" s="162"/>
      <c r="K563" s="162"/>
      <c r="L563" s="162"/>
      <c r="S563" s="883">
        <f>ROUND('T2 NSA'!C88,$D$562)</f>
        <v>0</v>
      </c>
      <c r="T563" s="883">
        <f>ROUND('T2 NSA'!D88,$D$562)</f>
        <v>0</v>
      </c>
      <c r="U563" s="883">
        <f>ROUND('T2 NSA'!E88,$D$562)</f>
        <v>0</v>
      </c>
      <c r="V563" s="883">
        <f>ROUND('T2 NSA'!F88,$D$562)</f>
        <v>0</v>
      </c>
      <c r="W563" s="883">
        <f>ROUND('T2 NSA'!G88,$D$562)</f>
        <v>0</v>
      </c>
    </row>
    <row r="564" spans="1:26" outlineLevel="1">
      <c r="A564" s="876"/>
      <c r="B564" s="876"/>
      <c r="C564" s="889" t="s">
        <v>209</v>
      </c>
      <c r="D564" s="890"/>
      <c r="E564" s="871"/>
      <c r="F564" s="871"/>
      <c r="G564" s="871"/>
      <c r="H564" s="871"/>
      <c r="I564" s="871"/>
      <c r="J564" s="162"/>
      <c r="K564" s="162"/>
      <c r="L564" s="162"/>
      <c r="S564" s="883">
        <f>ROUND('T3 NSA'!E125+'T3 NSA'!E136+'T3 NSA'!E147+'T3 NSA'!E158,$D$562)</f>
        <v>0</v>
      </c>
      <c r="T564" s="883">
        <f>ROUND('T3 NSA'!F125+'T3 NSA'!F136+'T3 NSA'!F147+'T3 NSA'!F158,$D$562)</f>
        <v>0</v>
      </c>
      <c r="U564" s="883">
        <f>ROUND('T3 NSA'!G181+'T3 NSA'!G196+'T3 NSA'!G211,$D$562)</f>
        <v>0</v>
      </c>
      <c r="V564" s="883">
        <f>ROUND('T3 NSA'!H181+'T3 NSA'!H196+'T3 NSA'!H211,$D$562)</f>
        <v>0</v>
      </c>
      <c r="W564" s="883">
        <f>ROUND('T3 NSA'!I125+'T3 NSA'!I136+'T3 NSA'!I147+'T3 NSA'!I158,$D$562)</f>
        <v>0</v>
      </c>
    </row>
    <row r="565" spans="1:26">
      <c r="A565" s="876" t="s">
        <v>228</v>
      </c>
      <c r="B565" s="876" t="s">
        <v>229</v>
      </c>
      <c r="C565" s="888" t="s">
        <v>230</v>
      </c>
      <c r="D565" s="863">
        <v>3</v>
      </c>
      <c r="E565" s="871"/>
      <c r="F565" s="871"/>
      <c r="G565" s="871"/>
      <c r="H565" s="871"/>
      <c r="I565" s="871"/>
      <c r="J565" s="162"/>
      <c r="K565" s="162"/>
      <c r="L565" s="162"/>
      <c r="S565" s="879" t="b">
        <f>ROUND('T2 NSA'!C89,$D$565)=ROUND('T3 NSA'!E172,$D$565)</f>
        <v>1</v>
      </c>
      <c r="T565" s="879" t="b">
        <f>ROUND('T2 NSA'!D89,$D$565)=ROUND('T3 NSA'!F172,$D$565)</f>
        <v>1</v>
      </c>
      <c r="U565" s="879" t="b">
        <f>ROUND('T2 NSA'!E89,$D$565)=ROUND('T3 NSA'!G172,$D$565)</f>
        <v>1</v>
      </c>
      <c r="V565" s="879" t="b">
        <f>ROUND('T2 NSA'!F89,$D$565)=ROUND('T3 NSA'!H172,$D$565)</f>
        <v>1</v>
      </c>
      <c r="W565" s="879" t="b">
        <f>ROUND('T2 NSA'!G89,$D$565)=ROUND('T3 NSA'!I172,$D$565)</f>
        <v>1</v>
      </c>
    </row>
    <row r="566" spans="1:26" outlineLevel="1">
      <c r="A566" s="876"/>
      <c r="B566" s="876"/>
      <c r="C566" s="889" t="s">
        <v>208</v>
      </c>
      <c r="D566" s="890"/>
      <c r="E566" s="871"/>
      <c r="F566" s="871"/>
      <c r="G566" s="871"/>
      <c r="H566" s="871"/>
      <c r="I566" s="871"/>
      <c r="J566" s="162"/>
      <c r="K566" s="162"/>
      <c r="L566" s="162"/>
      <c r="S566" s="883">
        <f>ROUND('T2 NSA'!C89,$D$565)</f>
        <v>0</v>
      </c>
      <c r="T566" s="883">
        <f>ROUND('T2 NSA'!D89,$D$565)</f>
        <v>0</v>
      </c>
      <c r="U566" s="883">
        <f>ROUND('T2 NSA'!E89,$D$565)</f>
        <v>0</v>
      </c>
      <c r="V566" s="883">
        <f>ROUND('T2 NSA'!F89,$D$565)</f>
        <v>0</v>
      </c>
      <c r="W566" s="883">
        <f>ROUND('T2 NSA'!G89,$D$565)</f>
        <v>0</v>
      </c>
    </row>
    <row r="567" spans="1:26" outlineLevel="1">
      <c r="A567" s="876"/>
      <c r="B567" s="876"/>
      <c r="C567" s="889" t="s">
        <v>209</v>
      </c>
      <c r="D567" s="890"/>
      <c r="E567" s="871"/>
      <c r="F567" s="871"/>
      <c r="G567" s="871"/>
      <c r="H567" s="871"/>
      <c r="I567" s="871"/>
      <c r="J567" s="162"/>
      <c r="K567" s="162"/>
      <c r="L567" s="162"/>
      <c r="S567" s="883">
        <f>ROUND('T3 NSA'!E172,$D$565)</f>
        <v>0</v>
      </c>
      <c r="T567" s="883">
        <f>ROUND('T3 NSA'!F172,$D$565)</f>
        <v>0</v>
      </c>
      <c r="U567" s="883">
        <f>ROUND('T3 NSA'!G172,$D$565)</f>
        <v>0</v>
      </c>
      <c r="V567" s="883">
        <f>ROUND('T3 NSA'!H172,$D$565)</f>
        <v>0</v>
      </c>
      <c r="W567" s="883">
        <f>ROUND('T3 NSA'!I172,$D$565)</f>
        <v>0</v>
      </c>
    </row>
    <row r="568" spans="1:26">
      <c r="A568" s="876" t="s">
        <v>231</v>
      </c>
      <c r="B568" s="876" t="s">
        <v>232</v>
      </c>
      <c r="C568" s="888" t="s">
        <v>233</v>
      </c>
      <c r="D568" s="863">
        <v>3</v>
      </c>
      <c r="E568" s="871"/>
      <c r="F568" s="871"/>
      <c r="G568" s="871"/>
      <c r="H568" s="871"/>
      <c r="I568" s="871"/>
      <c r="J568" s="162"/>
      <c r="K568" s="162"/>
      <c r="L568" s="162"/>
      <c r="S568" s="879" t="b">
        <f>ROUND('T2 NSA'!C90,$D$568)=ROUND('T3 NSA'!E165,$D$568)</f>
        <v>1</v>
      </c>
      <c r="T568" s="879" t="b">
        <f>ROUND('T2 NSA'!D90,$D$568)=ROUND('T3 NSA'!F165,$D$568)</f>
        <v>1</v>
      </c>
      <c r="U568" s="879" t="b">
        <f>ROUND('T2 NSA'!E90,$D$568)=ROUND('T3 NSA'!G165,$D$568)</f>
        <v>1</v>
      </c>
      <c r="V568" s="879" t="b">
        <f>ROUND('T2 NSA'!F90,$D$568)=ROUND('T3 NSA'!H165,$D$568)</f>
        <v>1</v>
      </c>
      <c r="W568" s="879" t="b">
        <f>ROUND('T2 NSA'!G90,$D$568)=ROUND('T3 NSA'!I165,$D$568)</f>
        <v>1</v>
      </c>
    </row>
    <row r="569" spans="1:26" outlineLevel="1">
      <c r="A569" s="876"/>
      <c r="B569" s="876"/>
      <c r="C569" s="889" t="s">
        <v>208</v>
      </c>
      <c r="D569" s="890"/>
      <c r="E569" s="871"/>
      <c r="F569" s="871"/>
      <c r="G569" s="871"/>
      <c r="H569" s="871"/>
      <c r="I569" s="871"/>
      <c r="J569" s="162"/>
      <c r="K569" s="162"/>
      <c r="L569" s="162"/>
      <c r="S569" s="883">
        <f>ROUND('T2 NSA'!C90,$D$568)</f>
        <v>0</v>
      </c>
      <c r="T569" s="883">
        <f>ROUND('T2 NSA'!D90,$D$568)</f>
        <v>0</v>
      </c>
      <c r="U569" s="883">
        <f>ROUND('T2 NSA'!E90,$D$568)</f>
        <v>0</v>
      </c>
      <c r="V569" s="883">
        <f>ROUND('T2 NSA'!F90,$D$568)</f>
        <v>0</v>
      </c>
      <c r="W569" s="883">
        <f>ROUND('T2 NSA'!G90,$D$568)</f>
        <v>0</v>
      </c>
    </row>
    <row r="570" spans="1:26" outlineLevel="1">
      <c r="A570" s="876"/>
      <c r="B570" s="876"/>
      <c r="C570" s="889" t="s">
        <v>209</v>
      </c>
      <c r="D570" s="890"/>
      <c r="E570" s="871"/>
      <c r="F570" s="871"/>
      <c r="G570" s="871"/>
      <c r="H570" s="871"/>
      <c r="I570" s="871"/>
      <c r="J570" s="162"/>
      <c r="K570" s="162"/>
      <c r="L570" s="162"/>
      <c r="S570" s="883">
        <f>ROUND('T3 NSA'!E165,$D$568)</f>
        <v>0</v>
      </c>
      <c r="T570" s="883">
        <f>ROUND('T3 NSA'!F165,$D$568)</f>
        <v>0</v>
      </c>
      <c r="U570" s="883">
        <f>ROUND('T3 NSA'!G165,$D$568)</f>
        <v>0</v>
      </c>
      <c r="V570" s="883">
        <f>ROUND('T3 NSA'!H165,$D$568)</f>
        <v>0</v>
      </c>
      <c r="W570" s="883">
        <f>ROUND('T3 NSA'!I165,$D$568)</f>
        <v>0</v>
      </c>
    </row>
    <row r="571" spans="1:26" s="891" customFormat="1">
      <c r="A571" s="875" t="s">
        <v>234</v>
      </c>
      <c r="B571" s="876" t="s">
        <v>235</v>
      </c>
      <c r="C571" s="888" t="s">
        <v>236</v>
      </c>
      <c r="D571" s="863">
        <v>3</v>
      </c>
      <c r="E571" s="871"/>
      <c r="F571" s="871"/>
      <c r="G571" s="871"/>
      <c r="H571" s="871"/>
      <c r="I571" s="871"/>
      <c r="R571" s="162"/>
      <c r="S571" s="879" t="b">
        <f>ROUND(SUM('T2 NSA'!C82:C90),$D$571)=ROUND('T3 NSA'!E251,$D$571)</f>
        <v>1</v>
      </c>
      <c r="T571" s="879" t="b">
        <f>ROUND(SUM('T2 NSA'!D82:D90),$D$571)=ROUND('T3 NSA'!F251,$D$571)</f>
        <v>1</v>
      </c>
      <c r="U571" s="879" t="b">
        <f>ROUND(SUM('T2 NSA'!E82:E90),$D$571)=ROUND('T3 NSA'!G251,$D$571)</f>
        <v>1</v>
      </c>
      <c r="V571" s="879" t="b">
        <f>ROUND(SUM('T2 NSA'!F82:F90),$D$571)=ROUND('T3 NSA'!H251,$D$571)</f>
        <v>1</v>
      </c>
      <c r="W571" s="879" t="b">
        <f>ROUND(SUM('T2 NSA'!G82:G90),$D$571)=ROUND('T3 NSA'!I251,$D$571)</f>
        <v>1</v>
      </c>
      <c r="X571" s="871"/>
      <c r="Y571" s="871"/>
      <c r="Z571" s="871"/>
    </row>
    <row r="572" spans="1:26" outlineLevel="1">
      <c r="A572" s="876"/>
      <c r="B572" s="876"/>
      <c r="C572" s="889" t="s">
        <v>237</v>
      </c>
      <c r="D572" s="890"/>
      <c r="E572" s="871"/>
      <c r="F572" s="871"/>
      <c r="G572" s="871"/>
      <c r="H572" s="871"/>
      <c r="I572" s="871"/>
      <c r="J572" s="162"/>
      <c r="K572" s="162"/>
      <c r="L572" s="162"/>
      <c r="S572" s="883">
        <f>ROUND(SUM('T2 NSA'!C82:C90),$D$571)</f>
        <v>-9560.9230000000007</v>
      </c>
      <c r="T572" s="883">
        <f>ROUND(SUM('T2 NSA'!D82:D90),$D$571)</f>
        <v>-15902.191999999999</v>
      </c>
      <c r="U572" s="883">
        <f>ROUND(SUM('T2 NSA'!E82:E90),$D$571)</f>
        <v>28269.503000000001</v>
      </c>
      <c r="V572" s="883">
        <f>ROUND(SUM('T2 NSA'!F82:F90),$D$571)</f>
        <v>24596.771000000001</v>
      </c>
      <c r="W572" s="883">
        <f>ROUND(SUM('T2 NSA'!G82:G90),$D$571)</f>
        <v>20051.745999999999</v>
      </c>
      <c r="X572" s="871"/>
      <c r="Y572" s="871"/>
      <c r="Z572" s="871"/>
    </row>
    <row r="573" spans="1:26" outlineLevel="1">
      <c r="A573" s="876"/>
      <c r="B573" s="876"/>
      <c r="C573" s="889" t="s">
        <v>238</v>
      </c>
      <c r="D573" s="890"/>
      <c r="E573" s="871"/>
      <c r="F573" s="871"/>
      <c r="G573" s="871"/>
      <c r="H573" s="871"/>
      <c r="I573" s="871"/>
      <c r="J573" s="162"/>
      <c r="K573" s="162"/>
      <c r="L573" s="162"/>
      <c r="S573" s="883">
        <f>ROUND('T3 NSA'!E251,$D$571)</f>
        <v>-9560.9230000000007</v>
      </c>
      <c r="T573" s="883">
        <f>ROUND('T3 NSA'!F251,$D$571)</f>
        <v>-15902.191999999999</v>
      </c>
      <c r="U573" s="883">
        <f>ROUND('T3 NSA'!G251,$D$571)</f>
        <v>28269.503000000001</v>
      </c>
      <c r="V573" s="883">
        <f>ROUND('T3 NSA'!H251,$D$571)</f>
        <v>24596.771000000001</v>
      </c>
      <c r="W573" s="883">
        <f>ROUND('T3 NSA'!I251,$D$571)</f>
        <v>20051.745999999999</v>
      </c>
      <c r="X573" s="871"/>
      <c r="Y573" s="871"/>
      <c r="Z573" s="871"/>
    </row>
    <row r="574" spans="1:26" s="878" customFormat="1">
      <c r="A574" s="875" t="s">
        <v>239</v>
      </c>
      <c r="B574" s="876" t="s">
        <v>240</v>
      </c>
      <c r="C574" s="877" t="s">
        <v>241</v>
      </c>
      <c r="D574" s="863">
        <v>3</v>
      </c>
      <c r="E574" s="871"/>
      <c r="F574" s="871"/>
      <c r="G574" s="871"/>
      <c r="H574" s="871"/>
      <c r="I574" s="871"/>
      <c r="R574" s="162"/>
      <c r="S574" s="879" t="b">
        <f>ROUND('T2 NSA'!C91,$D$574)=ROUND(SUM('T2 NSA'!C81:C90),$D$574)</f>
        <v>1</v>
      </c>
      <c r="T574" s="879" t="b">
        <f>ROUND('T2 NSA'!D91,$D$574)=ROUND(SUM('T2 NSA'!D81:D90),$D$574)</f>
        <v>1</v>
      </c>
      <c r="U574" s="879" t="b">
        <f>ROUND('T2 NSA'!E91,$D$574)=ROUND(SUM('T2 NSA'!E81:E90),$D$574)</f>
        <v>1</v>
      </c>
      <c r="V574" s="879" t="b">
        <f>ROUND('T2 NSA'!F91,$D$574)=ROUND(SUM('T2 NSA'!F81:F90),$D$574)</f>
        <v>1</v>
      </c>
      <c r="W574" s="879" t="b">
        <f>ROUND('T2 NSA'!G91,$D$574)=ROUND(SUM('T2 NSA'!G81:G90),$D$574)</f>
        <v>1</v>
      </c>
    </row>
    <row r="575" spans="1:26" s="882" customFormat="1" outlineLevel="1">
      <c r="A575" s="875"/>
      <c r="B575" s="876"/>
      <c r="C575" s="880" t="s">
        <v>242</v>
      </c>
      <c r="D575" s="881"/>
      <c r="E575" s="871"/>
      <c r="F575" s="871"/>
      <c r="G575" s="871"/>
      <c r="H575" s="871"/>
      <c r="I575" s="871"/>
      <c r="R575" s="162"/>
      <c r="S575" s="883">
        <f>ROUND('T2 NSA'!C91,$D$574)</f>
        <v>59964.644</v>
      </c>
      <c r="T575" s="883">
        <f>ROUND('T2 NSA'!D91,$D$574)</f>
        <v>54660.086000000003</v>
      </c>
      <c r="U575" s="883">
        <f>ROUND('T2 NSA'!E91,$D$574)</f>
        <v>98833.868000000002</v>
      </c>
      <c r="V575" s="883">
        <f>ROUND('T2 NSA'!F91,$D$574)</f>
        <v>104190.308</v>
      </c>
      <c r="W575" s="883">
        <f>ROUND('T2 NSA'!G91,$D$574)</f>
        <v>100161.298</v>
      </c>
    </row>
    <row r="576" spans="1:26" s="882" customFormat="1" outlineLevel="1">
      <c r="A576" s="875"/>
      <c r="B576" s="876"/>
      <c r="C576" s="865" t="s">
        <v>243</v>
      </c>
      <c r="D576" s="881"/>
      <c r="E576" s="871"/>
      <c r="F576" s="871"/>
      <c r="G576" s="871"/>
      <c r="H576" s="871"/>
      <c r="I576" s="871"/>
      <c r="R576" s="162"/>
      <c r="S576" s="883">
        <f>ROUND(SUM('T2 NSA'!C81:C90),$D$574)</f>
        <v>59964.644</v>
      </c>
      <c r="T576" s="883">
        <f>ROUND(SUM('T2 NSA'!D81:D90),$D$574)</f>
        <v>54660.086000000003</v>
      </c>
      <c r="U576" s="883">
        <f>ROUND(SUM('T2 NSA'!E81:E90),$D$574)</f>
        <v>98833.868000000002</v>
      </c>
      <c r="V576" s="883">
        <f>ROUND(SUM('T2 NSA'!F81:F90),$D$574)</f>
        <v>104190.308</v>
      </c>
      <c r="W576" s="883">
        <f>ROUND(SUM('T2 NSA'!G81:G90),$D$574)</f>
        <v>100161.298</v>
      </c>
    </row>
    <row r="577" spans="1:26" s="878" customFormat="1">
      <c r="A577" s="875" t="s">
        <v>244</v>
      </c>
      <c r="B577" s="876" t="s">
        <v>245</v>
      </c>
      <c r="C577" s="877" t="s">
        <v>246</v>
      </c>
      <c r="D577" s="863">
        <v>3</v>
      </c>
      <c r="E577" s="871"/>
      <c r="F577" s="871"/>
      <c r="G577" s="871"/>
      <c r="H577" s="871"/>
      <c r="I577" s="871"/>
      <c r="R577" s="162"/>
      <c r="S577" s="879" t="b">
        <f>ROUND('T2 NSA'!C92,$D$577)=ROUND('T2 NSA'!C38,$D$577)</f>
        <v>1</v>
      </c>
      <c r="T577" s="879" t="b">
        <f>ROUND('T2 NSA'!D92,$D$577)=ROUND('T2 NSA'!D38,$D$577)</f>
        <v>1</v>
      </c>
      <c r="U577" s="879" t="b">
        <f>ROUND('T2 NSA'!E92,$D$577)=ROUND('T2 NSA'!E38,$D$577)</f>
        <v>1</v>
      </c>
      <c r="V577" s="879" t="b">
        <f>ROUND('T2 NSA'!F92,$D$577)=ROUND('T2 NSA'!F38,$D$577)</f>
        <v>1</v>
      </c>
      <c r="W577" s="879" t="b">
        <f>ROUND('T2 NSA'!G92,$D$577)=ROUND('T2 NSA'!G38,$D$577)</f>
        <v>1</v>
      </c>
    </row>
    <row r="578" spans="1:26" s="882" customFormat="1" outlineLevel="1">
      <c r="A578" s="875"/>
      <c r="B578" s="876"/>
      <c r="C578" s="880" t="s">
        <v>247</v>
      </c>
      <c r="D578" s="881"/>
      <c r="E578" s="871"/>
      <c r="F578" s="871"/>
      <c r="G578" s="871"/>
      <c r="H578" s="871"/>
      <c r="I578" s="871"/>
      <c r="R578" s="162"/>
      <c r="S578" s="883">
        <f>ROUND('T2 NSA'!C92,$D$577)</f>
        <v>12647.945</v>
      </c>
      <c r="T578" s="883">
        <f>ROUND('T2 NSA'!D92,$D$577)</f>
        <v>12891</v>
      </c>
      <c r="U578" s="883">
        <f>ROUND('T2 NSA'!E92,$D$577)</f>
        <v>13183</v>
      </c>
      <c r="V578" s="883">
        <f>ROUND('T2 NSA'!F92,$D$577)</f>
        <v>11956</v>
      </c>
      <c r="W578" s="883">
        <f>ROUND('T2 NSA'!G92,$D$577)</f>
        <v>12930</v>
      </c>
    </row>
    <row r="579" spans="1:26" s="882" customFormat="1" outlineLevel="1">
      <c r="A579" s="875"/>
      <c r="B579" s="876"/>
      <c r="C579" s="880" t="s">
        <v>248</v>
      </c>
      <c r="D579" s="881"/>
      <c r="E579" s="871"/>
      <c r="F579" s="871"/>
      <c r="G579" s="871"/>
      <c r="H579" s="871"/>
      <c r="I579" s="871"/>
      <c r="R579" s="162"/>
      <c r="S579" s="883">
        <f>ROUND('T2 NSA'!C38,$D$577)</f>
        <v>12647.945</v>
      </c>
      <c r="T579" s="883">
        <f>ROUND('T2 NSA'!D38,$D$577)</f>
        <v>12891</v>
      </c>
      <c r="U579" s="883">
        <f>ROUND('T2 NSA'!E38,$D$577)</f>
        <v>13183</v>
      </c>
      <c r="V579" s="883">
        <f>ROUND('T2 NSA'!F38,$D$577)</f>
        <v>11956</v>
      </c>
      <c r="W579" s="883">
        <f>ROUND('T2 NSA'!G38,$D$577)</f>
        <v>12930</v>
      </c>
    </row>
    <row r="580" spans="1:26" s="878" customFormat="1">
      <c r="A580" s="875" t="s">
        <v>249</v>
      </c>
      <c r="B580" s="876" t="s">
        <v>250</v>
      </c>
      <c r="C580" s="877" t="s">
        <v>251</v>
      </c>
      <c r="D580" s="863">
        <v>2</v>
      </c>
      <c r="E580" s="871"/>
      <c r="F580" s="871"/>
      <c r="G580" s="871"/>
      <c r="H580" s="871"/>
      <c r="I580" s="871"/>
      <c r="R580" s="162"/>
      <c r="S580" s="892" t="b">
        <f>ROUND('T2 NSA'!C93,$D$580)=ROUND('T2 NSA'!C91/'T2 NSA'!C92,$D$580)</f>
        <v>1</v>
      </c>
      <c r="T580" s="892" t="b">
        <f>ROUND('T2 NSA'!D93,$D$580)=ROUND('T2 NSA'!D91/'T2 NSA'!D92,$D$580)</f>
        <v>1</v>
      </c>
      <c r="U580" s="892" t="b">
        <f>ROUND('T2 NSA'!E93,$D$580)=ROUND('T2 NSA'!E91/'T2 NSA'!E92,$D$580)</f>
        <v>1</v>
      </c>
      <c r="V580" s="892" t="b">
        <f>ROUND('T2 NSA'!F93,$D$580)=ROUND('T2 NSA'!F91/'T2 NSA'!F92,$D$580)</f>
        <v>1</v>
      </c>
      <c r="W580" s="892" t="b">
        <f>ROUND('T2 NSA'!G93,$D$580)=ROUND('T2 NSA'!G91/'T2 NSA'!G92,$D$580)</f>
        <v>1</v>
      </c>
    </row>
    <row r="581" spans="1:26" s="882" customFormat="1" outlineLevel="1">
      <c r="A581" s="875"/>
      <c r="B581" s="876"/>
      <c r="C581" s="880" t="s">
        <v>252</v>
      </c>
      <c r="D581" s="881"/>
      <c r="E581" s="871"/>
      <c r="F581" s="871"/>
      <c r="G581" s="871"/>
      <c r="H581" s="871"/>
      <c r="I581" s="871"/>
      <c r="R581" s="162"/>
      <c r="S581" s="884">
        <f>ROUND('T2 NSA'!C93,$D$580)</f>
        <v>4.74</v>
      </c>
      <c r="T581" s="884">
        <f>ROUND('T2 NSA'!D93,$D$580)</f>
        <v>4.24</v>
      </c>
      <c r="U581" s="884">
        <f>ROUND('T2 NSA'!E93,$D$580)</f>
        <v>7.5</v>
      </c>
      <c r="V581" s="884">
        <f>ROUND('T2 NSA'!F93,$D$580)</f>
        <v>8.7100000000000009</v>
      </c>
      <c r="W581" s="884">
        <f>ROUND('T2 NSA'!G93,$D$580)</f>
        <v>7.75</v>
      </c>
    </row>
    <row r="582" spans="1:26" s="882" customFormat="1" outlineLevel="1">
      <c r="A582" s="875"/>
      <c r="B582" s="876"/>
      <c r="C582" s="865" t="s">
        <v>253</v>
      </c>
      <c r="D582" s="881"/>
      <c r="E582" s="871"/>
      <c r="F582" s="871"/>
      <c r="G582" s="871"/>
      <c r="H582" s="871"/>
      <c r="I582" s="871"/>
      <c r="R582" s="162"/>
      <c r="S582" s="884">
        <f>ROUND('T2 NSA'!C91/'T2 NSA'!C92,$D$580)</f>
        <v>4.74</v>
      </c>
      <c r="T582" s="884">
        <f>ROUND('T2 NSA'!D91/'T2 NSA'!D92,$D$580)</f>
        <v>4.24</v>
      </c>
      <c r="U582" s="884">
        <f>ROUND('T2 NSA'!E91/'T2 NSA'!E92,$D$580)</f>
        <v>7.5</v>
      </c>
      <c r="V582" s="884">
        <f>ROUND('T2 NSA'!F91/'T2 NSA'!F92,$D$580)</f>
        <v>8.7100000000000009</v>
      </c>
      <c r="W582" s="884">
        <f>ROUND('T2 NSA'!G91/'T2 NSA'!G92,$D$580)</f>
        <v>7.75</v>
      </c>
    </row>
    <row r="583" spans="1:26" s="878" customFormat="1">
      <c r="A583" s="875" t="s">
        <v>254</v>
      </c>
      <c r="B583" s="876" t="s">
        <v>255</v>
      </c>
      <c r="C583" s="877" t="s">
        <v>256</v>
      </c>
      <c r="D583" s="863">
        <v>2</v>
      </c>
      <c r="E583" s="871"/>
      <c r="F583" s="871"/>
      <c r="G583" s="871"/>
      <c r="H583" s="871"/>
      <c r="I583" s="871"/>
      <c r="R583" s="162"/>
      <c r="S583" s="892" t="b">
        <f>ROUND('T2 NSA'!C96,$D$583)=ROUND('T2 NSA'!C93-'T2 NSA'!C94,$D$583)</f>
        <v>1</v>
      </c>
      <c r="T583" s="892" t="b">
        <f>ROUND('T2 NSA'!D96,$D$583)=ROUND('T2 NSA'!D93-'T2 NSA'!D94,$D$583)</f>
        <v>1</v>
      </c>
      <c r="U583" s="892" t="b">
        <f>ROUND('T2 NSA'!E96,$D$583)=ROUND('T2 NSA'!E93-'T2 NSA'!E94,$D$583)</f>
        <v>1</v>
      </c>
      <c r="V583" s="892" t="b">
        <f>ROUND('T2 NSA'!F96,$D$583)=ROUND('T2 NSA'!F93-'T2 NSA'!F94,$D$583)</f>
        <v>1</v>
      </c>
      <c r="W583" s="892" t="b">
        <f>ROUND('T2 NSA'!G96,$D$583)=ROUND('T2 NSA'!G93-'T2 NSA'!G94,$D$583)</f>
        <v>1</v>
      </c>
    </row>
    <row r="584" spans="1:26" s="882" customFormat="1" outlineLevel="1">
      <c r="A584" s="875"/>
      <c r="B584" s="876"/>
      <c r="C584" s="880" t="s">
        <v>257</v>
      </c>
      <c r="D584" s="881"/>
      <c r="E584" s="871"/>
      <c r="F584" s="871"/>
      <c r="G584" s="871"/>
      <c r="H584" s="871"/>
      <c r="I584" s="871"/>
      <c r="R584" s="162"/>
      <c r="S584" s="884">
        <f>ROUND('T2 NSA'!C96,$D$583)</f>
        <v>4.74</v>
      </c>
      <c r="T584" s="884">
        <f>ROUND('T2 NSA'!D96,$D$583)</f>
        <v>4.24</v>
      </c>
      <c r="U584" s="884">
        <f>ROUND('T2 NSA'!E96,$D$583)</f>
        <v>7.5</v>
      </c>
      <c r="V584" s="884">
        <f>ROUND('T2 NSA'!F96,$D$583)</f>
        <v>8.7100000000000009</v>
      </c>
      <c r="W584" s="884">
        <f>ROUND('T2 NSA'!G96,$D$583)</f>
        <v>7.75</v>
      </c>
    </row>
    <row r="585" spans="1:26" s="882" customFormat="1" outlineLevel="1">
      <c r="A585" s="875"/>
      <c r="B585" s="876"/>
      <c r="C585" s="880" t="s">
        <v>258</v>
      </c>
      <c r="D585" s="881"/>
      <c r="E585" s="871"/>
      <c r="F585" s="871"/>
      <c r="G585" s="871"/>
      <c r="H585" s="871"/>
      <c r="I585" s="871"/>
      <c r="R585" s="162"/>
      <c r="S585" s="884">
        <f>ROUND('T2 NSA'!C93-'T2 NSA'!C94,$D$583)</f>
        <v>4.74</v>
      </c>
      <c r="T585" s="884">
        <f>ROUND('T2 NSA'!D93-'T2 NSA'!D94,$D$583)</f>
        <v>4.24</v>
      </c>
      <c r="U585" s="884">
        <f>ROUND('T2 NSA'!E93-'T2 NSA'!E94,$D$583)</f>
        <v>7.5</v>
      </c>
      <c r="V585" s="884">
        <f>ROUND('T2 NSA'!F93-'T2 NSA'!F94,$D$583)</f>
        <v>8.7100000000000009</v>
      </c>
      <c r="W585" s="884">
        <f>ROUND('T2 NSA'!G93-'T2 NSA'!G94,$D$583)</f>
        <v>7.75</v>
      </c>
    </row>
    <row r="586" spans="1:26" s="183" customFormat="1" ht="18">
      <c r="A586" s="172" t="s">
        <v>13</v>
      </c>
      <c r="B586" s="173" t="s">
        <v>14</v>
      </c>
      <c r="C586" s="174" t="s">
        <v>276</v>
      </c>
      <c r="D586" s="894"/>
      <c r="E586" s="873"/>
      <c r="F586" s="873"/>
      <c r="G586" s="873"/>
      <c r="H586" s="873"/>
      <c r="I586" s="873"/>
      <c r="J586" s="873"/>
      <c r="K586" s="873"/>
      <c r="L586" s="873"/>
      <c r="M586" s="873"/>
      <c r="N586" s="873"/>
      <c r="O586" s="873"/>
      <c r="P586" s="873"/>
      <c r="Q586" s="873"/>
      <c r="R586" s="162"/>
      <c r="S586" s="873"/>
      <c r="T586" s="873"/>
      <c r="U586" s="873"/>
      <c r="V586" s="873"/>
      <c r="W586" s="873"/>
      <c r="X586" s="871"/>
      <c r="Y586" s="871"/>
      <c r="Z586" s="871"/>
    </row>
    <row r="587" spans="1:26" s="891" customFormat="1">
      <c r="A587" s="875" t="s">
        <v>234</v>
      </c>
      <c r="B587" s="876" t="s">
        <v>277</v>
      </c>
      <c r="C587" s="888" t="s">
        <v>278</v>
      </c>
      <c r="D587" s="863">
        <v>3</v>
      </c>
      <c r="E587" s="871"/>
      <c r="F587" s="871"/>
      <c r="G587" s="871"/>
      <c r="H587" s="871"/>
      <c r="I587" s="871"/>
      <c r="R587" s="162"/>
      <c r="S587" s="879" t="b">
        <f>ROUND('T2'!C78,$D$587)=ROUND(SUM('T3'!D12,'T3'!D23,'T3'!D30,'T3'!D37,'T3'!D44,'T3'!D51,'T3'!D58,'T3'!D65,'T3'!D81,'T3'!D92,'T3'!D103,'T3'!D109,'T3'!D120,'T3'!D131,'T3'!D142,'T3'!D153,'T3'!D160,'T3'!D167),$D$587)</f>
        <v>0</v>
      </c>
      <c r="T587" s="879" t="b">
        <f>ROUND('T2'!D78,$D$587)=ROUND(SUM('T3'!D13,'T3'!D24,'T3'!D31,'T3'!D38,'T3'!D45,'T3'!D52,'T3'!D59,'T3'!D66,'T3'!D82,'T3'!D93,'T3'!D104,'T3'!D110,'T3'!D121,'T3'!D132,'T3'!D143,'T3'!D154,'T3'!D161,'T3'!D168),$D$587)</f>
        <v>0</v>
      </c>
      <c r="U587" s="879" t="b">
        <f>ROUND('T2'!E78,$D$587)=ROUND(SUM('T3'!D14,'T3'!D25,'T3'!D32,'T3'!D39,'T3'!D46,'T3'!D53,'T3'!D60,'T3'!D67,'T3'!D83,'T3'!D94,'T3'!D105,'T3'!D111,'T3'!D122,'T3'!D133,'T3'!D144,'T3'!D155,'T3'!D162,'T3'!D169),$D$587)</f>
        <v>0</v>
      </c>
      <c r="V587" s="879" t="b">
        <f>ROUND('T2'!F78,$D$587)=ROUND(SUM('T3'!D15,'T3'!D26,'T3'!D33,'T3'!D40,'T3'!D47,'T3'!D54,'T3'!D61,'T3'!D68,'T3'!D84,'T3'!D95,'T3'!D106,'T3'!D112,'T3'!D123,'T3'!D134,'T3'!D145,'T3'!D156,'T3'!D163,'T3'!D170),$D$587)</f>
        <v>0</v>
      </c>
      <c r="W587" s="879" t="b">
        <f>ROUND('T2'!G78,$D$587)=ROUND(SUM('T3'!D16,'T3'!D27,'T3'!D34,'T3'!D41,'T3'!D48,'T3'!D55,'T3'!D62,'T3'!D69,'T3'!D85,'T3'!D96,'T3'!D107,'T3'!D113,'T3'!D124,'T3'!D135,'T3'!D146,'T3'!D157,'T3'!D164,'T3'!D171),$D$587)</f>
        <v>0</v>
      </c>
      <c r="X587" s="871"/>
      <c r="Y587" s="871"/>
      <c r="Z587" s="871"/>
    </row>
    <row r="588" spans="1:26" outlineLevel="1">
      <c r="A588" s="876"/>
      <c r="B588" s="876"/>
      <c r="C588" s="889" t="s">
        <v>279</v>
      </c>
      <c r="D588" s="890"/>
      <c r="E588" s="871"/>
      <c r="F588" s="871"/>
      <c r="G588" s="871"/>
      <c r="H588" s="871"/>
      <c r="I588" s="871"/>
      <c r="J588" s="162"/>
      <c r="K588" s="162"/>
      <c r="L588" s="162"/>
      <c r="S588" s="188">
        <f>ROUND('T2'!C78,$D$587)</f>
        <v>418727.20699999999</v>
      </c>
      <c r="T588" s="188">
        <f>ROUND('T2'!D78,$D$587)</f>
        <v>382138.71</v>
      </c>
      <c r="U588" s="188">
        <f>ROUND('T2'!E78,$D$587)</f>
        <v>134674.467</v>
      </c>
      <c r="V588" s="188">
        <f>ROUND('T2'!F78,$D$587)</f>
        <v>-5462.5370000000003</v>
      </c>
      <c r="W588" s="188">
        <f>ROUND('T2'!G78,$D$587)</f>
        <v>0</v>
      </c>
      <c r="X588" s="871"/>
      <c r="Y588" s="871"/>
      <c r="Z588" s="871"/>
    </row>
    <row r="589" spans="1:26" outlineLevel="1">
      <c r="A589" s="876"/>
      <c r="B589" s="876"/>
      <c r="C589" s="889" t="s">
        <v>280</v>
      </c>
      <c r="D589" s="890"/>
      <c r="E589" s="871"/>
      <c r="F589" s="871"/>
      <c r="G589" s="871"/>
      <c r="H589" s="871"/>
      <c r="I589" s="871"/>
      <c r="J589" s="162"/>
      <c r="K589" s="162"/>
      <c r="L589" s="162"/>
      <c r="S589" s="188">
        <f>ROUND(SUM('T3'!D12,'T3'!D23,'T3'!D30,'T3'!D37,'T3'!D44,'T3'!D51,'T3'!D58,'T3'!D65,'T3'!D81,'T3'!D92,'T3'!D103,'T3'!D109,'T3'!D120,'T3'!D131,'T3'!D142,'T3'!D153,'T3'!D160,'T3'!D167),$D$587)</f>
        <v>116299.677</v>
      </c>
      <c r="T589" s="188">
        <f>ROUND(SUM('T3'!D13,'T3'!D24,'T3'!D31,'T3'!D38,'T3'!D45,'T3'!D52,'T3'!D59,'T3'!D66,'T3'!D82,'T3'!D93,'T3'!D104,'T3'!D110,'T3'!D121,'T3'!D132,'T3'!D143,'T3'!D154,'T3'!D161,'T3'!D168),$D$587)</f>
        <v>-49774.83</v>
      </c>
      <c r="U589" s="188">
        <f>ROUND(SUM('T3'!D14,'T3'!D25,'T3'!D32,'T3'!D39,'T3'!D46,'T3'!D53,'T3'!D60,'T3'!D67,'T3'!D83,'T3'!D94,'T3'!D105,'T3'!D111,'T3'!D122,'T3'!D133,'T3'!D144,'T3'!D155,'T3'!D162,'T3'!D169),$D$587)</f>
        <v>58482.908000000003</v>
      </c>
      <c r="V589" s="188">
        <f>ROUND(SUM('T3'!D15,'T3'!D26,'T3'!D33,'T3'!D40,'T3'!D47,'T3'!D54,'T3'!D61,'T3'!D68,'T3'!D84,'T3'!D95,'T3'!D106,'T3'!D112,'T3'!D123,'T3'!D134,'T3'!D145,'T3'!D156,'T3'!D163,'T3'!D170),$D$587)</f>
        <v>-174351.772</v>
      </c>
      <c r="W589" s="188">
        <f>ROUND(SUM('T3'!D16,'T3'!D27,'T3'!D34,'T3'!D41,'T3'!D48,'T3'!D55,'T3'!D62,'T3'!D69,'T3'!D85,'T3'!D96,'T3'!D107,'T3'!D113,'T3'!D124,'T3'!D135,'T3'!D146,'T3'!D157,'T3'!D164,'T3'!D171),$D$587)</f>
        <v>128615.571</v>
      </c>
      <c r="X589" s="871"/>
      <c r="Y589" s="871"/>
      <c r="Z589" s="871"/>
    </row>
    <row r="590" spans="1:26">
      <c r="A590" s="876" t="s">
        <v>205</v>
      </c>
      <c r="B590" s="876" t="s">
        <v>281</v>
      </c>
      <c r="C590" s="888" t="s">
        <v>282</v>
      </c>
      <c r="D590" s="863">
        <v>3</v>
      </c>
      <c r="E590" s="871"/>
      <c r="F590" s="871"/>
      <c r="G590" s="871"/>
      <c r="H590" s="871"/>
      <c r="I590" s="871"/>
      <c r="J590" s="162"/>
      <c r="K590" s="162"/>
      <c r="L590" s="162"/>
      <c r="S590" s="879" t="b">
        <f>ROUND('T2'!C19,$D$590)=ROUND('T3'!D12,$D$590)</f>
        <v>1</v>
      </c>
      <c r="T590" s="879" t="b">
        <f>ROUND('T2'!D19,$D$590)=ROUND('T3'!E12,$D$590)</f>
        <v>0</v>
      </c>
      <c r="U590" s="879" t="b">
        <f>ROUND('T2'!E19,$D$590)=ROUND('T3'!F12,$D$590)</f>
        <v>0</v>
      </c>
      <c r="V590" s="879" t="b">
        <f>ROUND('T2'!F19,$D$590)=ROUND('T3'!G12,$D$590)</f>
        <v>0</v>
      </c>
      <c r="W590" s="879" t="b">
        <f>ROUND('T2'!G19,$D$590)=ROUND('T3'!H12,$D$590)</f>
        <v>1</v>
      </c>
    </row>
    <row r="591" spans="1:26" outlineLevel="1">
      <c r="A591" s="876"/>
      <c r="B591" s="876"/>
      <c r="C591" s="889" t="s">
        <v>283</v>
      </c>
      <c r="D591" s="890"/>
      <c r="E591" s="871"/>
      <c r="F591" s="871"/>
      <c r="G591" s="871"/>
      <c r="H591" s="871"/>
      <c r="I591" s="871"/>
      <c r="J591" s="162"/>
      <c r="K591" s="162"/>
      <c r="L591" s="162"/>
      <c r="S591" s="188">
        <f>ROUND('T2'!C19,$D$590)</f>
        <v>-7849.02</v>
      </c>
      <c r="T591" s="188">
        <f>ROUND('T2'!D19,$D$590)</f>
        <v>-3571.355</v>
      </c>
      <c r="U591" s="188">
        <f>ROUND('T2'!E19,$D$590)</f>
        <v>46237.285000000003</v>
      </c>
      <c r="V591" s="188">
        <f>ROUND('T2'!F19,$D$590)</f>
        <v>0</v>
      </c>
      <c r="W591" s="188">
        <f>ROUND('T2'!G19,$D$590)</f>
        <v>0</v>
      </c>
    </row>
    <row r="592" spans="1:26" outlineLevel="1">
      <c r="A592" s="876"/>
      <c r="B592" s="876"/>
      <c r="C592" s="889" t="s">
        <v>284</v>
      </c>
      <c r="D592" s="890"/>
      <c r="E592" s="871"/>
      <c r="F592" s="871"/>
      <c r="G592" s="871"/>
      <c r="H592" s="871"/>
      <c r="I592" s="871"/>
      <c r="J592" s="162"/>
      <c r="K592" s="162"/>
      <c r="L592" s="162"/>
      <c r="S592" s="188">
        <f>ROUND('T3'!D12,$D$590)</f>
        <v>-7849.02</v>
      </c>
      <c r="T592" s="188">
        <f>ROUND('T3'!D13,$D$590)</f>
        <v>-4122.9369999999999</v>
      </c>
      <c r="U592" s="188">
        <f>ROUND('T3'!D14,$D$590)</f>
        <v>46237.285000000003</v>
      </c>
      <c r="V592" s="188">
        <f>ROUND('T3'!D15,$D$590)</f>
        <v>34265.328999999998</v>
      </c>
      <c r="W592" s="188">
        <f>ROUND('T3'!D16,$D$590)</f>
        <v>0</v>
      </c>
    </row>
    <row r="593" spans="1:23">
      <c r="A593" s="876" t="s">
        <v>213</v>
      </c>
      <c r="B593" s="876" t="s">
        <v>285</v>
      </c>
      <c r="C593" s="888" t="s">
        <v>286</v>
      </c>
      <c r="D593" s="863">
        <v>3</v>
      </c>
      <c r="E593" s="871"/>
      <c r="F593" s="871"/>
      <c r="G593" s="871"/>
      <c r="H593" s="871"/>
      <c r="I593" s="871"/>
      <c r="J593" s="162"/>
      <c r="K593" s="162"/>
      <c r="L593" s="162"/>
      <c r="S593" s="879" t="b">
        <f>ROUND('T2'!C28,$D$593)=ROUND('T3'!D30+'T3'!D37+'T3'!D44+'T3'!D51+'T3'!D58+'T3'!D65,$D$593)</f>
        <v>0</v>
      </c>
      <c r="T593" s="879" t="b">
        <f>ROUND('T2'!D28,$D$593)=ROUND('T3'!D31+'T3'!D38+'T3'!D45+'T3'!D52+'T3'!D59+'T3'!D66,$D$593)</f>
        <v>0</v>
      </c>
      <c r="U593" s="879" t="b">
        <f>ROUND('T2'!E28,$D$593)=ROUND('T3'!D32+'T3'!D39+'T3'!D46+'T3'!D53+'T3'!D60+'T3'!D67,$D$593)</f>
        <v>0</v>
      </c>
      <c r="V593" s="879" t="b">
        <f>ROUND('T2'!F28,$D$593)=ROUND('T3'!D33+'T3'!D40+'T3'!D47+'T3'!D54+'T3'!D61+'T3'!D68,$D$593)</f>
        <v>0</v>
      </c>
      <c r="W593" s="879" t="b">
        <f>ROUND('T2'!G28,$D$593)=ROUND('T3'!D34+'T3'!D41+'T3'!D48+'T3'!D55+'T3'!D62+'T3'!D69,$D$593)</f>
        <v>0</v>
      </c>
    </row>
    <row r="594" spans="1:23" outlineLevel="1">
      <c r="A594" s="876"/>
      <c r="B594" s="876"/>
      <c r="C594" s="889" t="s">
        <v>283</v>
      </c>
      <c r="D594" s="890"/>
      <c r="E594" s="871"/>
      <c r="F594" s="871"/>
      <c r="G594" s="871"/>
      <c r="H594" s="871"/>
      <c r="I594" s="871"/>
      <c r="J594" s="162"/>
      <c r="K594" s="162"/>
      <c r="L594" s="162"/>
      <c r="S594" s="188">
        <f>ROUND('T2'!C28,$D$593)</f>
        <v>-7519.6360000000004</v>
      </c>
      <c r="T594" s="188">
        <f>ROUND('T2'!D28,$D$593)</f>
        <v>-6608.9989999999998</v>
      </c>
      <c r="U594" s="188">
        <f>ROUND('T2'!E28,$D$593)</f>
        <v>2051.739</v>
      </c>
      <c r="V594" s="188">
        <f>ROUND('T2'!F28,$D$593)</f>
        <v>0</v>
      </c>
      <c r="W594" s="188">
        <f>ROUND('T2'!G28,$D$593)</f>
        <v>0</v>
      </c>
    </row>
    <row r="595" spans="1:23" outlineLevel="1">
      <c r="A595" s="876"/>
      <c r="B595" s="876"/>
      <c r="C595" s="889" t="s">
        <v>284</v>
      </c>
      <c r="D595" s="890"/>
      <c r="E595" s="871"/>
      <c r="F595" s="871"/>
      <c r="G595" s="871"/>
      <c r="H595" s="871"/>
      <c r="I595" s="871"/>
      <c r="J595" s="162"/>
      <c r="K595" s="162"/>
      <c r="L595" s="162"/>
      <c r="S595" s="188">
        <f>ROUND('T3'!D30+'T3'!D37+'T3'!D44+'T3'!D51+'T3'!D58+'T3'!D65,$D$593)</f>
        <v>-3882.4690000000001</v>
      </c>
      <c r="T595" s="188">
        <f>ROUND('T3'!D31+'T3'!D38+'T3'!D45+'T3'!D52+'T3'!D59+'T3'!D66,$D$593)</f>
        <v>-3796.7629999999999</v>
      </c>
      <c r="U595" s="188">
        <f>ROUND('T3'!D32+'T3'!D39+'T3'!D46+'T3'!D53+'T3'!D60+'T3'!D67,$D$593)</f>
        <v>-3808.3130000000001</v>
      </c>
      <c r="V595" s="188">
        <f>ROUND('T3'!D33+'T3'!D40+'T3'!D47+'T3'!D54+'T3'!D61+'T3'!D68,$D$593)</f>
        <v>-6609.2650000000003</v>
      </c>
      <c r="W595" s="188">
        <f>ROUND('T3'!D34+'T3'!D41+'T3'!D48+'T3'!D55+'T3'!D62+'T3'!D69,$D$593)</f>
        <v>-6142.6880000000001</v>
      </c>
    </row>
    <row r="596" spans="1:23">
      <c r="A596" s="876" t="s">
        <v>210</v>
      </c>
      <c r="B596" s="876" t="s">
        <v>287</v>
      </c>
      <c r="C596" s="888" t="s">
        <v>288</v>
      </c>
      <c r="D596" s="863">
        <v>3</v>
      </c>
      <c r="E596" s="871"/>
      <c r="F596" s="871"/>
      <c r="G596" s="871"/>
      <c r="H596" s="871"/>
      <c r="I596" s="871"/>
      <c r="J596" s="162"/>
      <c r="K596" s="162"/>
      <c r="L596" s="162"/>
      <c r="S596" s="879" t="b">
        <f>ROUND('T2'!C41,$D$596)=ROUND('T3'!D23,$D$596)</f>
        <v>0</v>
      </c>
      <c r="T596" s="879" t="b">
        <f>ROUND('T2'!D41,$D$596)=ROUND('T3'!D24,$D$596)</f>
        <v>0</v>
      </c>
      <c r="U596" s="879" t="b">
        <f>ROUND('T2'!E41,$D$596)=ROUND('T3'!D25,$D$596)</f>
        <v>0</v>
      </c>
      <c r="V596" s="879" t="b">
        <f>ROUND('T2'!F41,$D$596)=ROUND('T3'!D26,$D$596)</f>
        <v>0</v>
      </c>
      <c r="W596" s="879" t="b">
        <f>ROUND('T2'!G41,$D$596)=ROUND('T3'!E26,$D$596)</f>
        <v>0</v>
      </c>
    </row>
    <row r="597" spans="1:23" outlineLevel="1">
      <c r="A597" s="876"/>
      <c r="B597" s="876"/>
      <c r="C597" s="889" t="s">
        <v>283</v>
      </c>
      <c r="D597" s="890"/>
      <c r="E597" s="871"/>
      <c r="F597" s="871"/>
      <c r="G597" s="871"/>
      <c r="H597" s="871"/>
      <c r="I597" s="871"/>
      <c r="J597" s="162"/>
      <c r="K597" s="162"/>
      <c r="L597" s="162"/>
      <c r="S597" s="188">
        <f>ROUND('T2'!C41,$D$596)</f>
        <v>381433.10399999999</v>
      </c>
      <c r="T597" s="188">
        <f>ROUND('T2'!D41,$D$596)</f>
        <v>355277.33399999997</v>
      </c>
      <c r="U597" s="188">
        <f>ROUND('T2'!E41,$D$596)</f>
        <v>95131.356</v>
      </c>
      <c r="V597" s="188">
        <f>ROUND('T2'!F41,$D$596)</f>
        <v>0</v>
      </c>
      <c r="W597" s="188">
        <f>ROUND('T2'!G41,$D$596)</f>
        <v>0</v>
      </c>
    </row>
    <row r="598" spans="1:23" outlineLevel="1">
      <c r="A598" s="876"/>
      <c r="B598" s="876"/>
      <c r="C598" s="889" t="s">
        <v>284</v>
      </c>
      <c r="D598" s="890"/>
      <c r="E598" s="871"/>
      <c r="F598" s="871"/>
      <c r="G598" s="871"/>
      <c r="H598" s="871"/>
      <c r="I598" s="871"/>
      <c r="J598" s="162"/>
      <c r="K598" s="162"/>
      <c r="L598" s="162"/>
      <c r="S598" s="188">
        <f>ROUND('T3'!D23,$D$596)</f>
        <v>0</v>
      </c>
      <c r="T598" s="188">
        <f>ROUND('T3'!D24,$D$596)</f>
        <v>-52765.667000000001</v>
      </c>
      <c r="U598" s="188">
        <f>ROUND('T3'!D25,$D$596)</f>
        <v>-62057.379000000001</v>
      </c>
      <c r="V598" s="188">
        <f>ROUND('T3'!D26,$D$596)</f>
        <v>-114823.04700000001</v>
      </c>
      <c r="W598" s="188">
        <f>ROUND('T3'!D27,$D$596)</f>
        <v>0</v>
      </c>
    </row>
    <row r="599" spans="1:23">
      <c r="A599" s="876" t="s">
        <v>222</v>
      </c>
      <c r="B599" s="876" t="s">
        <v>289</v>
      </c>
      <c r="C599" s="888" t="s">
        <v>290</v>
      </c>
      <c r="D599" s="863">
        <v>3</v>
      </c>
      <c r="E599" s="871"/>
      <c r="F599" s="871"/>
      <c r="G599" s="871"/>
      <c r="H599" s="871"/>
      <c r="I599" s="871"/>
      <c r="J599" s="162"/>
      <c r="K599" s="162"/>
      <c r="L599" s="162"/>
      <c r="S599" s="879" t="b">
        <f>ROUND('T2'!C46,$D$599)=ROUND('T3'!D103+'T3'!D109,$D$599)</f>
        <v>0</v>
      </c>
      <c r="T599" s="879" t="b">
        <f>ROUND('T2'!D46,$D$599)=ROUND('T3'!D104+'T3'!D110,$D$599)</f>
        <v>0</v>
      </c>
      <c r="U599" s="879" t="b">
        <f>ROUND('T2'!E46,$D$599)=ROUND('T3'!D105+'T3'!D111,$D$599)</f>
        <v>0</v>
      </c>
      <c r="V599" s="879" t="b">
        <f>ROUND('T2'!F46,$D$599)=ROUND('T3'!D106+'T3'!D112,$D$599)</f>
        <v>0</v>
      </c>
      <c r="W599" s="879" t="b">
        <f>ROUND('T2'!G46,$D$599)=ROUND('T3'!D107+'T3'!D113,$D$599)</f>
        <v>0</v>
      </c>
    </row>
    <row r="600" spans="1:23" outlineLevel="1">
      <c r="A600" s="876"/>
      <c r="B600" s="876"/>
      <c r="C600" s="889" t="s">
        <v>283</v>
      </c>
      <c r="D600" s="890"/>
      <c r="E600" s="871"/>
      <c r="F600" s="871"/>
      <c r="G600" s="871"/>
      <c r="H600" s="871"/>
      <c r="I600" s="871"/>
      <c r="J600" s="162"/>
      <c r="K600" s="162"/>
      <c r="L600" s="162"/>
      <c r="S600" s="188">
        <f>ROUND('T2'!C46,$D$599)</f>
        <v>55500.171999999999</v>
      </c>
      <c r="T600" s="188">
        <f>ROUND('T2'!D46,$D$599)</f>
        <v>50079.167000000001</v>
      </c>
      <c r="U600" s="188">
        <f>ROUND('T2'!E46,$D$599)</f>
        <v>22451.826000000001</v>
      </c>
      <c r="V600" s="188">
        <f>ROUND('T2'!F46,$D$599)</f>
        <v>0</v>
      </c>
      <c r="W600" s="188">
        <f>ROUND('T2'!G46,$D$599)</f>
        <v>0</v>
      </c>
    </row>
    <row r="601" spans="1:23" outlineLevel="1">
      <c r="A601" s="876"/>
      <c r="B601" s="876"/>
      <c r="C601" s="889" t="s">
        <v>284</v>
      </c>
      <c r="D601" s="890"/>
      <c r="E601" s="871"/>
      <c r="F601" s="871"/>
      <c r="G601" s="871"/>
      <c r="H601" s="871"/>
      <c r="I601" s="871"/>
      <c r="J601" s="162"/>
      <c r="K601" s="162"/>
      <c r="L601" s="162"/>
      <c r="S601" s="188">
        <f>ROUND('T3'!D103+'T3'!D109,$D$599)</f>
        <v>0</v>
      </c>
      <c r="T601" s="188">
        <f>ROUND('T3'!D104+'T3'!D110,$D$599)</f>
        <v>10910.538</v>
      </c>
      <c r="U601" s="188">
        <f>ROUND('T3'!D105+'T3'!D111,$D$599)</f>
        <v>85508.645999999993</v>
      </c>
      <c r="V601" s="188">
        <f>ROUND('T3'!D106+'T3'!D112,$D$599)</f>
        <v>11669.633</v>
      </c>
      <c r="W601" s="188">
        <f>ROUND('T3'!D107+'T3'!D113,$D$599)</f>
        <v>85144.004000000001</v>
      </c>
    </row>
    <row r="602" spans="1:23">
      <c r="A602" s="876" t="s">
        <v>216</v>
      </c>
      <c r="B602" s="876" t="s">
        <v>291</v>
      </c>
      <c r="C602" s="888" t="s">
        <v>292</v>
      </c>
      <c r="D602" s="863">
        <v>3</v>
      </c>
      <c r="E602" s="871"/>
      <c r="F602" s="871"/>
      <c r="G602" s="871"/>
      <c r="H602" s="871"/>
      <c r="I602" s="871"/>
      <c r="J602" s="162"/>
      <c r="K602" s="162"/>
      <c r="L602" s="162"/>
      <c r="S602" s="879" t="b">
        <f>ROUND('T2'!C54,$D$602)=ROUND('T3'!D81,$D$602)</f>
        <v>1</v>
      </c>
      <c r="T602" s="879" t="b">
        <f>ROUND('T2'!D54,$D$602)=ROUND('T3'!D82,$D$602)</f>
        <v>1</v>
      </c>
      <c r="U602" s="879" t="b">
        <f>ROUND('T2'!E54,$D$602)=ROUND('T3'!D83,$D$602)</f>
        <v>1</v>
      </c>
      <c r="V602" s="879" t="b">
        <f>ROUND('T2'!F54,$D$602)=ROUND('T3'!D84,$D$602)</f>
        <v>1</v>
      </c>
      <c r="W602" s="879" t="b">
        <f>ROUND('T2'!G54,$D$602)=ROUND('T3'!D85,$D$602)</f>
        <v>1</v>
      </c>
    </row>
    <row r="603" spans="1:23" outlineLevel="1">
      <c r="A603" s="876"/>
      <c r="B603" s="876"/>
      <c r="C603" s="889" t="s">
        <v>283</v>
      </c>
      <c r="D603" s="890"/>
      <c r="E603" s="871"/>
      <c r="F603" s="871"/>
      <c r="G603" s="871"/>
      <c r="H603" s="871"/>
      <c r="I603" s="871"/>
      <c r="J603" s="162"/>
      <c r="K603" s="162"/>
      <c r="L603" s="162"/>
      <c r="S603" s="188">
        <f>ROUND('T2'!C54,$D$602)</f>
        <v>0</v>
      </c>
      <c r="T603" s="188">
        <f>ROUND('T2'!D54,$D$602)</f>
        <v>0</v>
      </c>
      <c r="U603" s="188">
        <f>ROUND('T2'!E54,$D$602)</f>
        <v>0</v>
      </c>
      <c r="V603" s="188">
        <f>ROUND('T2'!F54,$D$602)</f>
        <v>0</v>
      </c>
      <c r="W603" s="188">
        <f>ROUND('T2'!G54,$D$602)</f>
        <v>0</v>
      </c>
    </row>
    <row r="604" spans="1:23" outlineLevel="1">
      <c r="A604" s="876"/>
      <c r="B604" s="876"/>
      <c r="C604" s="889" t="s">
        <v>284</v>
      </c>
      <c r="D604" s="890"/>
      <c r="E604" s="871"/>
      <c r="F604" s="871"/>
      <c r="G604" s="871"/>
      <c r="H604" s="871"/>
      <c r="I604" s="871"/>
      <c r="J604" s="162"/>
      <c r="K604" s="162"/>
      <c r="L604" s="162"/>
      <c r="S604" s="188">
        <f>ROUND('T3'!D81,$D$602)</f>
        <v>0</v>
      </c>
      <c r="T604" s="188">
        <f>ROUND('T3'!D82,$D$602)</f>
        <v>0</v>
      </c>
      <c r="U604" s="188">
        <f>ROUND('T3'!D83,$D$602)</f>
        <v>0</v>
      </c>
      <c r="V604" s="188">
        <f>ROUND('T3'!D84,$D$602)</f>
        <v>0</v>
      </c>
      <c r="W604" s="188">
        <f>ROUND('T3'!D85,$D$602)</f>
        <v>0</v>
      </c>
    </row>
    <row r="605" spans="1:23">
      <c r="A605" s="876" t="s">
        <v>219</v>
      </c>
      <c r="B605" s="876" t="s">
        <v>293</v>
      </c>
      <c r="C605" s="888" t="s">
        <v>294</v>
      </c>
      <c r="D605" s="863">
        <v>3</v>
      </c>
      <c r="E605" s="871"/>
      <c r="F605" s="871"/>
      <c r="G605" s="871"/>
      <c r="H605" s="871"/>
      <c r="I605" s="871"/>
      <c r="J605" s="162"/>
      <c r="K605" s="162"/>
      <c r="L605" s="162"/>
      <c r="S605" s="879" t="b">
        <f>ROUND('T2'!C59,$D$605)=ROUND('T3'!D92,$D$605)</f>
        <v>1</v>
      </c>
      <c r="T605" s="879" t="b">
        <f>ROUND('T2'!D59,$D$605)=ROUND('T3'!D93,$D$605)</f>
        <v>1</v>
      </c>
      <c r="U605" s="879" t="b">
        <f>ROUND('T2'!E59,$D$605)=ROUND('T3'!D94,$D$605)</f>
        <v>1</v>
      </c>
      <c r="V605" s="879" t="b">
        <f>ROUND('T2'!F59,$D$605)=ROUND('T3'!D95,$D$605)</f>
        <v>1</v>
      </c>
      <c r="W605" s="879" t="b">
        <f>ROUND('T2'!G59,$D$605)=ROUND('T3'!D96,$D$605)</f>
        <v>1</v>
      </c>
    </row>
    <row r="606" spans="1:23" outlineLevel="1">
      <c r="A606" s="876"/>
      <c r="B606" s="876"/>
      <c r="C606" s="889" t="s">
        <v>283</v>
      </c>
      <c r="D606" s="890"/>
      <c r="E606" s="871"/>
      <c r="F606" s="871"/>
      <c r="G606" s="871"/>
      <c r="H606" s="871"/>
      <c r="I606" s="871"/>
      <c r="J606" s="162"/>
      <c r="K606" s="162"/>
      <c r="L606" s="162"/>
      <c r="S606" s="188">
        <f>ROUND('T2'!C59,$D$605)</f>
        <v>0</v>
      </c>
      <c r="T606" s="188">
        <f>ROUND('T2'!D59,$D$605)</f>
        <v>0</v>
      </c>
      <c r="U606" s="188">
        <f>ROUND('T2'!E59,$D$605)</f>
        <v>0</v>
      </c>
      <c r="V606" s="188">
        <f>ROUND('T2'!F59,$D$605)</f>
        <v>0</v>
      </c>
      <c r="W606" s="188">
        <f>ROUND('T2'!G59,$D$605)</f>
        <v>0</v>
      </c>
    </row>
    <row r="607" spans="1:23" outlineLevel="1">
      <c r="A607" s="876"/>
      <c r="B607" s="876"/>
      <c r="C607" s="889" t="s">
        <v>284</v>
      </c>
      <c r="D607" s="890"/>
      <c r="E607" s="871"/>
      <c r="F607" s="871"/>
      <c r="G607" s="871"/>
      <c r="H607" s="871"/>
      <c r="I607" s="871"/>
      <c r="J607" s="162"/>
      <c r="K607" s="162"/>
      <c r="L607" s="162"/>
      <c r="S607" s="188">
        <f>ROUND('T3'!D92,$D$605)</f>
        <v>0</v>
      </c>
      <c r="T607" s="188">
        <f>ROUND('T3'!D93,$D$605)</f>
        <v>0</v>
      </c>
      <c r="U607" s="188">
        <f>ROUND('T3'!D94,$D$605)</f>
        <v>0</v>
      </c>
      <c r="V607" s="188">
        <f>ROUND('T3'!D95,$D$605)</f>
        <v>0</v>
      </c>
      <c r="W607" s="188">
        <f>ROUND('T3'!D96,$D$605)</f>
        <v>0</v>
      </c>
    </row>
    <row r="608" spans="1:23">
      <c r="A608" s="876" t="s">
        <v>231</v>
      </c>
      <c r="B608" s="876" t="s">
        <v>295</v>
      </c>
      <c r="C608" s="888" t="s">
        <v>296</v>
      </c>
      <c r="D608" s="863">
        <v>3</v>
      </c>
      <c r="E608" s="871"/>
      <c r="F608" s="871"/>
      <c r="G608" s="871"/>
      <c r="H608" s="871"/>
      <c r="I608" s="871"/>
      <c r="J608" s="162"/>
      <c r="K608" s="162"/>
      <c r="L608" s="162"/>
      <c r="S608" s="879" t="b">
        <f>ROUND('T2'!C63,$D$608)=ROUND('T3'!D160,$D$608)</f>
        <v>0</v>
      </c>
      <c r="T608" s="879" t="b">
        <f>ROUND('T2'!D63,$D$608)=ROUND('T3'!D161,$D$608)</f>
        <v>1</v>
      </c>
      <c r="U608" s="879" t="b">
        <f>ROUND('T2'!E63,$D$608)=ROUND('T3'!D162,$D$608)</f>
        <v>1</v>
      </c>
      <c r="V608" s="879" t="b">
        <f>ROUND('T2'!F63,$D$608)=ROUND('T3'!D163,$D$608)</f>
        <v>1</v>
      </c>
      <c r="W608" s="879" t="b">
        <f>ROUND('T2'!G63,$D$608)=ROUND('T3'!D164,$D$608)</f>
        <v>1</v>
      </c>
    </row>
    <row r="609" spans="1:26" outlineLevel="1">
      <c r="A609" s="876"/>
      <c r="B609" s="876"/>
      <c r="C609" s="889" t="s">
        <v>283</v>
      </c>
      <c r="D609" s="890"/>
      <c r="E609" s="871"/>
      <c r="F609" s="871"/>
      <c r="G609" s="871"/>
      <c r="H609" s="871"/>
      <c r="I609" s="871"/>
      <c r="J609" s="162"/>
      <c r="K609" s="162"/>
      <c r="L609" s="162"/>
      <c r="S609" s="188">
        <f>ROUND('T2'!C63,$D$608)</f>
        <v>4635.6629999999996</v>
      </c>
      <c r="T609" s="188">
        <f>ROUND('T2'!D63,$D$608)</f>
        <v>0</v>
      </c>
      <c r="U609" s="188">
        <f>ROUND('T2'!E63,$D$608)</f>
        <v>0</v>
      </c>
      <c r="V609" s="188">
        <f>ROUND('T2'!F63,$D$608)</f>
        <v>0</v>
      </c>
      <c r="W609" s="188">
        <f>ROUND('T2'!G63,$D$608)</f>
        <v>0</v>
      </c>
    </row>
    <row r="610" spans="1:26" outlineLevel="1">
      <c r="A610" s="876"/>
      <c r="B610" s="876"/>
      <c r="C610" s="889" t="s">
        <v>284</v>
      </c>
      <c r="D610" s="890"/>
      <c r="E610" s="871"/>
      <c r="F610" s="871"/>
      <c r="G610" s="871"/>
      <c r="H610" s="871"/>
      <c r="I610" s="871"/>
      <c r="J610" s="162"/>
      <c r="K610" s="162"/>
      <c r="L610" s="162"/>
      <c r="S610" s="188">
        <f>ROUND('T3'!D160,$D$608)</f>
        <v>128031.16499999999</v>
      </c>
      <c r="T610" s="188">
        <f>ROUND('T3'!D161,$D$608)</f>
        <v>0</v>
      </c>
      <c r="U610" s="188">
        <f>ROUND('T3'!D162,$D$608)</f>
        <v>0</v>
      </c>
      <c r="V610" s="188">
        <f>ROUND('T3'!D163,$D$608)</f>
        <v>0</v>
      </c>
      <c r="W610" s="188">
        <f>ROUND('T3'!D164,$D$608)</f>
        <v>0</v>
      </c>
    </row>
    <row r="611" spans="1:26">
      <c r="A611" s="876" t="s">
        <v>297</v>
      </c>
      <c r="B611" s="876" t="s">
        <v>298</v>
      </c>
      <c r="C611" s="888" t="s">
        <v>299</v>
      </c>
      <c r="D611" s="863">
        <v>3</v>
      </c>
      <c r="E611" s="871"/>
      <c r="F611" s="871"/>
      <c r="G611" s="871"/>
      <c r="H611" s="871"/>
      <c r="I611" s="871"/>
      <c r="J611" s="162"/>
      <c r="K611" s="162"/>
      <c r="L611" s="162"/>
      <c r="S611" s="879" t="b">
        <f>ROUND('T2'!C66,$D$611)=ROUND('T3'!D167,$D$611)</f>
        <v>1</v>
      </c>
      <c r="T611" s="879" t="b">
        <f>ROUND('T2'!D66,$D$611)=ROUND('T3'!D168,$D$611)</f>
        <v>1</v>
      </c>
      <c r="U611" s="879" t="b">
        <f>ROUND('T2'!E66,$D$611)=ROUND('T3'!D169,$D$611)</f>
        <v>1</v>
      </c>
      <c r="V611" s="879" t="b">
        <f>ROUND('T2'!F66,$D$611)=ROUND('T3'!D170,$D$611)</f>
        <v>1</v>
      </c>
      <c r="W611" s="879" t="b">
        <f>ROUND('T2'!G66,$D$611)=ROUND('T3'!D171,$D$611)</f>
        <v>1</v>
      </c>
    </row>
    <row r="612" spans="1:26" outlineLevel="1">
      <c r="A612" s="876"/>
      <c r="B612" s="876"/>
      <c r="C612" s="889" t="s">
        <v>283</v>
      </c>
      <c r="D612" s="890"/>
      <c r="E612" s="871"/>
      <c r="F612" s="871"/>
      <c r="G612" s="871"/>
      <c r="H612" s="871"/>
      <c r="I612" s="871"/>
      <c r="J612" s="162"/>
      <c r="K612" s="162"/>
      <c r="L612" s="162"/>
      <c r="S612" s="188">
        <f>ROUND('T2'!C66,$D$611)</f>
        <v>0</v>
      </c>
      <c r="T612" s="188">
        <f>ROUND('T2'!D66,$D$611)</f>
        <v>0</v>
      </c>
      <c r="U612" s="188">
        <f>ROUND('T2'!E66,$D$611)</f>
        <v>0</v>
      </c>
      <c r="V612" s="188">
        <f>ROUND('T2'!F66,$D$611)</f>
        <v>0</v>
      </c>
      <c r="W612" s="188">
        <f>ROUND('T2'!G66,$D$611)</f>
        <v>0</v>
      </c>
    </row>
    <row r="613" spans="1:26" outlineLevel="1">
      <c r="A613" s="876"/>
      <c r="B613" s="876"/>
      <c r="C613" s="889" t="s">
        <v>284</v>
      </c>
      <c r="D613" s="890"/>
      <c r="E613" s="871"/>
      <c r="F613" s="871"/>
      <c r="G613" s="871"/>
      <c r="H613" s="871"/>
      <c r="I613" s="871"/>
      <c r="J613" s="162"/>
      <c r="K613" s="162"/>
      <c r="L613" s="162"/>
      <c r="S613" s="188">
        <f>ROUND('T3'!D167,$D$611)</f>
        <v>0</v>
      </c>
      <c r="T613" s="188">
        <f>ROUND('T3'!D168,$D$611)</f>
        <v>0</v>
      </c>
      <c r="U613" s="188">
        <f>ROUND('T3'!D169,$D$611)</f>
        <v>0</v>
      </c>
      <c r="V613" s="188">
        <f>ROUND('T3'!D170,$D$611)</f>
        <v>0</v>
      </c>
      <c r="W613" s="188">
        <f>ROUND('T3'!D171,$D$611)</f>
        <v>0</v>
      </c>
    </row>
    <row r="614" spans="1:26">
      <c r="A614" s="876" t="s">
        <v>300</v>
      </c>
      <c r="B614" s="876" t="s">
        <v>301</v>
      </c>
      <c r="C614" s="888" t="s">
        <v>302</v>
      </c>
      <c r="D614" s="863">
        <v>3</v>
      </c>
      <c r="E614" s="871"/>
      <c r="F614" s="871"/>
      <c r="G614" s="871"/>
      <c r="H614" s="871"/>
      <c r="I614" s="871"/>
      <c r="J614" s="162"/>
      <c r="K614" s="162"/>
      <c r="L614" s="162"/>
      <c r="S614" s="879" t="b">
        <f>ROUND('T2'!C73,$D$614)=ROUND('T3'!D120+'T3'!D131+'T3'!D142+'T3'!D160,$D$614)</f>
        <v>0</v>
      </c>
      <c r="T614" s="879" t="b">
        <f>ROUND('T2'!D73,$D$614)=ROUND('T3'!D121+'T3'!D132+'T3'!D143+'T3'!D161,$D$614)</f>
        <v>0</v>
      </c>
      <c r="U614" s="879" t="b">
        <f>ROUND('T2'!E73,$D$614)=ROUND('T3'!D122+'T3'!D133+'T3'!D144+'T3'!D162,$D$614)</f>
        <v>0</v>
      </c>
      <c r="V614" s="879" t="b">
        <f>ROUND('T2'!F73,$D$614)=ROUND('T3'!D123+'T3'!D134+'T3'!D145+'T3'!D163,$D$614)</f>
        <v>0</v>
      </c>
      <c r="W614" s="879" t="b">
        <f>ROUND('T2'!G73,$D$614)=ROUND('T3'!D124+'T3'!D135+'T3'!D146+'T3'!D164,$D$614)</f>
        <v>0</v>
      </c>
    </row>
    <row r="615" spans="1:26" outlineLevel="1">
      <c r="A615" s="876"/>
      <c r="B615" s="876"/>
      <c r="C615" s="889" t="s">
        <v>283</v>
      </c>
      <c r="D615" s="890"/>
      <c r="E615" s="871"/>
      <c r="F615" s="871"/>
      <c r="G615" s="871"/>
      <c r="H615" s="871"/>
      <c r="I615" s="871"/>
      <c r="J615" s="162"/>
      <c r="K615" s="162"/>
      <c r="L615" s="162"/>
      <c r="S615" s="188">
        <f>ROUND('T2'!C73,$D$614)</f>
        <v>-7473.076</v>
      </c>
      <c r="T615" s="188">
        <f>ROUND('T2'!D73,$D$614)</f>
        <v>-13037.437</v>
      </c>
      <c r="U615" s="188">
        <f>ROUND('T2'!E73,$D$614)</f>
        <v>-31197.739000000001</v>
      </c>
      <c r="V615" s="188">
        <f>ROUND('T2'!F73,$D$614)</f>
        <v>0</v>
      </c>
      <c r="W615" s="188">
        <f>ROUND('T2'!G73,$D$614)</f>
        <v>0</v>
      </c>
    </row>
    <row r="616" spans="1:26" outlineLevel="1">
      <c r="A616" s="876"/>
      <c r="B616" s="876"/>
      <c r="C616" s="889" t="s">
        <v>284</v>
      </c>
      <c r="D616" s="890"/>
      <c r="E616" s="871"/>
      <c r="F616" s="871"/>
      <c r="G616" s="871"/>
      <c r="H616" s="871"/>
      <c r="I616" s="871"/>
      <c r="J616" s="162"/>
      <c r="K616" s="162"/>
      <c r="L616" s="162"/>
      <c r="S616" s="188">
        <f>ROUND('T3'!D120+'T3'!D131+'T3'!D142+'T3'!D160,$D$614)</f>
        <v>128031.16499999999</v>
      </c>
      <c r="T616" s="188">
        <f>ROUND('T3'!D121+'T3'!D132+'T3'!D143+'T3'!D161,$D$614)</f>
        <v>0</v>
      </c>
      <c r="U616" s="188">
        <f>ROUND('T3'!D122+'T3'!D133+'T3'!D144+'T3'!D162,$D$614)</f>
        <v>-7397.3310000000001</v>
      </c>
      <c r="V616" s="188">
        <f>ROUND('T3'!D123+'T3'!D134+'T3'!D145+'T3'!D163,$D$614)</f>
        <v>1511.415</v>
      </c>
      <c r="W616" s="188">
        <f>ROUND('T3'!D124+'T3'!D135+'T3'!D146+'T3'!D164,$D$614)</f>
        <v>-5885.9160000000002</v>
      </c>
    </row>
    <row r="617" spans="1:26" s="871" customFormat="1">
      <c r="A617" s="876" t="s">
        <v>303</v>
      </c>
      <c r="B617" s="876" t="s">
        <v>304</v>
      </c>
      <c r="C617" s="877" t="s">
        <v>305</v>
      </c>
      <c r="D617" s="890"/>
      <c r="L617" s="162"/>
      <c r="M617" s="162"/>
      <c r="R617" s="162"/>
      <c r="S617" s="879" t="b">
        <f>SUM('T3'!$E$10,'T3'!$E$12:$E$16,'T3'!$E$21,'T3'!$E$23:$E$27,'T3'!$E$30:$E$34,'T3'!$E$37:$E$41,'T3'!$E$44:$E$48,'T3'!$E$51:$E$55,'T3'!$E$58:$E$62,'T3'!$E$65:$E$69,'T3'!$E$74,'T3'!$E$79,'T3'!$E$81:$E$85,'T3'!$E$90,'T3'!$E$92:$E$96,'T3'!$E$101,'T3'!$E$103:$E$107,'T3'!$E$109:$E$113)=0</f>
        <v>0</v>
      </c>
      <c r="T617" s="879" t="b">
        <f>SUM('T3'!$F$12:$F$16,'T3'!$F$23:$F$27,'T3'!$F$30:$F$34,'T3'!$F$37:$F$41,'T3'!$F$44:$F$48,'T3'!$F$51:$F$55,'T3'!$F$58:$F$62,'T3'!$F$65:$F$69,'T3'!$F$81:$F$85,'T3'!$F$92:$F$96,'T3'!$F$103:$F$107,'T3'!$F$109:$F$113)=0</f>
        <v>0</v>
      </c>
      <c r="U617" s="879" t="b">
        <f>SUM('T3'!$G$13:$G$16,'T3'!$G$24:$G$27,'T3'!$G$31:$G$34,'T3'!$G$38:$G$41,'T3'!$G$45:$G$48,'T3'!$G$52:$G$55,'T3'!$G$59:$G$62,'T3'!$G$66:$G$69,'T3'!$G$82:$G$85,'T3'!$G$93:$G$96,'T3'!$G$104:$G$107,'T3'!$G$110:$G$113)=0</f>
        <v>0</v>
      </c>
      <c r="V617" s="879" t="b">
        <f>SUM('T3'!$H$14:$H$16,'T3'!$H$25:$H$27,'T3'!$H$32:$H$34,'T3'!$H$39:$H$41,'T3'!$H$46:$H$48,'T3'!$H$53:$H$55,'T3'!$H$60:$H$62,'T3'!$H$67:$H$69,'T3'!$H$83:$H$85,'T3'!$H$94:$H$96,'T3'!$H$105:$H$107,'T3'!$H$111:$H$113)=0</f>
        <v>0</v>
      </c>
      <c r="W617" s="879" t="b">
        <f>SUM('T3'!$I$15:$I$16,'T3'!$I$26:$I$27,'T3'!$I$33:$I$34,'T3'!$I$40:$I$41,'T3'!$I$47:$I$48,'T3'!$I$54:$I$55,'T3'!$I$61:$I$62,'T3'!$I$68:$I$69,'T3'!$I$84:$I$85,'T3'!$I$95:$I$96,'T3'!$I$106:$I$107,'T3'!$I$112:$I$113)=0</f>
        <v>0</v>
      </c>
    </row>
    <row r="618" spans="1:26" outlineLevel="1">
      <c r="A618" s="876"/>
      <c r="B618" s="876"/>
      <c r="C618" s="880" t="s">
        <v>306</v>
      </c>
      <c r="D618" s="890"/>
      <c r="J618" s="162"/>
      <c r="K618" s="162"/>
      <c r="L618" s="162"/>
      <c r="S618" s="188">
        <f>SUM('T3'!$E$10,'T3'!$E$12:$E$16,'T3'!$E$21,'T3'!$E$23:$E$27,'T3'!$E$30:$E$34,'T3'!$E$37:$E$41,'T3'!$E$44:$E$48,'T3'!$E$51:$E$55,'T3'!$E$58:$E$62,'T3'!$E$65:$E$69,'T3'!$E$74,'T3'!$E$79,'T3'!$E$81:$E$85,'T3'!$E$90,'T3'!$E$92:$E$96,'T3'!$E$101,'T3'!$E$103:$E$107,'T3'!$E$109:$E$113)</f>
        <v>-117491.95210696678</v>
      </c>
      <c r="T618" s="188">
        <f>SUM('T3'!$F$12:$F$16,'T3'!$F$23:$F$27,'T3'!$F$30:$F$34,'T3'!$F$37:$F$41,'T3'!$F$44:$F$48,'T3'!$F$51:$F$55,'T3'!$F$58:$F$62,'T3'!$F$65:$F$69,'T3'!$F$81:$F$85,'T3'!$F$92:$F$96,'T3'!$F$103:$F$107,'T3'!$F$109:$F$113)</f>
        <v>-119285.33112555722</v>
      </c>
      <c r="U618" s="188">
        <f>SUM('T3'!$G$13:$G$16,'T3'!$G$24:$G$27,'T3'!$G$31:$G$34,'T3'!$G$38:$G$41,'T3'!$G$45:$G$48,'T3'!$G$52:$G$55,'T3'!$G$59:$G$62,'T3'!$G$66:$G$69,'T3'!$G$82:$G$85,'T3'!$G$93:$G$96,'T3'!$G$104:$G$107,'T3'!$G$110:$G$113)</f>
        <v>-3117.3410222767197</v>
      </c>
      <c r="V618" s="188">
        <f>SUM('T3'!$H$14:$H$16,'T3'!$H$25:$H$27,'T3'!$H$32:$H$34,'T3'!$H$39:$H$41,'T3'!$H$46:$H$48,'T3'!$H$53:$H$55,'T3'!$H$60:$H$62,'T3'!$H$67:$H$69,'T3'!$H$83:$H$85,'T3'!$H$94:$H$96,'T3'!$H$105:$H$107,'T3'!$H$111:$H$113)</f>
        <v>-8189.9603673881447</v>
      </c>
      <c r="W618" s="188">
        <f>SUM('T3'!$I$15:$I$16,'T3'!$I$26:$I$27,'T3'!$I$33:$I$34,'T3'!$I$40:$I$41,'T3'!$I$47:$I$48,'T3'!$I$54:$I$55,'T3'!$I$61:$I$62,'T3'!$I$68:$I$69,'T3'!$I$84:$I$85,'T3'!$I$95:$I$96,'T3'!$I$106:$I$107,'T3'!$I$112:$I$113)</f>
        <v>50512.174873265547</v>
      </c>
    </row>
    <row r="619" spans="1:26">
      <c r="A619" s="876" t="s">
        <v>307</v>
      </c>
      <c r="B619" s="876" t="s">
        <v>308</v>
      </c>
      <c r="C619" s="877" t="s">
        <v>309</v>
      </c>
      <c r="D619" s="863">
        <v>3</v>
      </c>
      <c r="J619" s="162"/>
      <c r="K619" s="162"/>
      <c r="L619" s="162"/>
      <c r="S619" s="879" t="b">
        <f>ROUND(SUM('T3'!E72:E73),$D$619)=0</f>
        <v>1</v>
      </c>
    </row>
    <row r="620" spans="1:26" outlineLevel="1">
      <c r="A620" s="876"/>
      <c r="B620" s="876"/>
      <c r="C620" s="880" t="s">
        <v>310</v>
      </c>
      <c r="D620" s="890"/>
      <c r="J620" s="162"/>
      <c r="K620" s="162"/>
      <c r="L620" s="162"/>
      <c r="S620" s="188">
        <f>ROUND(SUM('T3'!E72:E73),$D$619)</f>
        <v>0</v>
      </c>
    </row>
    <row r="621" spans="1:26" outlineLevel="1">
      <c r="A621" s="876"/>
      <c r="B621" s="876"/>
      <c r="C621" s="880" t="s">
        <v>311</v>
      </c>
      <c r="D621" s="890"/>
      <c r="J621" s="162"/>
      <c r="K621" s="162"/>
      <c r="L621" s="162"/>
      <c r="S621" s="188">
        <f>0</f>
        <v>0</v>
      </c>
    </row>
    <row r="622" spans="1:26" s="183" customFormat="1" ht="18">
      <c r="A622" s="172" t="s">
        <v>13</v>
      </c>
      <c r="B622" s="173" t="s">
        <v>14</v>
      </c>
      <c r="C622" s="174" t="s">
        <v>312</v>
      </c>
      <c r="D622" s="894"/>
      <c r="E622" s="873"/>
      <c r="F622" s="873"/>
      <c r="G622" s="873"/>
      <c r="H622" s="873"/>
      <c r="I622" s="873"/>
      <c r="J622" s="873"/>
      <c r="K622" s="873"/>
      <c r="L622" s="873"/>
      <c r="M622" s="873"/>
      <c r="N622" s="873"/>
      <c r="O622" s="873"/>
      <c r="P622" s="873"/>
      <c r="Q622" s="873"/>
      <c r="R622" s="162"/>
      <c r="S622" s="873"/>
      <c r="T622" s="873"/>
      <c r="U622" s="873"/>
      <c r="V622" s="873"/>
      <c r="W622" s="873"/>
      <c r="X622" s="871"/>
      <c r="Y622" s="871"/>
      <c r="Z622" s="871"/>
    </row>
    <row r="623" spans="1:26" s="891" customFormat="1">
      <c r="A623" s="875" t="s">
        <v>234</v>
      </c>
      <c r="B623" s="876" t="s">
        <v>277</v>
      </c>
      <c r="C623" s="888" t="s">
        <v>278</v>
      </c>
      <c r="D623" s="863">
        <v>3</v>
      </c>
      <c r="E623" s="871"/>
      <c r="F623" s="871"/>
      <c r="G623" s="871"/>
      <c r="H623" s="871"/>
      <c r="I623" s="871"/>
      <c r="R623" s="162"/>
      <c r="S623" s="879" t="b">
        <f>ROUND('T2 ANSP'!C78,$D$623)=ROUND(SUM('T3 ANSP'!D12,'T3 ANSP'!D27,'T3 ANSP'!D38,'T3 ANSP'!D49,'T3 ANSP'!D60,'T3 ANSP'!D71,'T3 ANSP'!D82,'T3 ANSP'!D93,'T3 ANSP'!D117,'T3 ANSP'!D132,'T3 ANSP'!D147,'T3 ANSP'!D157,'T3 ANSP'!D172,'T3 ANSP'!D187,'T3 ANSP'!D202,'T3 ANSP'!D217,'T3 ANSP'!D228,'T3 ANSP'!D239),$D$623)</f>
        <v>0</v>
      </c>
      <c r="T623" s="879" t="b">
        <f>ROUND('T2 ANSP'!D78,$D$623)=ROUND(SUM('T3 ANSP'!D13,'T3 ANSP'!D28,'T3 ANSP'!D39,'T3 ANSP'!D50,'T3 ANSP'!D61,'T3 ANSP'!D72,'T3 ANSP'!D83,'T3 ANSP'!D94,'T3 ANSP'!D118,'T3 ANSP'!D133,'T3 ANSP'!D148,'T3 ANSP'!D158,'T3 ANSP'!D173,'T3 ANSP'!D188,'T3 ANSP'!D203,'T3 ANSP'!D218,'T3 ANSP'!D229,'T3 ANSP'!D240),$D$623)</f>
        <v>0</v>
      </c>
      <c r="U623" s="879" t="b">
        <f>ROUND('T2 ANSP'!E78,$D$623)=ROUND(SUM('T3 ANSP'!D14,'T3 ANSP'!D29,'T3 ANSP'!D40,'T3 ANSP'!D51,'T3 ANSP'!D62,'T3 ANSP'!D73,'T3 ANSP'!D84,'T3 ANSP'!D95,'T3 ANSP'!D119,'T3 ANSP'!D134,'T3 ANSP'!D149,'T3 ANSP'!D159,'T3 ANSP'!D174,'T3 ANSP'!D189,'T3 ANSP'!D208,'T3 ANSP'!D223,'T3 ANSP'!D230,'T3 ANSP'!D241),$D$623)</f>
        <v>0</v>
      </c>
      <c r="V623" s="879" t="b">
        <f>ROUND('T2 ANSP'!F78,$D$623)=ROUND(SUM('T3 ANSP'!E14,'T3 ANSP'!E29,'T3 ANSP'!E40,'T3 ANSP'!E51,'T3 ANSP'!E62,'T3 ANSP'!E73,'T3 ANSP'!E84,'T3 ANSP'!E95,'T3 ANSP'!E119,'T3 ANSP'!E134,'T3 ANSP'!E149,'T3 ANSP'!E159,'T3 ANSP'!E174,'T3 ANSP'!E189,'T3 ANSP'!E208,'T3 ANSP'!E223,'T3 ANSP'!E230,'T3 ANSP'!E241),$D$623)</f>
        <v>0</v>
      </c>
      <c r="W623" s="879" t="b">
        <f>ROUND('T2 ANSP'!G78,$D$623)=ROUND(SUM('T3 ANSP'!F14,'T3 ANSP'!F29,'T3 ANSP'!F40,'T3 ANSP'!F51,'T3 ANSP'!F62,'T3 ANSP'!F73,'T3 ANSP'!F84,'T3 ANSP'!F95,'T3 ANSP'!F119,'T3 ANSP'!F134,'T3 ANSP'!F149,'T3 ANSP'!F159,'T3 ANSP'!F174,'T3 ANSP'!F189,'T3 ANSP'!F208,'T3 ANSP'!F223,'T3 ANSP'!F230,'T3 ANSP'!F241),$D$623)</f>
        <v>1</v>
      </c>
      <c r="X623" s="871"/>
      <c r="Y623" s="871"/>
      <c r="Z623" s="871"/>
    </row>
    <row r="624" spans="1:26" outlineLevel="1">
      <c r="A624" s="876"/>
      <c r="B624" s="876"/>
      <c r="C624" s="889" t="s">
        <v>279</v>
      </c>
      <c r="D624" s="890"/>
      <c r="E624" s="871"/>
      <c r="F624" s="871"/>
      <c r="G624" s="871"/>
      <c r="H624" s="871"/>
      <c r="I624" s="871"/>
      <c r="J624" s="162"/>
      <c r="K624" s="162"/>
      <c r="L624" s="162"/>
      <c r="S624" s="188">
        <f>ROUND('T2 ANSP'!C78,$D$623)</f>
        <v>366623.31</v>
      </c>
      <c r="T624" s="188">
        <f>ROUND('T2 ANSP'!D78,$D$623)</f>
        <v>331378.462</v>
      </c>
      <c r="U624" s="188">
        <f>ROUND('T2 ANSP'!E78,$D$623)</f>
        <v>102490.704</v>
      </c>
      <c r="V624" s="188">
        <f>ROUND('T2 ANSP'!F78,$D$623)</f>
        <v>-5462.5370000000003</v>
      </c>
      <c r="W624" s="188">
        <f>ROUND('T2 ANSP'!G78,$D$623)</f>
        <v>0</v>
      </c>
      <c r="X624" s="871"/>
      <c r="Y624" s="871"/>
      <c r="Z624" s="871"/>
    </row>
    <row r="625" spans="1:26" outlineLevel="1">
      <c r="A625" s="876"/>
      <c r="B625" s="876"/>
      <c r="C625" s="889" t="s">
        <v>280</v>
      </c>
      <c r="D625" s="890"/>
      <c r="E625" s="871"/>
      <c r="F625" s="871"/>
      <c r="G625" s="871"/>
      <c r="H625" s="871"/>
      <c r="I625" s="871"/>
      <c r="J625" s="162"/>
      <c r="K625" s="162"/>
      <c r="L625" s="162"/>
      <c r="S625" s="188">
        <f>ROUND(SUM('T3 ANSP'!D12,'T3 ANSP'!D27,'T3 ANSP'!D38,'T3 ANSP'!D49,'T3 ANSP'!D60,'T3 ANSP'!D71,'T3 ANSP'!D82,'T3 ANSP'!D93,'T3 ANSP'!D117,'T3 ANSP'!D132,'T3 ANSP'!D147,'T3 ANSP'!D157,'T3 ANSP'!D172,'T3 ANSP'!D187,'T3 ANSP'!D202,'T3 ANSP'!D217,'T3 ANSP'!D228,'T3 ANSP'!D239),$D$623)</f>
        <v>-50883.517999999996</v>
      </c>
      <c r="T625" s="188">
        <f>ROUND(SUM('T3 ANSP'!D13,'T3 ANSP'!D28,'T3 ANSP'!D39,'T3 ANSP'!D50,'T3 ANSP'!D61,'T3 ANSP'!D72,'T3 ANSP'!D83,'T3 ANSP'!D94,'T3 ANSP'!D118,'T3 ANSP'!D133,'T3 ANSP'!D148,'T3 ANSP'!D158,'T3 ANSP'!D173,'T3 ANSP'!D188,'T3 ANSP'!D203,'T3 ANSP'!D218,'T3 ANSP'!D229,'T3 ANSP'!D240),$D$623)</f>
        <v>-55282.67</v>
      </c>
      <c r="U625" s="188">
        <f>ROUND(SUM('T3 ANSP'!D14,'T3 ANSP'!D29,'T3 ANSP'!D40,'T3 ANSP'!D51,'T3 ANSP'!D62,'T3 ANSP'!D73,'T3 ANSP'!D84,'T3 ANSP'!D95,'T3 ANSP'!D119,'T3 ANSP'!D134,'T3 ANSP'!D149,'T3 ANSP'!D159,'T3 ANSP'!D174,'T3 ANSP'!D189,'T3 ANSP'!D208,'T3 ANSP'!D223,'T3 ANSP'!D230,'T3 ANSP'!D241),$D$623)</f>
        <v>883.73800000000006</v>
      </c>
      <c r="V625" s="188">
        <f>ROUND(SUM('T3 ANSP'!E14,'T3 ANSP'!E29,'T3 ANSP'!E40,'T3 ANSP'!E51,'T3 ANSP'!E62,'T3 ANSP'!E73,'T3 ANSP'!E84,'T3 ANSP'!E95,'T3 ANSP'!E119,'T3 ANSP'!E134,'T3 ANSP'!E149,'T3 ANSP'!E159,'T3 ANSP'!E174,'T3 ANSP'!E189,'T3 ANSP'!E208,'T3 ANSP'!E223,'T3 ANSP'!E230,'T3 ANSP'!E241),$D$623)</f>
        <v>0</v>
      </c>
      <c r="W625" s="188">
        <f>ROUND(SUM('T3 ANSP'!F14,'T3 ANSP'!F29,'T3 ANSP'!F40,'T3 ANSP'!F51,'T3 ANSP'!F62,'T3 ANSP'!F73,'T3 ANSP'!F84,'T3 ANSP'!F95,'T3 ANSP'!F119,'T3 ANSP'!F134,'T3 ANSP'!F149,'T3 ANSP'!F159,'T3 ANSP'!F174,'T3 ANSP'!F189,'T3 ANSP'!F208,'T3 ANSP'!F223,'T3 ANSP'!F230,'T3 ANSP'!F241),$D$623)</f>
        <v>0</v>
      </c>
      <c r="X625" s="871"/>
      <c r="Y625" s="871"/>
      <c r="Z625" s="871"/>
    </row>
    <row r="626" spans="1:26">
      <c r="A626" s="876" t="s">
        <v>205</v>
      </c>
      <c r="B626" s="876" t="s">
        <v>281</v>
      </c>
      <c r="C626" s="888" t="s">
        <v>282</v>
      </c>
      <c r="D626" s="863">
        <v>3</v>
      </c>
      <c r="E626" s="871"/>
      <c r="F626" s="871"/>
      <c r="G626" s="871"/>
      <c r="H626" s="871"/>
      <c r="I626" s="871"/>
      <c r="J626" s="162"/>
      <c r="K626" s="162"/>
      <c r="L626" s="162"/>
      <c r="S626" s="879" t="b">
        <f>ROUND('T2 ANSP'!C19,$D$626)=ROUND('T3 ANSP'!D12,$D$626)</f>
        <v>1</v>
      </c>
      <c r="T626" s="879" t="b">
        <f>ROUND('T2 ANSP'!D19,$D$626)=ROUND('T3 ANSP'!D13,$D$626)</f>
        <v>0</v>
      </c>
      <c r="U626" s="879" t="b">
        <f>ROUND('T2 ANSP'!E19,$D$626)=ROUND('T3 ANSP'!D14,$D$626)</f>
        <v>1</v>
      </c>
      <c r="V626" s="879" t="b">
        <f>ROUND('T2 ANSP'!F19,$D$626)=ROUND('T3 ANSP'!D16,$D$626)</f>
        <v>1</v>
      </c>
      <c r="W626" s="879" t="b">
        <f>ROUND('T2 ANSP'!G19,$D$626)=ROUND('T3 ANSP'!D20,$D$626)</f>
        <v>1</v>
      </c>
    </row>
    <row r="627" spans="1:26" outlineLevel="1">
      <c r="A627" s="876"/>
      <c r="B627" s="876"/>
      <c r="C627" s="889" t="s">
        <v>283</v>
      </c>
      <c r="D627" s="890"/>
      <c r="E627" s="871"/>
      <c r="F627" s="871"/>
      <c r="G627" s="871"/>
      <c r="H627" s="871"/>
      <c r="I627" s="871"/>
      <c r="J627" s="162"/>
      <c r="K627" s="162"/>
      <c r="L627" s="162"/>
      <c r="S627" s="188">
        <f>ROUND('T2 ANSP'!C19,$D$626)</f>
        <v>-7512.17</v>
      </c>
      <c r="T627" s="188">
        <f>ROUND('T2 ANSP'!D19,$D$626)</f>
        <v>-3418.2840000000001</v>
      </c>
      <c r="U627" s="188">
        <f>ROUND('T2 ANSP'!E19,$D$626)</f>
        <v>44206.987000000001</v>
      </c>
      <c r="V627" s="188">
        <f>ROUND('T2 ANSP'!F19,$D$626)</f>
        <v>0</v>
      </c>
      <c r="W627" s="188">
        <f>ROUND('T2 ANSP'!G19,$D$626)</f>
        <v>0</v>
      </c>
    </row>
    <row r="628" spans="1:26" outlineLevel="1">
      <c r="A628" s="876"/>
      <c r="B628" s="876"/>
      <c r="C628" s="889" t="s">
        <v>284</v>
      </c>
      <c r="D628" s="890"/>
      <c r="E628" s="871"/>
      <c r="F628" s="871"/>
      <c r="G628" s="871"/>
      <c r="H628" s="871"/>
      <c r="I628" s="871"/>
      <c r="J628" s="162"/>
      <c r="K628" s="162"/>
      <c r="L628" s="162"/>
      <c r="S628" s="188">
        <f>ROUND('T3 ANSP'!D12,$D$626)</f>
        <v>-7512.17</v>
      </c>
      <c r="T628" s="188">
        <f>ROUND('T3 ANSP'!D13,$D$626)</f>
        <v>-3969.866</v>
      </c>
      <c r="U628" s="188">
        <f>ROUND('T3 ANSP'!D14,$D$626)</f>
        <v>44206.987000000001</v>
      </c>
      <c r="V628" s="188">
        <f>ROUND('T3 ANSP'!D16,$D$626)</f>
        <v>0</v>
      </c>
      <c r="W628" s="188">
        <f>ROUND('T3 ANSP'!D20,$D$626)</f>
        <v>0</v>
      </c>
    </row>
    <row r="629" spans="1:26">
      <c r="A629" s="876" t="s">
        <v>213</v>
      </c>
      <c r="B629" s="876" t="s">
        <v>285</v>
      </c>
      <c r="C629" s="888" t="s">
        <v>286</v>
      </c>
      <c r="D629" s="863">
        <v>3</v>
      </c>
      <c r="E629" s="871"/>
      <c r="F629" s="871"/>
      <c r="G629" s="871"/>
      <c r="H629" s="871"/>
      <c r="I629" s="871"/>
      <c r="J629" s="162"/>
      <c r="K629" s="162"/>
      <c r="L629" s="162"/>
      <c r="S629" s="879" t="b">
        <f>ROUND('T2 ANSP'!C28,$D$629)=ROUND('T3 ANSP'!D38+'T3 ANSP'!D49+'T3 ANSP'!D60+'T3 ANSP'!D71+'T3 ANSP'!D82+'T3 ANSP'!D93,$D$629)</f>
        <v>1</v>
      </c>
      <c r="T629" s="879" t="b">
        <f>ROUND('T2 ANSP'!D28,$D$629)=ROUND('T3 ANSP'!D39+'T3 ANSP'!D50+'T3 ANSP'!D61+'T3 ANSP'!D72+'T3 ANSP'!D83+'T3 ANSP'!D94,$D$629)</f>
        <v>1</v>
      </c>
      <c r="U629" s="879" t="b">
        <f>ROUND('T2 ANSP'!E28,$D$629)=ROUND('T3 ANSP'!D40+'T3 ANSP'!D51+'T3 ANSP'!D62+'T3 ANSP'!D73+'T3 ANSP'!D84+'T3 ANSP'!D95,$D$629)</f>
        <v>1</v>
      </c>
      <c r="V629" s="879" t="b">
        <f>ROUND('T2 ANSP'!F28,$D$629)=ROUND('T3 ANSP'!D42+'T3 ANSP'!D53+'T3 ANSP'!D64+'T3 ANSP'!D75+'T3 ANSP'!D89+'T3 ANSP'!D100,$D$629)</f>
        <v>1</v>
      </c>
      <c r="W629" s="879" t="b">
        <f>ROUND('T2 ANSP'!G28,$D$629)=ROUND('T3 ANSP'!D46+'T3 ANSP'!D57+'T3 ANSP'!D68+'T3 ANSP'!D79+'T3 ANSP'!D90+'T3 ANSP'!D101,$D$629)</f>
        <v>1</v>
      </c>
    </row>
    <row r="630" spans="1:26" outlineLevel="1">
      <c r="A630" s="876"/>
      <c r="B630" s="876"/>
      <c r="C630" s="889" t="s">
        <v>283</v>
      </c>
      <c r="D630" s="890"/>
      <c r="E630" s="871"/>
      <c r="F630" s="871"/>
      <c r="G630" s="871"/>
      <c r="H630" s="871"/>
      <c r="I630" s="871"/>
      <c r="J630" s="162"/>
      <c r="K630" s="162"/>
      <c r="L630" s="162"/>
      <c r="S630" s="188">
        <f>ROUND('T2 ANSP'!C28,$D$629)</f>
        <v>0</v>
      </c>
      <c r="T630" s="188">
        <f>ROUND('T2 ANSP'!D28,$D$629)</f>
        <v>0</v>
      </c>
      <c r="U630" s="188">
        <f>ROUND('T2 ANSP'!E28,$D$629)</f>
        <v>0</v>
      </c>
      <c r="V630" s="188">
        <f>ROUND('T2 ANSP'!F28,$D$629)</f>
        <v>0</v>
      </c>
      <c r="W630" s="188">
        <f>ROUND('T2 ANSP'!G28,$D$629)</f>
        <v>0</v>
      </c>
    </row>
    <row r="631" spans="1:26" outlineLevel="1">
      <c r="A631" s="876"/>
      <c r="B631" s="876"/>
      <c r="C631" s="889" t="s">
        <v>284</v>
      </c>
      <c r="D631" s="890"/>
      <c r="E631" s="871"/>
      <c r="F631" s="871"/>
      <c r="G631" s="871"/>
      <c r="H631" s="871"/>
      <c r="I631" s="871"/>
      <c r="J631" s="162"/>
      <c r="K631" s="162"/>
      <c r="L631" s="162"/>
      <c r="S631" s="188">
        <f>ROUND('T3 ANSP'!D38+'T3 ANSP'!D49+'T3 ANSP'!D60+'T3 ANSP'!D71+'T3 ANSP'!D82+'T3 ANSP'!D93,$D$629)</f>
        <v>0</v>
      </c>
      <c r="T631" s="188">
        <f>ROUND('T3 ANSP'!D39+'T3 ANSP'!D50+'T3 ANSP'!D61+'T3 ANSP'!D72+'T3 ANSP'!D83+'T3 ANSP'!D94,$D$629)</f>
        <v>0</v>
      </c>
      <c r="U631" s="188">
        <f>ROUND('T3 ANSP'!D40+'T3 ANSP'!D51+'T3 ANSP'!D62+'T3 ANSP'!D73+'T3 ANSP'!D84+'T3 ANSP'!D95,$D$629)</f>
        <v>0</v>
      </c>
      <c r="V631" s="188">
        <f>ROUND('T3 ANSP'!D42+'T3 ANSP'!D53+'T3 ANSP'!D64+'T3 ANSP'!D75+'T3 ANSP'!D89+'T3 ANSP'!D100,$D$629)</f>
        <v>0</v>
      </c>
      <c r="W631" s="188">
        <f>ROUND('T3 ANSP'!D46+'T3 ANSP'!D57+'T3 ANSP'!D68+'T3 ANSP'!D79+'T3 ANSP'!D90+'T3 ANSP'!D101,$D$629)</f>
        <v>0</v>
      </c>
    </row>
    <row r="632" spans="1:26">
      <c r="A632" s="876" t="s">
        <v>210</v>
      </c>
      <c r="B632" s="876" t="s">
        <v>287</v>
      </c>
      <c r="C632" s="888" t="s">
        <v>288</v>
      </c>
      <c r="D632" s="863">
        <v>3</v>
      </c>
      <c r="E632" s="871"/>
      <c r="F632" s="871"/>
      <c r="G632" s="871"/>
      <c r="H632" s="871"/>
      <c r="I632" s="871"/>
      <c r="J632" s="162"/>
      <c r="K632" s="162"/>
      <c r="L632" s="162"/>
      <c r="S632" s="879" t="b">
        <f>ROUND('T2 ANSP'!C41,$D$632)=ROUND('T3 ANSP'!D27,$D$632)</f>
        <v>0</v>
      </c>
      <c r="T632" s="879" t="b">
        <f>ROUND('T2 ANSP'!D41,$D$632)=ROUND('T3 ANSP'!D28,$D$632)</f>
        <v>0</v>
      </c>
      <c r="U632" s="879" t="b">
        <f>ROUND('T2 ANSP'!E41,$D$632)=ROUND('T3 ANSP'!D29,$D$632)</f>
        <v>0</v>
      </c>
      <c r="V632" s="879" t="b">
        <f>ROUND('T2 ANSP'!F41,$D$632)=ROUND('T3 ANSP'!D31,$D$632)</f>
        <v>1</v>
      </c>
      <c r="W632" s="879" t="b">
        <f>ROUND('T2 ANSP'!G41,$D$632)=ROUND('T3 ANSP'!D35,$D$632)</f>
        <v>1</v>
      </c>
    </row>
    <row r="633" spans="1:26" outlineLevel="1">
      <c r="A633" s="876"/>
      <c r="B633" s="876"/>
      <c r="C633" s="889" t="s">
        <v>283</v>
      </c>
      <c r="D633" s="890"/>
      <c r="E633" s="871"/>
      <c r="F633" s="871"/>
      <c r="G633" s="871"/>
      <c r="H633" s="871"/>
      <c r="I633" s="871"/>
      <c r="J633" s="162"/>
      <c r="K633" s="162"/>
      <c r="L633" s="162"/>
      <c r="S633" s="188">
        <f>ROUND('T2 ANSP'!C41,$D$632)</f>
        <v>381433.10399999999</v>
      </c>
      <c r="T633" s="188">
        <f>ROUND('T2 ANSP'!D41,$D$632)</f>
        <v>355277.33399999997</v>
      </c>
      <c r="U633" s="188">
        <f>ROUND('T2 ANSP'!E41,$D$632)</f>
        <v>95131.356</v>
      </c>
      <c r="V633" s="188">
        <f>ROUND('T2 ANSP'!F41,$D$632)</f>
        <v>0</v>
      </c>
      <c r="W633" s="188">
        <f>ROUND('T2 ANSP'!G41,$D$632)</f>
        <v>0</v>
      </c>
    </row>
    <row r="634" spans="1:26" outlineLevel="1">
      <c r="A634" s="876"/>
      <c r="B634" s="876"/>
      <c r="C634" s="889" t="s">
        <v>284</v>
      </c>
      <c r="D634" s="890"/>
      <c r="E634" s="871"/>
      <c r="F634" s="871"/>
      <c r="G634" s="871"/>
      <c r="H634" s="871"/>
      <c r="I634" s="871"/>
      <c r="J634" s="162"/>
      <c r="K634" s="162"/>
      <c r="L634" s="162"/>
      <c r="S634" s="188">
        <f>ROUND('T3 ANSP'!D27,$D$632)</f>
        <v>0</v>
      </c>
      <c r="T634" s="188">
        <f>ROUND('T3 ANSP'!D28,$D$632)</f>
        <v>0</v>
      </c>
      <c r="U634" s="188">
        <f>ROUND('T3 ANSP'!D29,$D$632)</f>
        <v>0</v>
      </c>
      <c r="V634" s="188">
        <f>ROUND('T3 ANSP'!D31,$D$632)</f>
        <v>0</v>
      </c>
      <c r="W634" s="188">
        <f>ROUND('T3 ANSP'!D35,$D$632)</f>
        <v>0</v>
      </c>
    </row>
    <row r="635" spans="1:26">
      <c r="A635" s="876" t="s">
        <v>222</v>
      </c>
      <c r="B635" s="876" t="s">
        <v>289</v>
      </c>
      <c r="C635" s="888" t="s">
        <v>290</v>
      </c>
      <c r="D635" s="863">
        <v>3</v>
      </c>
      <c r="E635" s="871"/>
      <c r="F635" s="871"/>
      <c r="G635" s="871"/>
      <c r="H635" s="871"/>
      <c r="I635" s="871"/>
      <c r="J635" s="162"/>
      <c r="K635" s="162"/>
      <c r="L635" s="162"/>
      <c r="S635" s="879" t="b">
        <f>ROUND('T2 ANSP'!C46,$D$635)=ROUND('T3 ANSP'!D147+'T3 ANSP'!D157,$D$635)</f>
        <v>0</v>
      </c>
      <c r="T635" s="879" t="b">
        <f>ROUND('T2 ANSP'!D46,$D$635)=ROUND('T3 ANSP'!D148+'T3 ANSP'!D158,$D$635)</f>
        <v>0</v>
      </c>
      <c r="U635" s="879" t="b">
        <f>ROUND('T2 ANSP'!E46,$D$635)=ROUND('T3 ANSP'!D149+'T3 ANSP'!D159,$D$635)</f>
        <v>0</v>
      </c>
      <c r="V635" s="879" t="b">
        <f>ROUND('T2 ANSP'!F46,$D$635)=ROUND('T3 ANSP'!D154+'T3 ANSP'!D161,$D$635)</f>
        <v>1</v>
      </c>
      <c r="W635" s="879" t="b">
        <f>ROUND('T2 ANSP'!G46,$D$635)=ROUND('T3 ANSP'!D155+'T3 ANSP'!D165,$D$635)</f>
        <v>1</v>
      </c>
    </row>
    <row r="636" spans="1:26" outlineLevel="1">
      <c r="A636" s="876"/>
      <c r="B636" s="876"/>
      <c r="C636" s="889" t="s">
        <v>283</v>
      </c>
      <c r="D636" s="890"/>
      <c r="E636" s="871"/>
      <c r="F636" s="871"/>
      <c r="G636" s="871"/>
      <c r="H636" s="871"/>
      <c r="I636" s="871"/>
      <c r="J636" s="162"/>
      <c r="K636" s="162"/>
      <c r="L636" s="162"/>
      <c r="S636" s="188">
        <f>ROUND('T2 ANSP'!C46,$D$635)</f>
        <v>-4460.2110000000002</v>
      </c>
      <c r="T636" s="188">
        <f>ROUND('T2 ANSP'!D46,$D$635)</f>
        <v>-7443.1509999999998</v>
      </c>
      <c r="U636" s="188">
        <f>ROUND('T2 ANSP'!E46,$D$635)</f>
        <v>-5649.8990000000003</v>
      </c>
      <c r="V636" s="188">
        <f>ROUND('T2 ANSP'!F46,$D$635)</f>
        <v>0</v>
      </c>
      <c r="W636" s="188">
        <f>ROUND('T2 ANSP'!G46,$D$635)</f>
        <v>0</v>
      </c>
    </row>
    <row r="637" spans="1:26" outlineLevel="1">
      <c r="A637" s="876"/>
      <c r="B637" s="876"/>
      <c r="C637" s="889" t="s">
        <v>284</v>
      </c>
      <c r="D637" s="890"/>
      <c r="E637" s="871"/>
      <c r="F637" s="871"/>
      <c r="G637" s="871"/>
      <c r="H637" s="871"/>
      <c r="I637" s="871"/>
      <c r="J637" s="162"/>
      <c r="K637" s="162"/>
      <c r="L637" s="162"/>
      <c r="S637" s="188">
        <f>ROUND('T3 ANSP'!D147+'T3 ANSP'!D157,$D$635)</f>
        <v>-40533.934999999998</v>
      </c>
      <c r="T637" s="188">
        <f>ROUND('T3 ANSP'!D148+'T3 ANSP'!D158,$D$635)</f>
        <v>-38275.366000000002</v>
      </c>
      <c r="U637" s="188">
        <f>ROUND('T3 ANSP'!D149+'T3 ANSP'!D159,$D$635)</f>
        <v>-12125.51</v>
      </c>
      <c r="V637" s="188">
        <f>ROUND('T3 ANSP'!D154+'T3 ANSP'!D161,$D$635)</f>
        <v>0</v>
      </c>
      <c r="W637" s="188">
        <f>ROUND('T3 ANSP'!D155+'T3 ANSP'!D165,$D$635)</f>
        <v>0</v>
      </c>
    </row>
    <row r="638" spans="1:26">
      <c r="A638" s="876" t="s">
        <v>216</v>
      </c>
      <c r="B638" s="876" t="s">
        <v>291</v>
      </c>
      <c r="C638" s="888" t="s">
        <v>292</v>
      </c>
      <c r="D638" s="863">
        <v>3</v>
      </c>
      <c r="E638" s="871"/>
      <c r="F638" s="871"/>
      <c r="G638" s="871"/>
      <c r="H638" s="871"/>
      <c r="I638" s="871"/>
      <c r="J638" s="162"/>
      <c r="K638" s="162"/>
      <c r="L638" s="162"/>
      <c r="S638" s="879" t="b">
        <f>ROUND('T2 ANSP'!C54,$D$638)=ROUND('T3 ANSP'!D117,$D$638)</f>
        <v>1</v>
      </c>
      <c r="T638" s="879" t="b">
        <f>ROUND('T2 ANSP'!D54,$D$638)=ROUND('T3 ANSP'!D118,$D$638)</f>
        <v>1</v>
      </c>
      <c r="U638" s="879" t="b">
        <f>ROUND('T2 ANSP'!E54,$D$638)=ROUND('T3 ANSP'!D119,$D$638)</f>
        <v>1</v>
      </c>
      <c r="V638" s="879" t="b">
        <f>ROUND('T2 ANSP'!F54,$D$638)=ROUND('T3 ANSP'!D121,$D$638)</f>
        <v>1</v>
      </c>
      <c r="W638" s="879" t="b">
        <f>ROUND('T2 ANSP'!G54,$D$638)=ROUND('T3 ANSP'!D125,$D$638)</f>
        <v>1</v>
      </c>
    </row>
    <row r="639" spans="1:26" outlineLevel="1">
      <c r="A639" s="876"/>
      <c r="B639" s="876"/>
      <c r="C639" s="889" t="s">
        <v>283</v>
      </c>
      <c r="D639" s="890"/>
      <c r="E639" s="871"/>
      <c r="F639" s="871"/>
      <c r="G639" s="871"/>
      <c r="H639" s="871"/>
      <c r="I639" s="871"/>
      <c r="J639" s="162"/>
      <c r="K639" s="162"/>
      <c r="L639" s="162"/>
      <c r="S639" s="188">
        <f>ROUND('T2 ANSP'!C54,$D$638)</f>
        <v>0</v>
      </c>
      <c r="T639" s="188">
        <f>ROUND('T2 ANSP'!D54,$D$638)</f>
        <v>0</v>
      </c>
      <c r="U639" s="188">
        <f>ROUND('T2 ANSP'!E54,$D$638)</f>
        <v>0</v>
      </c>
      <c r="V639" s="188">
        <f>ROUND('T2 ANSP'!F54,$D$638)</f>
        <v>0</v>
      </c>
      <c r="W639" s="188">
        <f>ROUND('T2 ANSP'!G54,$D$638)</f>
        <v>0</v>
      </c>
    </row>
    <row r="640" spans="1:26" outlineLevel="1">
      <c r="A640" s="876"/>
      <c r="B640" s="876"/>
      <c r="C640" s="889" t="s">
        <v>284</v>
      </c>
      <c r="D640" s="890"/>
      <c r="E640" s="871"/>
      <c r="F640" s="871"/>
      <c r="G640" s="871"/>
      <c r="H640" s="871"/>
      <c r="I640" s="871"/>
      <c r="J640" s="162"/>
      <c r="K640" s="162"/>
      <c r="L640" s="162"/>
      <c r="S640" s="188">
        <f>ROUND('T3 ANSP'!D117,$D$638)</f>
        <v>0</v>
      </c>
      <c r="T640" s="188">
        <f>ROUND('T3 ANSP'!D118,$D$638)</f>
        <v>0</v>
      </c>
      <c r="U640" s="188">
        <f>ROUND('T3 ANSP'!D119,$D$638)</f>
        <v>0</v>
      </c>
      <c r="V640" s="188">
        <f>ROUND('T3 ANSP'!D121,$D$638)</f>
        <v>0</v>
      </c>
      <c r="W640" s="188">
        <f>ROUND('T3 ANSP'!D125,$D$638)</f>
        <v>0</v>
      </c>
    </row>
    <row r="641" spans="1:23">
      <c r="A641" s="876" t="s">
        <v>219</v>
      </c>
      <c r="B641" s="876" t="s">
        <v>293</v>
      </c>
      <c r="C641" s="888" t="s">
        <v>294</v>
      </c>
      <c r="D641" s="863">
        <v>3</v>
      </c>
      <c r="E641" s="871"/>
      <c r="F641" s="871"/>
      <c r="G641" s="871"/>
      <c r="H641" s="871"/>
      <c r="I641" s="871"/>
      <c r="J641" s="162"/>
      <c r="K641" s="162"/>
      <c r="L641" s="162"/>
      <c r="S641" s="879" t="b">
        <f>ROUND('T2 ANSP'!C59,$D$641)=ROUND('T3 ANSP'!D132,$D$641)</f>
        <v>1</v>
      </c>
      <c r="T641" s="879" t="b">
        <f>ROUND('T2 ANSP'!D59,$D$641)=ROUND('T3 ANSP'!D133,$D$641)</f>
        <v>1</v>
      </c>
      <c r="U641" s="879" t="b">
        <f>ROUND('T2 ANSP'!E59,$D$641)=ROUND('T3 ANSP'!D134,$D$641)</f>
        <v>1</v>
      </c>
      <c r="V641" s="879" t="b">
        <f>ROUND('T2 ANSP'!F59,$D$641)=ROUND('T3 ANSP'!D136,$D$641)</f>
        <v>1</v>
      </c>
      <c r="W641" s="879" t="b">
        <f>ROUND('T2 ANSP'!G59,$D$641)=ROUND('T3 ANSP'!D140,$D$641)</f>
        <v>1</v>
      </c>
    </row>
    <row r="642" spans="1:23" outlineLevel="1">
      <c r="A642" s="876"/>
      <c r="B642" s="876"/>
      <c r="C642" s="889" t="s">
        <v>283</v>
      </c>
      <c r="D642" s="890"/>
      <c r="E642" s="871"/>
      <c r="F642" s="871"/>
      <c r="G642" s="871"/>
      <c r="H642" s="871"/>
      <c r="I642" s="871"/>
      <c r="J642" s="162"/>
      <c r="K642" s="162"/>
      <c r="L642" s="162"/>
      <c r="S642" s="188">
        <f>ROUND('T2 ANSP'!C59,$D$641)</f>
        <v>0</v>
      </c>
      <c r="T642" s="188">
        <f>ROUND('T2 ANSP'!D59,$D$641)</f>
        <v>0</v>
      </c>
      <c r="U642" s="188">
        <f>ROUND('T2 ANSP'!E59,$D$641)</f>
        <v>0</v>
      </c>
      <c r="V642" s="188">
        <f>ROUND('T2 ANSP'!F59,$D$641)</f>
        <v>0</v>
      </c>
      <c r="W642" s="188">
        <f>ROUND('T2 ANSP'!G59,$D$641)</f>
        <v>0</v>
      </c>
    </row>
    <row r="643" spans="1:23" outlineLevel="1">
      <c r="A643" s="876"/>
      <c r="B643" s="876"/>
      <c r="C643" s="889" t="s">
        <v>284</v>
      </c>
      <c r="D643" s="890"/>
      <c r="E643" s="871"/>
      <c r="F643" s="871"/>
      <c r="G643" s="871"/>
      <c r="H643" s="871"/>
      <c r="I643" s="871"/>
      <c r="J643" s="162"/>
      <c r="K643" s="162"/>
      <c r="L643" s="162"/>
      <c r="S643" s="188">
        <f>ROUND('T3 ANSP'!D132,$D$641)</f>
        <v>0</v>
      </c>
      <c r="T643" s="188">
        <f>ROUND('T3 ANSP'!D133,$D$641)</f>
        <v>0</v>
      </c>
      <c r="U643" s="188">
        <f>ROUND('T3 ANSP'!D134,$D$641)</f>
        <v>0</v>
      </c>
      <c r="V643" s="188">
        <f>ROUND('T3 ANSP'!D136,$D$641)</f>
        <v>0</v>
      </c>
      <c r="W643" s="188">
        <f>ROUND('T3 ANSP'!D140,$D$641)</f>
        <v>0</v>
      </c>
    </row>
    <row r="644" spans="1:23">
      <c r="A644" s="876" t="s">
        <v>231</v>
      </c>
      <c r="B644" s="876" t="s">
        <v>295</v>
      </c>
      <c r="C644" s="888" t="s">
        <v>296</v>
      </c>
      <c r="D644" s="863">
        <v>3</v>
      </c>
      <c r="E644" s="871"/>
      <c r="F644" s="871"/>
      <c r="G644" s="871"/>
      <c r="H644" s="871"/>
      <c r="I644" s="871"/>
      <c r="J644" s="162"/>
      <c r="K644" s="162"/>
      <c r="L644" s="162"/>
      <c r="S644" s="879" t="b">
        <f>ROUND('T2 ANSP'!C63,$D$644)=ROUND('T3 ANSP'!D228,$D$644)</f>
        <v>1</v>
      </c>
      <c r="T644" s="879" t="b">
        <f>ROUND('T2 ANSP'!D63,$D$644)=ROUND('T3 ANSP'!D229,$D$644)</f>
        <v>1</v>
      </c>
      <c r="U644" s="879" t="b">
        <f>ROUND('T2 ANSP'!E63,$D$644)=ROUND('T3 ANSP'!D230,$D$644)</f>
        <v>1</v>
      </c>
      <c r="V644" s="879" t="b">
        <f>ROUND('T2 ANSP'!F63,$D$644)=ROUND('T3 ANSP'!D232,$D$644)</f>
        <v>1</v>
      </c>
      <c r="W644" s="879" t="b">
        <f>ROUND('T2 ANSP'!G63,$D$644)=ROUND('T3 ANSP'!D236,$D$644)</f>
        <v>1</v>
      </c>
    </row>
    <row r="645" spans="1:23" outlineLevel="1">
      <c r="A645" s="876"/>
      <c r="B645" s="876"/>
      <c r="C645" s="889" t="s">
        <v>283</v>
      </c>
      <c r="D645" s="890"/>
      <c r="E645" s="871"/>
      <c r="F645" s="871"/>
      <c r="G645" s="871"/>
      <c r="H645" s="871"/>
      <c r="I645" s="871"/>
      <c r="J645" s="162"/>
      <c r="K645" s="162"/>
      <c r="L645" s="162"/>
      <c r="S645" s="188">
        <f>ROUND('T2 ANSP'!C63,$D$644)</f>
        <v>4635.6629999999996</v>
      </c>
      <c r="T645" s="188">
        <f>ROUND('T2 ANSP'!D63,$D$644)</f>
        <v>0</v>
      </c>
      <c r="U645" s="188">
        <f>ROUND('T2 ANSP'!E63,$D$644)</f>
        <v>0</v>
      </c>
      <c r="V645" s="188">
        <f>ROUND('T2 ANSP'!F63,$D$644)</f>
        <v>0</v>
      </c>
      <c r="W645" s="188">
        <f>ROUND('T2 ANSP'!G63,$D$644)</f>
        <v>0</v>
      </c>
    </row>
    <row r="646" spans="1:23" outlineLevel="1">
      <c r="A646" s="876"/>
      <c r="B646" s="876"/>
      <c r="C646" s="889" t="s">
        <v>284</v>
      </c>
      <c r="D646" s="890"/>
      <c r="E646" s="871"/>
      <c r="F646" s="871"/>
      <c r="G646" s="871"/>
      <c r="H646" s="871"/>
      <c r="I646" s="871"/>
      <c r="J646" s="162"/>
      <c r="K646" s="162"/>
      <c r="L646" s="162"/>
      <c r="S646" s="188">
        <f>ROUND('T3 ANSP'!D228,$D$644)</f>
        <v>4635.6629999999996</v>
      </c>
      <c r="T646" s="188">
        <f>ROUND('T3 ANSP'!D229,$D$644)</f>
        <v>0</v>
      </c>
      <c r="U646" s="188">
        <f>ROUND('T3 ANSP'!D230,$D$644)</f>
        <v>0</v>
      </c>
      <c r="V646" s="188">
        <f>ROUND('T3 ANSP'!D232,$D$644)</f>
        <v>0</v>
      </c>
      <c r="W646" s="188">
        <f>ROUND('T3 ANSP'!D236,$D$644)</f>
        <v>0</v>
      </c>
    </row>
    <row r="647" spans="1:23">
      <c r="A647" s="876" t="s">
        <v>297</v>
      </c>
      <c r="B647" s="876" t="s">
        <v>298</v>
      </c>
      <c r="C647" s="888" t="s">
        <v>299</v>
      </c>
      <c r="D647" s="863">
        <v>3</v>
      </c>
      <c r="E647" s="871"/>
      <c r="F647" s="871"/>
      <c r="G647" s="871"/>
      <c r="H647" s="871"/>
      <c r="I647" s="871"/>
      <c r="J647" s="162"/>
      <c r="K647" s="162"/>
      <c r="L647" s="162"/>
      <c r="S647" s="879" t="b">
        <f>ROUND('T2 ANSP'!C66,$D$647)=ROUND('T3 ANSP'!D239,$D$647)</f>
        <v>1</v>
      </c>
      <c r="T647" s="879" t="b">
        <f>ROUND('T2 ANSP'!D66,$D$647)=ROUND('T3 ANSP'!D240,$D$647)</f>
        <v>1</v>
      </c>
      <c r="U647" s="879" t="b">
        <f>ROUND('T2 ANSP'!E66,$D$647)=ROUND('T3 ANSP'!D241,$D$647)</f>
        <v>1</v>
      </c>
      <c r="V647" s="879" t="e">
        <f>ROUND('T2 ANSP'!F66,$D$647)=ROUND('T3 ANSP'!E241,$D$647)</f>
        <v>#VALUE!</v>
      </c>
      <c r="W647" s="879" t="e">
        <f>ROUND('T2 ANSP'!G66,$D$647)=ROUND('T3 ANSP'!F241,$D$647)</f>
        <v>#VALUE!</v>
      </c>
    </row>
    <row r="648" spans="1:23" outlineLevel="1">
      <c r="A648" s="876"/>
      <c r="B648" s="876"/>
      <c r="C648" s="889" t="s">
        <v>283</v>
      </c>
      <c r="D648" s="890"/>
      <c r="E648" s="871"/>
      <c r="F648" s="871"/>
      <c r="G648" s="871"/>
      <c r="H648" s="871"/>
      <c r="I648" s="871"/>
      <c r="J648" s="162"/>
      <c r="K648" s="162"/>
      <c r="L648" s="162"/>
      <c r="S648" s="188">
        <f>ROUND('T2 ANSP'!C66,$D$647)</f>
        <v>0</v>
      </c>
      <c r="T648" s="188">
        <f>ROUND('T2 ANSP'!D66,$D$647)</f>
        <v>0</v>
      </c>
      <c r="U648" s="188">
        <f>ROUND('T2 ANSP'!E66,$D$647)</f>
        <v>0</v>
      </c>
      <c r="V648" s="188" t="e">
        <f>ROUND('T2 ANSP'!F66,$D$647)</f>
        <v>#VALUE!</v>
      </c>
      <c r="W648" s="188" t="e">
        <f>ROUND('T2 ANSP'!G66,$D$647)</f>
        <v>#VALUE!</v>
      </c>
    </row>
    <row r="649" spans="1:23" outlineLevel="1">
      <c r="A649" s="876"/>
      <c r="B649" s="876"/>
      <c r="C649" s="889" t="s">
        <v>284</v>
      </c>
      <c r="D649" s="890"/>
      <c r="E649" s="871"/>
      <c r="F649" s="871"/>
      <c r="G649" s="871"/>
      <c r="H649" s="871"/>
      <c r="I649" s="871"/>
      <c r="J649" s="162"/>
      <c r="K649" s="162"/>
      <c r="L649" s="162"/>
      <c r="S649" s="188">
        <f>ROUND('T3 ANSP'!D239,$D$647)</f>
        <v>0</v>
      </c>
      <c r="T649" s="188">
        <f>ROUND('T3 ANSP'!D240,$D$647)</f>
        <v>0</v>
      </c>
      <c r="U649" s="188">
        <f>ROUND('T3 ANSP'!D241,$D$647)</f>
        <v>0</v>
      </c>
      <c r="V649" s="188">
        <f>ROUND('T3 ANSP'!E241,$D$647)</f>
        <v>0</v>
      </c>
      <c r="W649" s="188">
        <f>ROUND('T3 ANSP'!F241,$D$647)</f>
        <v>0</v>
      </c>
    </row>
    <row r="650" spans="1:23">
      <c r="A650" s="876" t="s">
        <v>300</v>
      </c>
      <c r="B650" s="876" t="s">
        <v>301</v>
      </c>
      <c r="C650" s="888" t="s">
        <v>302</v>
      </c>
      <c r="D650" s="863">
        <v>3</v>
      </c>
      <c r="E650" s="871"/>
      <c r="F650" s="871"/>
      <c r="G650" s="871"/>
      <c r="H650" s="871"/>
      <c r="I650" s="871"/>
      <c r="J650" s="162"/>
      <c r="K650" s="162"/>
      <c r="L650" s="162"/>
      <c r="S650" s="879" t="b">
        <f>ROUND('T2 ANSP'!C73,$D$650)=ROUND('T3 ANSP'!D172+'T3 ANSP'!D187+'T3 ANSP'!D202+'T3 ANSP'!D228,$D$650)</f>
        <v>0</v>
      </c>
      <c r="T650" s="879" t="b">
        <f>ROUND('T2 ANSP'!D73,$D$650)=ROUND('T3 ANSP'!D173+'T3 ANSP'!D188+'T3 ANSP'!D203+'T3 ANSP'!D229,$D$650)</f>
        <v>1</v>
      </c>
      <c r="U650" s="879" t="b">
        <f>ROUND('T2 ANSP'!E73,$D$650)=ROUND('T3 ANSP'!D174+'T3 ANSP'!D189+'T3 ANSP'!D208+'T3 ANSP'!D230,$D$650)</f>
        <v>1</v>
      </c>
      <c r="V650" s="879" t="b">
        <f>ROUND('T2 ANSP'!F73,$D$650)=ROUND('T3 ANSP'!D176+'T3 ANSP'!D194+'T3 ANSP'!D209+'T3 ANSP'!D232,$D$650)</f>
        <v>1</v>
      </c>
      <c r="W650" s="879" t="b">
        <f>ROUND('T2 ANSP'!G73,$D$650)=ROUND('T3 ANSP'!E176+'T3 ANSP'!E194+'T3 ANSP'!E209+'T3 ANSP'!E232,$D$650)</f>
        <v>0</v>
      </c>
    </row>
    <row r="651" spans="1:23" outlineLevel="1">
      <c r="A651" s="876"/>
      <c r="B651" s="876"/>
      <c r="C651" s="889" t="s">
        <v>283</v>
      </c>
      <c r="D651" s="890"/>
      <c r="E651" s="871"/>
      <c r="F651" s="871"/>
      <c r="G651" s="871"/>
      <c r="H651" s="871"/>
      <c r="I651" s="871"/>
      <c r="J651" s="162"/>
      <c r="K651" s="162"/>
      <c r="L651" s="162"/>
      <c r="S651" s="188">
        <f>ROUND('T2 ANSP'!C73,$D$650)</f>
        <v>-7473.076</v>
      </c>
      <c r="T651" s="188">
        <f>ROUND('T2 ANSP'!D73,$D$650)</f>
        <v>-13037.437</v>
      </c>
      <c r="U651" s="188">
        <f>ROUND('T2 ANSP'!E73,$D$650)</f>
        <v>-31197.739000000001</v>
      </c>
      <c r="V651" s="188">
        <f>ROUND('T2 ANSP'!F73,$D$650)</f>
        <v>-5462.5370000000003</v>
      </c>
      <c r="W651" s="188">
        <f>ROUND('T2 ANSP'!G73,$D$650)</f>
        <v>-3040.8229999999999</v>
      </c>
    </row>
    <row r="652" spans="1:23" outlineLevel="1">
      <c r="A652" s="876"/>
      <c r="B652" s="876"/>
      <c r="C652" s="889" t="s">
        <v>284</v>
      </c>
      <c r="D652" s="890"/>
      <c r="E652" s="871"/>
      <c r="F652" s="871"/>
      <c r="G652" s="871"/>
      <c r="H652" s="871"/>
      <c r="I652" s="871"/>
      <c r="J652" s="162"/>
      <c r="K652" s="162"/>
      <c r="L652" s="162"/>
      <c r="S652" s="188">
        <f>ROUND('T3 ANSP'!D172+'T3 ANSP'!D187+'T3 ANSP'!D202+'T3 ANSP'!D228,$D$650)</f>
        <v>-2837.413</v>
      </c>
      <c r="T652" s="188">
        <f>ROUND('T3 ANSP'!D173+'T3 ANSP'!D188+'T3 ANSP'!D203+'T3 ANSP'!D229,$D$650)</f>
        <v>-13037.437</v>
      </c>
      <c r="U652" s="188">
        <f>ROUND('T3 ANSP'!D174+'T3 ANSP'!D189+'T3 ANSP'!D208+'T3 ANSP'!D230,$D$650)</f>
        <v>-31197.739000000001</v>
      </c>
      <c r="V652" s="188">
        <f>ROUND('T3 ANSP'!D176+'T3 ANSP'!D194+'T3 ANSP'!D209+'T3 ANSP'!D232,$D$650)</f>
        <v>-5462.5370000000003</v>
      </c>
      <c r="W652" s="188">
        <f>ROUND('T3 ANSP'!E176+'T3 ANSP'!E194+'T3 ANSP'!E209+'T3 ANSP'!E232,$D$650)</f>
        <v>0</v>
      </c>
    </row>
    <row r="653" spans="1:23" s="871" customFormat="1">
      <c r="A653" s="876" t="s">
        <v>303</v>
      </c>
      <c r="B653" s="876" t="s">
        <v>304</v>
      </c>
      <c r="C653" s="877" t="s">
        <v>305</v>
      </c>
      <c r="D653" s="890"/>
      <c r="L653" s="162"/>
      <c r="M653" s="162"/>
      <c r="R653" s="162"/>
      <c r="S653" s="879" t="b">
        <f>SUM('T3 ANSP'!$E$10,'T3 ANSP'!$E$12:$E$20,'T3 ANSP'!$E$25,'T3 ANSP'!$E$27:$E$35,'T3 ANSP'!$E$38:$E$46,'T3 ANSP'!$E$49:$E$57,'T3 ANSP'!$E$60:$E$68,'T3 ANSP'!$E$71:$E$79,'T3 ANSP'!$E$82:$E$90,'T3 ANSP'!$E$93:$E$101,'T3 ANSP'!$E$256,'T3 ANSP'!$E$115,'T3 ANSP'!$E$117:$E$125,'T3 ANSP'!$E$130,'T3 ANSP'!$E$132:$E$140,'T3 ANSP'!$E$145,'T3 ANSP'!$E$147:$E$155,'T3 ANSP'!$E$157:$E$165)=0</f>
        <v>1</v>
      </c>
      <c r="T653" s="879" t="b">
        <f>SUM('T3 ANSP'!$F$12:$F$20,'T3 ANSP'!$F$27:$F$35,'T3 ANSP'!$F$38:$F$46,'T3 ANSP'!$F$49:$F$57,'T3 ANSP'!$F$60:$F$68,'T3 ANSP'!$F$71:$F$79,'T3 ANSP'!$F$82:$F$90,'T3 ANSP'!$F$93:$F$101,'T3 ANSP'!$F$117:$F$125,'T3 ANSP'!$F$132:$F$140,'T3 ANSP'!$F$147:$F$155,'T3 ANSP'!$F$157:$F$165)=0</f>
        <v>1</v>
      </c>
      <c r="U653" s="879" t="b">
        <f>SUM('T3 ANSP'!$G$13:$G$20,'T3 ANSP'!$G$28:$G$35,'T3 ANSP'!$G$39:$G$46,'T3 ANSP'!$G$50:$G$57,'T3 ANSP'!$G$61:$G$68,'T3 ANSP'!$G$72:$G$79,'T3 ANSP'!$G$83:$G$90,'T3 ANSP'!$G$94:$G$101,'T3 ANSP'!$G$118:$G$125,'T3 ANSP'!$G$133:$G$140,'T3 ANSP'!$G$148:$G$155,'T3 ANSP'!$G$158:$G$165)=0</f>
        <v>0</v>
      </c>
      <c r="V653" s="879" t="b">
        <f>SUM('T3 ANSP'!$H$14:$H$20,'T3 ANSP'!$H$29:$H$35,'T3 ANSP'!$H$40:$H$46,'T3 ANSP'!$H$51:$H$57,'T3 ANSP'!$H$62:$H$68,'T3 ANSP'!$H$73:$H$79,'T3 ANSP'!$H$84:$H$90,'T3 ANSP'!$H$95:$H$101,'T3 ANSP'!$H$119:$H$125,'T3 ANSP'!$H$134:$H$140,'T3 ANSP'!$H$149:$H$155,'T3 ANSP'!$H$159:$H$165)=0</f>
        <v>0</v>
      </c>
      <c r="W653" s="879" t="b">
        <f>SUM('T3 ANSP'!$I$16:$I$20,'T3 ANSP'!$I$31:$I$35,'T3 ANSP'!$I$42:$I$46,'T3 ANSP'!$I$53:$I$57,'T3 ANSP'!$I$64:$I$68,'T3 ANSP'!$I$75:$I$79,'T3 ANSP'!$I$89:$I$90,'T3 ANSP'!$I$100:$I$101,'T3 ANSP'!$I$121:$I$125,'T3 ANSP'!$I$136:$I$140,'T3 ANSP'!$I$154:$I$155,'T3 ANSP'!$I$161:$I$165)=0</f>
        <v>1</v>
      </c>
    </row>
    <row r="654" spans="1:23" outlineLevel="1">
      <c r="A654" s="876"/>
      <c r="B654" s="876"/>
      <c r="C654" s="880" t="s">
        <v>306</v>
      </c>
      <c r="D654" s="890"/>
      <c r="J654" s="162"/>
      <c r="K654" s="162"/>
      <c r="L654" s="162"/>
      <c r="S654" s="188">
        <f>SUM('T3 ANSP'!$E$10,'T3 ANSP'!$E$12:$E$20,'T3 ANSP'!$E$25,'T3 ANSP'!$E$27:$E$35,'T3 ANSP'!$E$38:$E$46,'T3 ANSP'!$E$49:$E$57,'T3 ANSP'!$E$60:$E$68,'T3 ANSP'!$E$71:$E$79,'T3 ANSP'!$E$82:$E$90,'T3 ANSP'!$E$93:$E$101,'T3 ANSP'!$E$256,'T3 ANSP'!$E$115,'T3 ANSP'!$E$117:$E$125,'T3 ANSP'!$E$130,'T3 ANSP'!$E$132:$E$140,'T3 ANSP'!$E$145,'T3 ANSP'!$E$147:$E$155,'T3 ANSP'!$E$157:$E$165)</f>
        <v>0</v>
      </c>
      <c r="T654" s="188">
        <f>SUM('T3 ANSP'!$F$12:$F$20,'T3 ANSP'!$F$27:$F$35,'T3 ANSP'!$F$38:$F$46,'T3 ANSP'!$F$49:$F$57,'T3 ANSP'!$F$60:$F$68,'T3 ANSP'!$F$71:$F$79,'T3 ANSP'!$F$82:$F$90,'T3 ANSP'!$F$93:$F$101,'T3 ANSP'!$F$117:$F$125,'T3 ANSP'!$F$132:$F$140,'T3 ANSP'!$F$147:$F$155,'T3 ANSP'!$F$157:$F$165)</f>
        <v>0</v>
      </c>
      <c r="U654" s="188">
        <f>SUM('T3 ANSP'!$G$13:$G$20,'T3 ANSP'!$G$28:$G$35,'T3 ANSP'!$G$39:$G$46,'T3 ANSP'!$G$50:$G$57,'T3 ANSP'!$G$61:$G$68,'T3 ANSP'!$G$72:$G$79,'T3 ANSP'!$G$83:$G$90,'T3 ANSP'!$G$94:$G$101,'T3 ANSP'!$G$118:$G$125,'T3 ANSP'!$G$133:$G$140,'T3 ANSP'!$G$148:$G$155,'T3 ANSP'!$G$158:$G$165)</f>
        <v>-48046.104581640146</v>
      </c>
      <c r="V654" s="188">
        <f>SUM('T3 ANSP'!$H$14:$H$20,'T3 ANSP'!$H$29:$H$35,'T3 ANSP'!$H$40:$H$46,'T3 ANSP'!$H$51:$H$57,'T3 ANSP'!$H$62:$H$68,'T3 ANSP'!$H$73:$H$79,'T3 ANSP'!$H$84:$H$90,'T3 ANSP'!$H$95:$H$101,'T3 ANSP'!$H$119:$H$125,'T3 ANSP'!$H$134:$H$140,'T3 ANSP'!$H$149:$H$155,'T3 ANSP'!$H$159:$H$165)</f>
        <v>-42245.232366038668</v>
      </c>
      <c r="W654" s="188">
        <f>SUM('T3 ANSP'!$I$16:$I$20,'T3 ANSP'!$I$31:$I$35,'T3 ANSP'!$I$42:$I$46,'T3 ANSP'!$I$53:$I$57,'T3 ANSP'!$I$64:$I$68,'T3 ANSP'!$I$75:$I$79,'T3 ANSP'!$I$89:$I$90,'T3 ANSP'!$I$100:$I$101,'T3 ANSP'!$I$121:$I$125,'T3 ANSP'!$I$136:$I$140,'T3 ANSP'!$I$154:$I$155,'T3 ANSP'!$I$161:$I$165)</f>
        <v>0</v>
      </c>
    </row>
    <row r="655" spans="1:23">
      <c r="A655" s="876" t="s">
        <v>307</v>
      </c>
      <c r="B655" s="876" t="s">
        <v>308</v>
      </c>
      <c r="C655" s="877" t="s">
        <v>309</v>
      </c>
      <c r="D655" s="863">
        <v>3</v>
      </c>
      <c r="J655" s="162"/>
      <c r="K655" s="162"/>
      <c r="L655" s="162"/>
      <c r="S655" s="879" t="b">
        <f>ROUND(SUM('T3 ANSP'!E104:E105),$D$655)=0</f>
        <v>0</v>
      </c>
    </row>
    <row r="656" spans="1:23" outlineLevel="1">
      <c r="A656" s="876"/>
      <c r="B656" s="876"/>
      <c r="C656" s="880" t="s">
        <v>310</v>
      </c>
      <c r="D656" s="890"/>
      <c r="J656" s="162"/>
      <c r="K656" s="162"/>
      <c r="L656" s="162"/>
      <c r="S656" s="188">
        <f>ROUND(SUM('T3 ANSP'!E104:E105),$D$655)</f>
        <v>1590.664</v>
      </c>
    </row>
    <row r="657" spans="1:26" outlineLevel="1">
      <c r="A657" s="876"/>
      <c r="B657" s="876"/>
      <c r="C657" s="880" t="s">
        <v>311</v>
      </c>
      <c r="D657" s="890"/>
      <c r="J657" s="162"/>
      <c r="K657" s="162"/>
      <c r="L657" s="162"/>
      <c r="S657" s="188">
        <f>0</f>
        <v>0</v>
      </c>
    </row>
    <row r="658" spans="1:26" s="183" customFormat="1" ht="18">
      <c r="A658" s="172" t="s">
        <v>13</v>
      </c>
      <c r="B658" s="173" t="s">
        <v>14</v>
      </c>
      <c r="C658" s="174" t="s">
        <v>313</v>
      </c>
      <c r="D658" s="894"/>
      <c r="E658" s="873"/>
      <c r="F658" s="873"/>
      <c r="G658" s="873"/>
      <c r="H658" s="873"/>
      <c r="I658" s="873"/>
      <c r="J658" s="873"/>
      <c r="K658" s="873"/>
      <c r="L658" s="873"/>
      <c r="M658" s="873"/>
      <c r="N658" s="873"/>
      <c r="O658" s="873"/>
      <c r="P658" s="873"/>
      <c r="Q658" s="873"/>
      <c r="R658" s="162"/>
      <c r="S658" s="873"/>
      <c r="T658" s="873"/>
      <c r="U658" s="873"/>
      <c r="V658" s="873"/>
      <c r="W658" s="873"/>
      <c r="X658" s="871"/>
      <c r="Y658" s="871"/>
      <c r="Z658" s="871"/>
    </row>
    <row r="659" spans="1:26" s="891" customFormat="1">
      <c r="A659" s="875" t="s">
        <v>234</v>
      </c>
      <c r="B659" s="876" t="s">
        <v>277</v>
      </c>
      <c r="C659" s="888" t="s">
        <v>278</v>
      </c>
      <c r="D659" s="863">
        <v>3</v>
      </c>
      <c r="E659" s="871"/>
      <c r="F659" s="871"/>
      <c r="G659" s="871"/>
      <c r="H659" s="871"/>
      <c r="I659" s="871"/>
      <c r="R659" s="162"/>
      <c r="S659" s="879" t="b">
        <f>ROUND('T2 MET'!C78,$D$659)=ROUND(SUM('T3 MET'!D12,'T3 MET'!D23,'T3 MET'!D30,'T3 MET'!D37,'T3 MET'!D44,'T3 MET'!D51,'T3 MET'!D58,'T3 MET'!D65,'T3 MET'!D81,'T3 MET'!D92,'T3 MET'!D103,'T3 MET'!D109,'T3 MET'!D120,'T3 MET'!D131,'T3 MET'!D142,'T3 MET'!D153,'T3 MET'!D160,'T3 MET'!D167),$D$659)</f>
        <v>0</v>
      </c>
      <c r="T659" s="879" t="b">
        <f>ROUND('T2 MET'!D78,$D$659)=ROUND(SUM('T3 MET'!D13,'T3 MET'!D24,'T3 MET'!D31,'T3 MET'!D38,'T3 MET'!D45,'T3 MET'!D52,'T3 MET'!D59,'T3 MET'!D66,'T3 MET'!D82,'T3 MET'!D93,'T3 MET'!D104,'T3 MET'!D110,'T3 MET'!D121,'T3 MET'!D132,'T3 MET'!D143,'T3 MET'!D154,'T3 MET'!D161,'T3 MET'!D168),$D$659)</f>
        <v>0</v>
      </c>
      <c r="U659" s="879" t="b">
        <f>ROUND('T2 MET'!E78,$D$659)=ROUND(SUM('T3 MET'!D14,'T3 MET'!D25,'T3 MET'!D32,'T3 MET'!D39,'T3 MET'!D46,'T3 MET'!D53,'T3 MET'!D60,'T3 MET'!D67,'T3 MET'!D83,'T3 MET'!D94,'T3 MET'!D105,'T3 MET'!D111,'T3 MET'!D122,'T3 MET'!D133,'T3 MET'!D144,'T3 MET'!D155,'T3 MET'!D162,'T3 MET'!D169),$D$659)</f>
        <v>0</v>
      </c>
      <c r="V659" s="879" t="b">
        <f>ROUND('T2 MET'!F78,$D$659)=ROUND(SUM('T3 MET'!D15,'T3 MET'!D26,'T3 MET'!D33,'T3 MET'!D40,'T3 MET'!D47,'T3 MET'!D54,'T3 MET'!D61,'T3 MET'!D68,'T3 MET'!D84,'T3 MET'!D95,'T3 MET'!D106,'T3 MET'!D112,'T3 MET'!D123,'T3 MET'!D134,'T3 MET'!D145,'T3 MET'!D156,'T3 MET'!D163,'T3 MET'!D170),$D$659)</f>
        <v>0</v>
      </c>
      <c r="W659" s="879" t="b">
        <f>ROUND('T2 MET'!G78,$D$659)=ROUND(SUM('T3 MET'!D16,'T3 MET'!D27,'T3 MET'!D34,'T3 MET'!D41,'T3 MET'!D48,'T3 MET'!D55,'T3 MET'!D62,'T3 MET'!D69,'T3 MET'!D85,'T3 MET'!D96,'T3 MET'!D107,'T3 MET'!D113,'T3 MET'!D124,'T3 MET'!D135,'T3 MET'!D146,'T3 MET'!D157,'T3 MET'!D164,'T3 MET'!D171),$D$659)</f>
        <v>0</v>
      </c>
      <c r="X659" s="871"/>
      <c r="Y659" s="871"/>
      <c r="Z659" s="871"/>
    </row>
    <row r="660" spans="1:26" outlineLevel="1">
      <c r="A660" s="876"/>
      <c r="B660" s="876"/>
      <c r="C660" s="889" t="s">
        <v>279</v>
      </c>
      <c r="D660" s="890"/>
      <c r="E660" s="871"/>
      <c r="F660" s="871"/>
      <c r="G660" s="871"/>
      <c r="H660" s="871"/>
      <c r="I660" s="871"/>
      <c r="J660" s="162"/>
      <c r="K660" s="162"/>
      <c r="L660" s="162"/>
      <c r="S660" s="188">
        <f>ROUND('T2 MET'!C78,$D$659)</f>
        <v>18128.078000000001</v>
      </c>
      <c r="T660" s="188">
        <f>ROUND('T2 MET'!D78,$D$659)</f>
        <v>17084.821</v>
      </c>
      <c r="U660" s="188">
        <f>ROUND('T2 MET'!E78,$D$659)</f>
        <v>11092.761</v>
      </c>
      <c r="V660" s="188">
        <f>ROUND('T2 MET'!F78,$D$659)</f>
        <v>0</v>
      </c>
      <c r="W660" s="188">
        <f>ROUND('T2 MET'!G78,$D$659)</f>
        <v>0</v>
      </c>
      <c r="X660" s="871"/>
      <c r="Y660" s="871"/>
      <c r="Z660" s="871"/>
    </row>
    <row r="661" spans="1:26" outlineLevel="1">
      <c r="A661" s="876"/>
      <c r="B661" s="876"/>
      <c r="C661" s="889" t="s">
        <v>280</v>
      </c>
      <c r="D661" s="890"/>
      <c r="E661" s="871"/>
      <c r="F661" s="871"/>
      <c r="G661" s="871"/>
      <c r="H661" s="871"/>
      <c r="I661" s="871"/>
      <c r="J661" s="162"/>
      <c r="K661" s="162"/>
      <c r="L661" s="162"/>
      <c r="S661" s="188">
        <f>ROUND(SUM('T3 MET'!D12,'T3 MET'!D23,'T3 MET'!D30,'T3 MET'!D37,'T3 MET'!D44,'T3 MET'!D51,'T3 MET'!D58,'T3 MET'!D65,'T3 MET'!D81,'T3 MET'!D92,'T3 MET'!D103,'T3 MET'!D109,'T3 MET'!D120,'T3 MET'!D131,'T3 MET'!D142,'T3 MET'!D153,'T3 MET'!D160,'T3 MET'!D167),$D$659)</f>
        <v>44428.432000000001</v>
      </c>
      <c r="T661" s="188">
        <f>ROUND(SUM('T3 MET'!D13,'T3 MET'!D24,'T3 MET'!D31,'T3 MET'!D38,'T3 MET'!D45,'T3 MET'!D52,'T3 MET'!D59,'T3 MET'!D66,'T3 MET'!D82,'T3 MET'!D93,'T3 MET'!D104,'T3 MET'!D110,'T3 MET'!D121,'T3 MET'!D132,'T3 MET'!D143,'T3 MET'!D154,'T3 MET'!D161,'T3 MET'!D168),$D$659)</f>
        <v>-153.071</v>
      </c>
      <c r="U661" s="188">
        <f>ROUND(SUM('T3 MET'!D14,'T3 MET'!D25,'T3 MET'!D32,'T3 MET'!D39,'T3 MET'!D46,'T3 MET'!D53,'T3 MET'!D60,'T3 MET'!D67,'T3 MET'!D83,'T3 MET'!D94,'T3 MET'!D105,'T3 MET'!D111,'T3 MET'!D122,'T3 MET'!D133,'T3 MET'!D144,'T3 MET'!D155,'T3 MET'!D162,'T3 MET'!D169),$D$659)</f>
        <v>-1335.701</v>
      </c>
      <c r="V661" s="188">
        <f>ROUND(SUM('T3 MET'!E14,'T3 MET'!E25,'T3 MET'!E32,'T3 MET'!E39,'T3 MET'!E46,'T3 MET'!E53,'T3 MET'!E60,'T3 MET'!E67,'T3 MET'!E83,'T3 MET'!E94,'T3 MET'!E105,'T3 MET'!E111,'T3 MET'!E122,'T3 MET'!E133,'T3 MET'!E144,'T3 MET'!E155,'T3 MET'!E162,'T3 MET'!E169),$D$659)</f>
        <v>-3366</v>
      </c>
      <c r="W661" s="188">
        <f>ROUND(SUM('T3 MET'!F14,'T3 MET'!F25,'T3 MET'!F32,'T3 MET'!F39,'T3 MET'!F46,'T3 MET'!F53,'T3 MET'!F60,'T3 MET'!F67,'T3 MET'!F83,'T3 MET'!F94,'T3 MET'!F105,'T3 MET'!F111,'T3 MET'!F122,'T3 MET'!F133,'T3 MET'!F144,'T3 MET'!F155,'T3 MET'!F162,'T3 MET'!F169),$D$659)</f>
        <v>0</v>
      </c>
      <c r="X661" s="871"/>
      <c r="Y661" s="871"/>
      <c r="Z661" s="871"/>
    </row>
    <row r="662" spans="1:26">
      <c r="A662" s="876" t="s">
        <v>205</v>
      </c>
      <c r="B662" s="876" t="s">
        <v>281</v>
      </c>
      <c r="C662" s="888" t="s">
        <v>282</v>
      </c>
      <c r="D662" s="863">
        <v>3</v>
      </c>
      <c r="E662" s="871"/>
      <c r="F662" s="871"/>
      <c r="G662" s="871"/>
      <c r="H662" s="871"/>
      <c r="I662" s="871"/>
      <c r="J662" s="162"/>
      <c r="K662" s="162"/>
      <c r="L662" s="162"/>
      <c r="S662" s="879" t="b">
        <f>ROUND('T2 MET'!C19,$D$662)=ROUND('T3 MET'!D12,$D$662)</f>
        <v>1</v>
      </c>
      <c r="T662" s="879" t="b">
        <f>ROUND('T2 MET'!D19,$D$662)=ROUND('T3 MET'!D13,$D$662)</f>
        <v>1</v>
      </c>
      <c r="U662" s="879" t="b">
        <f>ROUND('T2 MET'!E19,$D$662)=ROUND('T3 MET'!D14,$D$662)</f>
        <v>1</v>
      </c>
      <c r="V662" s="879" t="b">
        <f>ROUND('T2 MET'!F19,$D$662)=ROUND('T3 MET'!E14,$D$662)</f>
        <v>1</v>
      </c>
      <c r="W662" s="879" t="b">
        <f>ROUND('T2 MET'!G19,$D$662)=ROUND('T3 MET'!F14,$D$662)</f>
        <v>1</v>
      </c>
    </row>
    <row r="663" spans="1:26" outlineLevel="1">
      <c r="A663" s="876"/>
      <c r="B663" s="876"/>
      <c r="C663" s="889" t="s">
        <v>283</v>
      </c>
      <c r="D663" s="890"/>
      <c r="E663" s="871"/>
      <c r="F663" s="871"/>
      <c r="G663" s="871"/>
      <c r="H663" s="871"/>
      <c r="I663" s="871"/>
      <c r="J663" s="162"/>
      <c r="K663" s="162"/>
      <c r="L663" s="162"/>
      <c r="S663" s="188">
        <f>ROUND('T2 MET'!C19,$D$662)</f>
        <v>-336.85</v>
      </c>
      <c r="T663" s="188">
        <f>ROUND('T2 MET'!D19,$D$662)</f>
        <v>-153.071</v>
      </c>
      <c r="U663" s="188">
        <f>ROUND('T2 MET'!E19,$D$662)</f>
        <v>2030.299</v>
      </c>
      <c r="V663" s="188">
        <f>ROUND('T2 MET'!F19,$D$662)</f>
        <v>0</v>
      </c>
      <c r="W663" s="188">
        <f>ROUND('T2 MET'!G19,$D$662)</f>
        <v>0</v>
      </c>
    </row>
    <row r="664" spans="1:26" outlineLevel="1">
      <c r="A664" s="876"/>
      <c r="B664" s="876"/>
      <c r="C664" s="889" t="s">
        <v>284</v>
      </c>
      <c r="D664" s="890"/>
      <c r="E664" s="871"/>
      <c r="F664" s="871"/>
      <c r="G664" s="871"/>
      <c r="H664" s="871"/>
      <c r="I664" s="871"/>
      <c r="J664" s="162"/>
      <c r="K664" s="162"/>
      <c r="L664" s="162"/>
      <c r="S664" s="188">
        <f>ROUND('T3 MET'!D12,$D$662)</f>
        <v>-336.85</v>
      </c>
      <c r="T664" s="188">
        <f>ROUND('T3 MET'!D13,$D$662)</f>
        <v>-153.071</v>
      </c>
      <c r="U664" s="188">
        <f>ROUND('T3 MET'!D14,$D$662)</f>
        <v>2030.299</v>
      </c>
      <c r="V664" s="188">
        <f>ROUND('T3 MET'!D15,$D$662)</f>
        <v>1540.3779999999999</v>
      </c>
      <c r="W664" s="188">
        <f>ROUND('T3 MET'!D16,$D$662)</f>
        <v>0</v>
      </c>
    </row>
    <row r="665" spans="1:26">
      <c r="A665" s="876" t="s">
        <v>213</v>
      </c>
      <c r="B665" s="876" t="s">
        <v>285</v>
      </c>
      <c r="C665" s="888" t="s">
        <v>286</v>
      </c>
      <c r="D665" s="863">
        <v>3</v>
      </c>
      <c r="E665" s="871"/>
      <c r="F665" s="871"/>
      <c r="G665" s="871"/>
      <c r="H665" s="871"/>
      <c r="I665" s="871"/>
      <c r="J665" s="162"/>
      <c r="K665" s="162"/>
      <c r="L665" s="162"/>
      <c r="S665" s="879" t="b">
        <f>ROUND('T2 MET'!C28,$D$665)=ROUND('T3 MET'!D30+'T3 MET'!D37+'T3 MET'!D44+'T3 MET'!D51+'T3 MET'!D58+'T3 MET'!D65,$D$665)</f>
        <v>1</v>
      </c>
      <c r="T665" s="879" t="b">
        <f>ROUND('T2 MET'!D28,$D$665)=ROUND('T3 MET'!D31+'T3 MET'!D38+'T3 MET'!D45+'T3 MET'!D52+'T3 MET'!D59+'T3 MET'!D66,$D$665)</f>
        <v>1</v>
      </c>
      <c r="U665" s="879" t="b">
        <f>ROUND('T2 MET'!E28,$D$665)=ROUND('T3 MET'!D32+'T3 MET'!D39+'T3 MET'!D46+'T3 MET'!D53+'T3 MET'!D60+'T3 MET'!D67,$D$665)</f>
        <v>1</v>
      </c>
      <c r="V665" s="879" t="b">
        <f>ROUND('T2 MET'!F28,$D$665)=ROUND('T3 MET'!D33+'T3 MET'!D40+'T3 MET'!D47+'T3 MET'!D54+'T3 MET'!D61+'T3 MET'!D68,$D$665)</f>
        <v>1</v>
      </c>
      <c r="W665" s="879" t="b">
        <f>ROUND('T2 MET'!G28,$D$665)=ROUND('T3 MET'!D34+'T3 MET'!D41+'T3 MET'!D48+'T3 MET'!D55+'T3 MET'!D62+'T3 MET'!D69,$D$665)</f>
        <v>1</v>
      </c>
    </row>
    <row r="666" spans="1:26" outlineLevel="1">
      <c r="A666" s="876"/>
      <c r="B666" s="876"/>
      <c r="C666" s="889" t="s">
        <v>283</v>
      </c>
      <c r="D666" s="890"/>
      <c r="E666" s="871"/>
      <c r="F666" s="871"/>
      <c r="G666" s="871"/>
      <c r="H666" s="871"/>
      <c r="I666" s="871"/>
      <c r="J666" s="162"/>
      <c r="K666" s="162"/>
      <c r="L666" s="162"/>
      <c r="S666" s="188">
        <f>ROUND('T2 MET'!C28,$D$665)</f>
        <v>0</v>
      </c>
      <c r="T666" s="188">
        <f>ROUND('T2 MET'!D28,$D$665)</f>
        <v>0</v>
      </c>
      <c r="U666" s="188">
        <f>ROUND('T2 MET'!E28,$D$665)</f>
        <v>0</v>
      </c>
      <c r="V666" s="188">
        <f>ROUND('T2 MET'!F28,$D$665)</f>
        <v>0</v>
      </c>
      <c r="W666" s="188">
        <f>ROUND('T2 MET'!G28,$D$665)</f>
        <v>0</v>
      </c>
    </row>
    <row r="667" spans="1:26" outlineLevel="1">
      <c r="A667" s="876"/>
      <c r="B667" s="876"/>
      <c r="C667" s="889" t="s">
        <v>284</v>
      </c>
      <c r="D667" s="890"/>
      <c r="E667" s="871"/>
      <c r="F667" s="871"/>
      <c r="G667" s="871"/>
      <c r="H667" s="871"/>
      <c r="I667" s="871"/>
      <c r="J667" s="162"/>
      <c r="K667" s="162"/>
      <c r="L667" s="162"/>
      <c r="S667" s="188">
        <f>ROUND('T3 MET'!D30+'T3 MET'!D37+'T3 MET'!D44+'T3 MET'!D51+'T3 MET'!D58+'T3 MET'!D65,$D$665)</f>
        <v>0</v>
      </c>
      <c r="T667" s="188">
        <f>ROUND('T3 MET'!D31+'T3 MET'!D38+'T3 MET'!D45+'T3 MET'!D52+'T3 MET'!D59+'T3 MET'!D66,$D$665)</f>
        <v>0</v>
      </c>
      <c r="U667" s="188">
        <f>ROUND('T3 MET'!D32+'T3 MET'!D39+'T3 MET'!D46+'T3 MET'!D53+'T3 MET'!D60+'T3 MET'!D67,$D$665)</f>
        <v>0</v>
      </c>
      <c r="V667" s="188">
        <f>ROUND('T3 MET'!D33+'T3 MET'!D40+'T3 MET'!D47+'T3 MET'!D54+'T3 MET'!D61+'T3 MET'!D68,$D$665)</f>
        <v>0</v>
      </c>
      <c r="W667" s="188">
        <f>ROUND('T3 MET'!D34+'T3 MET'!D41+'T3 MET'!D48+'T3 MET'!D55+'T3 MET'!D62+'T3 MET'!D69,$D$665)</f>
        <v>0</v>
      </c>
    </row>
    <row r="668" spans="1:26">
      <c r="A668" s="876" t="s">
        <v>210</v>
      </c>
      <c r="B668" s="876" t="s">
        <v>287</v>
      </c>
      <c r="C668" s="888" t="s">
        <v>288</v>
      </c>
      <c r="D668" s="863">
        <v>3</v>
      </c>
      <c r="E668" s="871"/>
      <c r="F668" s="871"/>
      <c r="G668" s="871"/>
      <c r="H668" s="871"/>
      <c r="I668" s="871"/>
      <c r="J668" s="162"/>
      <c r="K668" s="162"/>
      <c r="L668" s="162"/>
      <c r="S668" s="879" t="b">
        <f>ROUND('T2 MET'!C41,$D$668)=ROUND('T3 MET'!D23,$D$668)</f>
        <v>1</v>
      </c>
      <c r="T668" s="879" t="b">
        <f>ROUND('T2 MET'!D41,$D$668)=ROUND('T3 MET'!D24,$D$668)</f>
        <v>1</v>
      </c>
      <c r="U668" s="879" t="b">
        <f>ROUND('T2 MET'!E41,$D$668)=ROUND('T3 MET'!D25,$D$668)</f>
        <v>1</v>
      </c>
      <c r="V668" s="879" t="b">
        <f>ROUND('T2 MET'!F41,$D$668)=ROUND('T3 MET'!D26,$D$668)</f>
        <v>1</v>
      </c>
      <c r="W668" s="879" t="b">
        <f>ROUND('T2 MET'!G41,$D$668)=ROUND('T3 MET'!D27,$D$668)</f>
        <v>1</v>
      </c>
    </row>
    <row r="669" spans="1:26" outlineLevel="1">
      <c r="A669" s="876"/>
      <c r="B669" s="876"/>
      <c r="C669" s="889" t="s">
        <v>283</v>
      </c>
      <c r="D669" s="890"/>
      <c r="E669" s="871"/>
      <c r="F669" s="871"/>
      <c r="G669" s="871"/>
      <c r="H669" s="871"/>
      <c r="I669" s="871"/>
      <c r="J669" s="162"/>
      <c r="K669" s="162"/>
      <c r="L669" s="162"/>
      <c r="S669" s="188">
        <f>ROUND('T2 MET'!C41,$D$668)</f>
        <v>0</v>
      </c>
      <c r="T669" s="188">
        <f>ROUND('T2 MET'!D41,$D$668)</f>
        <v>0</v>
      </c>
      <c r="U669" s="188">
        <f>ROUND('T2 MET'!E41,$D$668)</f>
        <v>0</v>
      </c>
      <c r="V669" s="188">
        <f>ROUND('T2 MET'!F41,$D$668)</f>
        <v>0</v>
      </c>
      <c r="W669" s="188">
        <f>ROUND('T2 MET'!G41,$D$668)</f>
        <v>0</v>
      </c>
    </row>
    <row r="670" spans="1:26" outlineLevel="1">
      <c r="A670" s="876"/>
      <c r="B670" s="876"/>
      <c r="C670" s="889" t="s">
        <v>284</v>
      </c>
      <c r="D670" s="890"/>
      <c r="E670" s="871"/>
      <c r="F670" s="871"/>
      <c r="G670" s="871"/>
      <c r="H670" s="871"/>
      <c r="I670" s="871"/>
      <c r="J670" s="162"/>
      <c r="K670" s="162"/>
      <c r="L670" s="162"/>
      <c r="S670" s="188">
        <f>ROUND('T3 MET'!D23,$D$668)</f>
        <v>0</v>
      </c>
      <c r="T670" s="188">
        <f>ROUND('T3 MET'!D24,$D$668)</f>
        <v>0</v>
      </c>
      <c r="U670" s="188">
        <f>ROUND('T3 MET'!D25,$D$668)</f>
        <v>0</v>
      </c>
      <c r="V670" s="188">
        <f>ROUND('T3 MET'!D26,$D$668)</f>
        <v>0</v>
      </c>
      <c r="W670" s="188">
        <f>ROUND('T3 MET'!D27,$D$668)</f>
        <v>0</v>
      </c>
    </row>
    <row r="671" spans="1:26">
      <c r="A671" s="876" t="s">
        <v>222</v>
      </c>
      <c r="B671" s="876" t="s">
        <v>289</v>
      </c>
      <c r="C671" s="888" t="s">
        <v>290</v>
      </c>
      <c r="D671" s="863">
        <v>3</v>
      </c>
      <c r="E671" s="871"/>
      <c r="F671" s="871"/>
      <c r="G671" s="871"/>
      <c r="H671" s="871"/>
      <c r="I671" s="871"/>
      <c r="J671" s="162"/>
      <c r="K671" s="162"/>
      <c r="L671" s="162"/>
      <c r="S671" s="879" t="b">
        <f>ROUND('T2 MET'!C46,$D$671)=ROUND('T3 MET'!D103+'T3 MET'!D109,$D$671)</f>
        <v>0</v>
      </c>
      <c r="T671" s="879" t="b">
        <f>ROUND('T2 MET'!D46,$D$671)=ROUND('T3 MET'!D104+'T3 MET'!D110,$D$671)</f>
        <v>0</v>
      </c>
      <c r="U671" s="879" t="b">
        <f>ROUND('T2 MET'!E46,$D$671)=ROUND('T3 MET'!D105+'T3 MET'!D111,$D$671)</f>
        <v>0</v>
      </c>
      <c r="V671" s="879" t="b">
        <f>ROUND('T2 MET'!F46,$D$671)=ROUND('T3 MET'!D106+'T3 MET'!D112,$D$671)</f>
        <v>1</v>
      </c>
      <c r="W671" s="879" t="b">
        <f>ROUND('T2 MET'!G46,$D$671)=ROUND('T3 MET'!D107+'T3 MET'!D113,$D$671)</f>
        <v>1</v>
      </c>
    </row>
    <row r="672" spans="1:26" outlineLevel="1">
      <c r="A672" s="876"/>
      <c r="B672" s="876"/>
      <c r="C672" s="889" t="s">
        <v>283</v>
      </c>
      <c r="D672" s="890"/>
      <c r="E672" s="871"/>
      <c r="F672" s="871"/>
      <c r="G672" s="871"/>
      <c r="H672" s="871"/>
      <c r="I672" s="871"/>
      <c r="J672" s="162"/>
      <c r="K672" s="162"/>
      <c r="L672" s="162"/>
      <c r="S672" s="188">
        <f>ROUND('T2 MET'!C46,$D$671)</f>
        <v>18464.927</v>
      </c>
      <c r="T672" s="188">
        <f>ROUND('T2 MET'!D46,$D$671)</f>
        <v>17237.892</v>
      </c>
      <c r="U672" s="188">
        <f>ROUND('T2 MET'!E46,$D$671)</f>
        <v>9062.4619999999995</v>
      </c>
      <c r="V672" s="188">
        <f>ROUND('T2 MET'!F46,$D$671)</f>
        <v>0</v>
      </c>
      <c r="W672" s="188">
        <f>ROUND('T2 MET'!G46,$D$671)</f>
        <v>0</v>
      </c>
    </row>
    <row r="673" spans="1:23" outlineLevel="1">
      <c r="A673" s="876"/>
      <c r="B673" s="876"/>
      <c r="C673" s="889" t="s">
        <v>284</v>
      </c>
      <c r="D673" s="890"/>
      <c r="E673" s="871"/>
      <c r="F673" s="871"/>
      <c r="G673" s="871"/>
      <c r="H673" s="871"/>
      <c r="I673" s="871"/>
      <c r="J673" s="162"/>
      <c r="K673" s="162"/>
      <c r="L673" s="162"/>
      <c r="S673" s="188">
        <f>ROUND('T3 MET'!D103+'T3 MET'!D109,$D$671)</f>
        <v>0</v>
      </c>
      <c r="T673" s="188">
        <f>ROUND('T3 MET'!D104+'T3 MET'!D110,$D$671)</f>
        <v>0</v>
      </c>
      <c r="U673" s="188">
        <f>ROUND('T3 MET'!D105+'T3 MET'!D111,$D$671)</f>
        <v>0</v>
      </c>
      <c r="V673" s="188">
        <f>ROUND('T3 MET'!D106+'T3 MET'!D112,$D$671)</f>
        <v>0</v>
      </c>
      <c r="W673" s="188">
        <f>ROUND('T3 MET'!D107+'T3 MET'!D113,$D$671)</f>
        <v>0</v>
      </c>
    </row>
    <row r="674" spans="1:23">
      <c r="A674" s="876" t="s">
        <v>216</v>
      </c>
      <c r="B674" s="876" t="s">
        <v>291</v>
      </c>
      <c r="C674" s="888" t="s">
        <v>292</v>
      </c>
      <c r="D674" s="863">
        <v>3</v>
      </c>
      <c r="E674" s="871"/>
      <c r="F674" s="871"/>
      <c r="G674" s="871"/>
      <c r="H674" s="871"/>
      <c r="I674" s="871"/>
      <c r="J674" s="162"/>
      <c r="K674" s="162"/>
      <c r="L674" s="162"/>
      <c r="S674" s="879" t="b">
        <f>ROUND('T2 MET'!C54,$D$674)=ROUND('T3 MET'!D81,$D$674)</f>
        <v>1</v>
      </c>
      <c r="T674" s="879" t="b">
        <f>ROUND('T2 MET'!D54,$D$674)=ROUND('T3 MET'!D82,$D$674)</f>
        <v>1</v>
      </c>
      <c r="U674" s="879" t="b">
        <f>ROUND('T2 MET'!E54,$D$674)=ROUND('T3 MET'!D83,$D$674)</f>
        <v>1</v>
      </c>
      <c r="V674" s="879" t="b">
        <f>ROUND('T2 MET'!F54,$D$674)=ROUND('T3 MET'!D84,$D$674)</f>
        <v>1</v>
      </c>
      <c r="W674" s="879" t="b">
        <f>ROUND('T2 MET'!G54,$D$674)=ROUND('T3 MET'!D85,$D$674)</f>
        <v>1</v>
      </c>
    </row>
    <row r="675" spans="1:23" outlineLevel="1">
      <c r="A675" s="876"/>
      <c r="B675" s="876"/>
      <c r="C675" s="889" t="s">
        <v>283</v>
      </c>
      <c r="D675" s="890"/>
      <c r="E675" s="871"/>
      <c r="F675" s="871"/>
      <c r="G675" s="871"/>
      <c r="H675" s="871"/>
      <c r="I675" s="871"/>
      <c r="J675" s="162"/>
      <c r="K675" s="162"/>
      <c r="L675" s="162"/>
      <c r="S675" s="188">
        <f>ROUND('T2 MET'!C54,$D$674)</f>
        <v>0</v>
      </c>
      <c r="T675" s="188">
        <f>ROUND('T2 MET'!D54,$D$674)</f>
        <v>0</v>
      </c>
      <c r="U675" s="188">
        <f>ROUND('T2 MET'!E54,$D$674)</f>
        <v>0</v>
      </c>
      <c r="V675" s="188">
        <f>ROUND('T2 MET'!F54,$D$674)</f>
        <v>0</v>
      </c>
      <c r="W675" s="188">
        <f>ROUND('T2 MET'!G54,$D$674)</f>
        <v>0</v>
      </c>
    </row>
    <row r="676" spans="1:23" outlineLevel="1">
      <c r="A676" s="876"/>
      <c r="B676" s="876"/>
      <c r="C676" s="889" t="s">
        <v>284</v>
      </c>
      <c r="D676" s="890"/>
      <c r="E676" s="871"/>
      <c r="F676" s="871"/>
      <c r="G676" s="871"/>
      <c r="H676" s="871"/>
      <c r="I676" s="871"/>
      <c r="J676" s="162"/>
      <c r="K676" s="162"/>
      <c r="L676" s="162"/>
      <c r="S676" s="188">
        <f>ROUND('T3 MET'!D81,$D$674)</f>
        <v>0</v>
      </c>
      <c r="T676" s="188">
        <f>ROUND('T3 MET'!D82,$D$674)</f>
        <v>0</v>
      </c>
      <c r="U676" s="188">
        <f>ROUND('T3 MET'!D83,$D$674)</f>
        <v>0</v>
      </c>
      <c r="V676" s="188">
        <f>ROUND('T3 MET'!D84,$D$674)</f>
        <v>0</v>
      </c>
      <c r="W676" s="188">
        <f>ROUND('T3 MET'!D85,$D$674)</f>
        <v>0</v>
      </c>
    </row>
    <row r="677" spans="1:23">
      <c r="A677" s="876" t="s">
        <v>219</v>
      </c>
      <c r="B677" s="876" t="s">
        <v>293</v>
      </c>
      <c r="C677" s="888" t="s">
        <v>294</v>
      </c>
      <c r="D677" s="863">
        <v>3</v>
      </c>
      <c r="E677" s="871"/>
      <c r="F677" s="871"/>
      <c r="G677" s="871"/>
      <c r="H677" s="871"/>
      <c r="I677" s="871"/>
      <c r="J677" s="162"/>
      <c r="K677" s="162"/>
      <c r="L677" s="162"/>
      <c r="S677" s="879" t="b">
        <f>ROUND('T2 MET'!C59,$D$677)=ROUND('T3 MET'!D92,$D$677)</f>
        <v>1</v>
      </c>
      <c r="T677" s="879" t="b">
        <f>ROUND('T2 MET'!D59,$D$677)=ROUND('T3 MET'!D93,$D$677)</f>
        <v>1</v>
      </c>
      <c r="U677" s="879" t="b">
        <f>ROUND('T2 MET'!E59,$D$677)=ROUND('T3 MET'!D94,$D$677)</f>
        <v>1</v>
      </c>
      <c r="V677" s="879" t="b">
        <f>ROUND('T2 MET'!F59,$D$677)=ROUND('T3 MET'!D95,$D$677)</f>
        <v>1</v>
      </c>
      <c r="W677" s="879" t="b">
        <f>ROUND('T2 MET'!G59,$D$677)=ROUND('T3 MET'!D96,$D$677)</f>
        <v>1</v>
      </c>
    </row>
    <row r="678" spans="1:23" outlineLevel="1">
      <c r="A678" s="876"/>
      <c r="B678" s="876"/>
      <c r="C678" s="889" t="s">
        <v>283</v>
      </c>
      <c r="D678" s="890"/>
      <c r="E678" s="871"/>
      <c r="F678" s="871"/>
      <c r="G678" s="871"/>
      <c r="H678" s="871"/>
      <c r="I678" s="871"/>
      <c r="J678" s="162"/>
      <c r="K678" s="162"/>
      <c r="L678" s="162"/>
      <c r="S678" s="188">
        <f>ROUND('T2 MET'!C59,$D$677)</f>
        <v>0</v>
      </c>
      <c r="T678" s="188">
        <f>ROUND('T2 MET'!D59,$D$677)</f>
        <v>0</v>
      </c>
      <c r="U678" s="188">
        <f>ROUND('T2 MET'!E59,$D$677)</f>
        <v>0</v>
      </c>
      <c r="V678" s="188">
        <f>ROUND('T2 MET'!F59,$D$677)</f>
        <v>0</v>
      </c>
      <c r="W678" s="188">
        <f>ROUND('T2 MET'!G59,$D$677)</f>
        <v>0</v>
      </c>
    </row>
    <row r="679" spans="1:23" outlineLevel="1">
      <c r="A679" s="876"/>
      <c r="B679" s="876"/>
      <c r="C679" s="889" t="s">
        <v>284</v>
      </c>
      <c r="D679" s="890"/>
      <c r="E679" s="871"/>
      <c r="F679" s="871"/>
      <c r="G679" s="871"/>
      <c r="H679" s="871"/>
      <c r="I679" s="871"/>
      <c r="J679" s="162"/>
      <c r="K679" s="162"/>
      <c r="L679" s="162"/>
      <c r="S679" s="188">
        <f>ROUND('T3 MET'!D92,$D$677)</f>
        <v>0</v>
      </c>
      <c r="T679" s="188">
        <f>ROUND('T3 MET'!D93,$D$677)</f>
        <v>0</v>
      </c>
      <c r="U679" s="188">
        <f>ROUND('T3 MET'!D94,$D$677)</f>
        <v>0</v>
      </c>
      <c r="V679" s="188">
        <f>ROUND('T3 MET'!D95,$D$677)</f>
        <v>0</v>
      </c>
      <c r="W679" s="188">
        <f>ROUND('T3 MET'!D96,$D$677)</f>
        <v>0</v>
      </c>
    </row>
    <row r="680" spans="1:23">
      <c r="A680" s="876" t="s">
        <v>231</v>
      </c>
      <c r="B680" s="876" t="s">
        <v>295</v>
      </c>
      <c r="C680" s="888" t="s">
        <v>296</v>
      </c>
      <c r="D680" s="863">
        <v>3</v>
      </c>
      <c r="E680" s="871"/>
      <c r="F680" s="871"/>
      <c r="G680" s="871"/>
      <c r="H680" s="871"/>
      <c r="I680" s="871"/>
      <c r="J680" s="162"/>
      <c r="K680" s="162"/>
      <c r="L680" s="162"/>
      <c r="S680" s="879" t="b">
        <f>ROUND('T2 MET'!C63,$D$680)=ROUND('T3 MET'!D160,$D$680)</f>
        <v>0</v>
      </c>
      <c r="T680" s="879" t="b">
        <f>ROUND('T2 MET'!D63,$D$680)=ROUND('T3 MET'!D161,$D$680)</f>
        <v>1</v>
      </c>
      <c r="U680" s="879" t="b">
        <f>ROUND('T2 MET'!E63,$D$680)=ROUND('T3 MET'!D162,$D$680)</f>
        <v>1</v>
      </c>
      <c r="V680" s="879" t="b">
        <f>ROUND('T2 MET'!F63,$D$680)=ROUND('T3 MET'!D163,$D$680)</f>
        <v>1</v>
      </c>
      <c r="W680" s="879" t="b">
        <f>ROUND('T2 MET'!G63,$D$680)=ROUND('T3 MET'!D164,$D$680)</f>
        <v>1</v>
      </c>
    </row>
    <row r="681" spans="1:23" outlineLevel="1">
      <c r="A681" s="876"/>
      <c r="B681" s="876"/>
      <c r="C681" s="889" t="s">
        <v>283</v>
      </c>
      <c r="D681" s="890"/>
      <c r="E681" s="871"/>
      <c r="F681" s="871"/>
      <c r="G681" s="871"/>
      <c r="H681" s="871"/>
      <c r="I681" s="871"/>
      <c r="J681" s="162"/>
      <c r="K681" s="162"/>
      <c r="L681" s="162"/>
      <c r="S681" s="188">
        <f>ROUND('T2 MET'!C63,$D$680)</f>
        <v>0</v>
      </c>
      <c r="T681" s="188">
        <f>ROUND('T2 MET'!D63,$D$680)</f>
        <v>0</v>
      </c>
      <c r="U681" s="188">
        <f>ROUND('T2 MET'!E63,$D$680)</f>
        <v>0</v>
      </c>
      <c r="V681" s="188">
        <f>ROUND('T2 MET'!F63,$D$680)</f>
        <v>0</v>
      </c>
      <c r="W681" s="188">
        <f>ROUND('T2 MET'!G63,$D$680)</f>
        <v>0</v>
      </c>
    </row>
    <row r="682" spans="1:23" outlineLevel="1">
      <c r="A682" s="876"/>
      <c r="B682" s="876"/>
      <c r="C682" s="889" t="s">
        <v>284</v>
      </c>
      <c r="D682" s="890"/>
      <c r="E682" s="871"/>
      <c r="F682" s="871"/>
      <c r="G682" s="871"/>
      <c r="H682" s="871"/>
      <c r="I682" s="871"/>
      <c r="J682" s="162"/>
      <c r="K682" s="162"/>
      <c r="L682" s="162"/>
      <c r="S682" s="188">
        <f>ROUND('T3 MET'!D160,$D$680)</f>
        <v>44765.281000000003</v>
      </c>
      <c r="T682" s="188">
        <f>ROUND('T3 MET'!D161,$D$680)</f>
        <v>0</v>
      </c>
      <c r="U682" s="188">
        <f>ROUND('T3 MET'!D162,$D$680)</f>
        <v>0</v>
      </c>
      <c r="V682" s="188">
        <f>ROUND('T3 MET'!D163,$D$680)</f>
        <v>0</v>
      </c>
      <c r="W682" s="188">
        <f>ROUND('T3 MET'!D164,$D$680)</f>
        <v>0</v>
      </c>
    </row>
    <row r="683" spans="1:23">
      <c r="A683" s="876" t="s">
        <v>297</v>
      </c>
      <c r="B683" s="876" t="s">
        <v>298</v>
      </c>
      <c r="C683" s="888" t="s">
        <v>299</v>
      </c>
      <c r="D683" s="863">
        <v>3</v>
      </c>
      <c r="E683" s="871"/>
      <c r="F683" s="871"/>
      <c r="G683" s="871"/>
      <c r="H683" s="871"/>
      <c r="I683" s="871"/>
      <c r="J683" s="162"/>
      <c r="K683" s="162"/>
      <c r="L683" s="162"/>
      <c r="S683" s="879" t="b">
        <f>ROUND('T2 MET'!C66,$D$683)=ROUND('T3 MET'!D167,$D$683)</f>
        <v>1</v>
      </c>
      <c r="T683" s="879" t="b">
        <f>ROUND('T2 MET'!D66,$D$683)=ROUND('T3 MET'!D168,$D$683)</f>
        <v>1</v>
      </c>
      <c r="U683" s="879" t="b">
        <f>ROUND('T2 MET'!E66,$D$683)=ROUND('T3 MET'!D169,$D$683)</f>
        <v>1</v>
      </c>
      <c r="V683" s="879" t="b">
        <f>ROUND('T2 MET'!F66,$D$683)=ROUND('T3 MET'!D170,$D$683)</f>
        <v>1</v>
      </c>
      <c r="W683" s="879" t="b">
        <f>ROUND('T2 MET'!G66,$D$683)=ROUND('T3 MET'!D171,$D$683)</f>
        <v>1</v>
      </c>
    </row>
    <row r="684" spans="1:23" outlineLevel="1">
      <c r="A684" s="876"/>
      <c r="B684" s="876"/>
      <c r="C684" s="889" t="s">
        <v>283</v>
      </c>
      <c r="D684" s="890"/>
      <c r="E684" s="871"/>
      <c r="F684" s="871"/>
      <c r="G684" s="871"/>
      <c r="H684" s="871"/>
      <c r="I684" s="871"/>
      <c r="J684" s="162"/>
      <c r="K684" s="162"/>
      <c r="L684" s="162"/>
      <c r="S684" s="188">
        <f>ROUND('T2 MET'!C66,$D$683)</f>
        <v>0</v>
      </c>
      <c r="T684" s="188">
        <f>ROUND('T2 MET'!D66,$D$683)</f>
        <v>0</v>
      </c>
      <c r="U684" s="188">
        <f>ROUND('T2 MET'!E66,$D$683)</f>
        <v>0</v>
      </c>
      <c r="V684" s="188">
        <f>ROUND('T2 MET'!F66,$D$683)</f>
        <v>0</v>
      </c>
      <c r="W684" s="188">
        <f>ROUND('T2 MET'!G66,$D$683)</f>
        <v>0</v>
      </c>
    </row>
    <row r="685" spans="1:23" outlineLevel="1">
      <c r="A685" s="876"/>
      <c r="B685" s="876"/>
      <c r="C685" s="889" t="s">
        <v>284</v>
      </c>
      <c r="D685" s="890"/>
      <c r="E685" s="871"/>
      <c r="F685" s="871"/>
      <c r="G685" s="871"/>
      <c r="H685" s="871"/>
      <c r="I685" s="871"/>
      <c r="J685" s="162"/>
      <c r="K685" s="162"/>
      <c r="L685" s="162"/>
      <c r="S685" s="188">
        <f>ROUND('T3 MET'!D167,$D$683)</f>
        <v>0</v>
      </c>
      <c r="T685" s="188">
        <f>ROUND('T3 MET'!D168,$D$683)</f>
        <v>0</v>
      </c>
      <c r="U685" s="188">
        <f>ROUND('T3 MET'!D169,$D$683)</f>
        <v>0</v>
      </c>
      <c r="V685" s="188">
        <f>ROUND('T3 MET'!D170,$D$683)</f>
        <v>0</v>
      </c>
      <c r="W685" s="188">
        <f>ROUND('T3 MET'!D171,$D$683)</f>
        <v>0</v>
      </c>
    </row>
    <row r="686" spans="1:23">
      <c r="A686" s="876" t="s">
        <v>300</v>
      </c>
      <c r="B686" s="876" t="s">
        <v>301</v>
      </c>
      <c r="C686" s="888" t="s">
        <v>302</v>
      </c>
      <c r="D686" s="863">
        <v>3</v>
      </c>
      <c r="E686" s="871"/>
      <c r="F686" s="871"/>
      <c r="G686" s="871"/>
      <c r="H686" s="871"/>
      <c r="I686" s="871"/>
      <c r="J686" s="162"/>
      <c r="K686" s="162"/>
      <c r="L686" s="162"/>
      <c r="S686" s="879" t="b">
        <f>ROUND('T2 MET'!C73,$D$686)=ROUND('T3 MET'!D120+'T3 MET'!D131+'T3 MET'!D142+'T3 MET'!D160,$D$686)</f>
        <v>0</v>
      </c>
      <c r="T686" s="879" t="b">
        <f>ROUND('T2 MET'!D73,$D$686)=ROUND('T3 MET'!D121+'T3 MET'!D132+'T3 MET'!D143+'T3 MET'!D161,$D$686)</f>
        <v>1</v>
      </c>
      <c r="U686" s="879" t="b">
        <f>ROUND('T2 MET'!E73,$D$686)=ROUND('T3 MET'!D122+'T3 MET'!D133+'T3 MET'!D144+'T3 MET'!D162,$D$686)</f>
        <v>0</v>
      </c>
      <c r="V686" s="879" t="b">
        <f>ROUND('T2 MET'!F73,$D$686)=ROUND('T3 MET'!D123+'T3 MET'!D134+'T3 MET'!D145+'T3 MET'!D163,$D$686)</f>
        <v>0</v>
      </c>
      <c r="W686" s="879" t="b">
        <f>ROUND('T2 MET'!G73,$D$686)=ROUND('T3 MET'!D124+'T3 MET'!D135+'T3 MET'!D146+'T3 MET'!D164,$D$686)</f>
        <v>0</v>
      </c>
    </row>
    <row r="687" spans="1:23" outlineLevel="1">
      <c r="A687" s="876"/>
      <c r="B687" s="876"/>
      <c r="C687" s="889" t="s">
        <v>283</v>
      </c>
      <c r="D687" s="890"/>
      <c r="E687" s="871"/>
      <c r="F687" s="871"/>
      <c r="G687" s="871"/>
      <c r="H687" s="871"/>
      <c r="I687" s="871"/>
      <c r="J687" s="162"/>
      <c r="K687" s="162"/>
      <c r="L687" s="162"/>
      <c r="S687" s="188">
        <f>ROUND('T2 MET'!C73,$D$686)</f>
        <v>0</v>
      </c>
      <c r="T687" s="188">
        <f>ROUND('T2 MET'!D73,$D$686)</f>
        <v>0</v>
      </c>
      <c r="U687" s="188">
        <f>ROUND('T2 MET'!E73,$D$686)</f>
        <v>0</v>
      </c>
      <c r="V687" s="188">
        <f>ROUND('T2 MET'!F73,$D$686)</f>
        <v>0</v>
      </c>
      <c r="W687" s="188">
        <f>ROUND('T2 MET'!G73,$D$686)</f>
        <v>0</v>
      </c>
    </row>
    <row r="688" spans="1:23" outlineLevel="1">
      <c r="A688" s="876"/>
      <c r="B688" s="876"/>
      <c r="C688" s="889" t="s">
        <v>284</v>
      </c>
      <c r="D688" s="890"/>
      <c r="E688" s="871"/>
      <c r="F688" s="871"/>
      <c r="G688" s="871"/>
      <c r="H688" s="871"/>
      <c r="I688" s="871"/>
      <c r="J688" s="162"/>
      <c r="K688" s="162"/>
      <c r="L688" s="162"/>
      <c r="S688" s="188">
        <f>ROUND('T3 MET'!D120+'T3 MET'!D131+'T3 MET'!D142+'T3 MET'!D160,$D$686)</f>
        <v>44765.281000000003</v>
      </c>
      <c r="T688" s="188">
        <f>ROUND('T3 MET'!D121+'T3 MET'!D132+'T3 MET'!D143+'T3 MET'!D161,$D$686)</f>
        <v>0</v>
      </c>
      <c r="U688" s="188">
        <f>ROUND('T3 MET'!D122+'T3 MET'!D133+'T3 MET'!D144+'T3 MET'!D162,$D$686)</f>
        <v>-3366</v>
      </c>
      <c r="V688" s="188">
        <f>ROUND('T3 MET'!D123+'T3 MET'!D134+'T3 MET'!D145+'T3 MET'!D163,$D$686)</f>
        <v>-3558.183</v>
      </c>
      <c r="W688" s="188">
        <f>ROUND('T3 MET'!D124+'T3 MET'!D135+'T3 MET'!D146+'T3 MET'!D164,$D$686)</f>
        <v>-6924.183</v>
      </c>
    </row>
    <row r="689" spans="1:26" s="871" customFormat="1">
      <c r="A689" s="876" t="s">
        <v>303</v>
      </c>
      <c r="B689" s="876" t="s">
        <v>304</v>
      </c>
      <c r="C689" s="877" t="s">
        <v>305</v>
      </c>
      <c r="D689" s="890"/>
      <c r="L689" s="162"/>
      <c r="M689" s="162"/>
      <c r="R689" s="162"/>
      <c r="S689" s="879" t="b">
        <f>SUM('T3 MET'!$E$10,'T3 MET'!$E$12:$E$16,'T3 MET'!$E$21,'T3 MET'!$E$23:$E$27,'T3 MET'!$E$30:$E$34,'T3 MET'!$E$37:$E$41,'T3 MET'!$E$44:$E$48,'T3 MET'!$E$51:$E$55,'T3 MET'!$E$58:$E$62,'T3 MET'!$E$65:$E$69,'T3 MET'!$E$74,'T3 MET'!$E$79,'T3 MET'!$E$81:$E$85,'T3 MET'!$E$90,'T3 MET'!$E$92:$E$96,'T3 MET'!$E$101,'T3 MET'!$E$103:$E$107,'T3 MET'!$E$109:$E$113)=0</f>
        <v>0</v>
      </c>
      <c r="T689" s="879" t="b">
        <f>SUM('T3 MET'!$F$12:$F$16,'T3 MET'!$F$23:$F$27,'T3 MET'!$F$30:$F$34,'T3 MET'!$F$37:$F$41,'T3 MET'!$F$44:$F$48,'T3 MET'!$F$51:$F$55,'T3 MET'!$F$58:$F$62,'T3 MET'!$F$65:$F$69,'T3 MET'!$F$81:$F$85,'T3 MET'!$F$92:$F$96,'T3 MET'!$F$103:$F$107,'T3 MET'!$F$109:$F$113)=0</f>
        <v>1</v>
      </c>
      <c r="U689" s="879" t="b">
        <f>SUM('T3 MET'!$G$13:$G$16,'T3 MET'!$G$24:$G$27,'T3 MET'!$G$31:$G$34,'T3 MET'!$G$38:$G$41,'T3 MET'!$G$45:$G$48,'T3 MET'!$G$52:$G$55,'T3 MET'!$G$59:$G$62,'T3 MET'!$G$66:$G$69,'T3 MET'!$G$82:$G$85,'T3 MET'!$G$93:$G$96,'T3 MET'!$G$104:$G$107,'T3 MET'!$G$110:$G$113)=0</f>
        <v>0</v>
      </c>
      <c r="V689" s="879" t="b">
        <f>SUM('T3 MET'!$H$14:$H$16,'T3 MET'!$H$25:$H$27,'T3 MET'!$H$32:$H$34,'T3 MET'!$H$39:$H$41,'T3 MET'!$H$46:$H$48,'T3 MET'!$H$53:$H$55,'T3 MET'!$H$60:$H$62,'T3 MET'!$H$67:$H$69,'T3 MET'!$H$83:$H$85,'T3 MET'!$H$94:$H$96,'T3 MET'!$H$105:$H$107,'T3 MET'!$H$111:$H$113)=0</f>
        <v>0</v>
      </c>
      <c r="W689" s="879" t="b">
        <f>SUM('T3 MET'!$I$15:$I$16,'T3 MET'!$I$26:$I$27,'T3 MET'!$I$33:$I$34,'T3 MET'!$I$40:$I$41,'T3 MET'!$I$47:$I$48,'T3 MET'!$I$54:$I$55,'T3 MET'!$I$61:$I$62,'T3 MET'!$I$68:$I$69,'T3 MET'!$I$84:$I$85,'T3 MET'!$I$95:$I$96,'T3 MET'!$I$106:$I$107,'T3 MET'!$I$112:$I$113)=0</f>
        <v>0</v>
      </c>
    </row>
    <row r="690" spans="1:26" outlineLevel="1">
      <c r="A690" s="876"/>
      <c r="B690" s="876"/>
      <c r="C690" s="880" t="s">
        <v>306</v>
      </c>
      <c r="D690" s="890"/>
      <c r="J690" s="162"/>
      <c r="K690" s="162"/>
      <c r="L690" s="162"/>
      <c r="S690" s="188">
        <f>SUM('T3 MET'!$E$10,'T3 MET'!$E$12:$E$16,'T3 MET'!$E$21,'T3 MET'!$E$23:$E$27,'T3 MET'!$E$30:$E$34,'T3 MET'!$E$37:$E$41,'T3 MET'!$E$44:$E$48,'T3 MET'!$E$51:$E$55,'T3 MET'!$E$58:$E$62,'T3 MET'!$E$65:$E$69,'T3 MET'!$E$74,'T3 MET'!$E$79,'T3 MET'!$E$81:$E$85,'T3 MET'!$E$90,'T3 MET'!$E$92:$E$96,'T3 MET'!$E$101,'T3 MET'!$E$103:$E$107,'T3 MET'!$E$109:$E$113)</f>
        <v>-610</v>
      </c>
      <c r="T690" s="188">
        <f>SUM('T3 MET'!$F$12:$F$16,'T3 MET'!$F$23:$F$27,'T3 MET'!$F$30:$F$34,'T3 MET'!$F$37:$F$41,'T3 MET'!$F$44:$F$48,'T3 MET'!$F$51:$F$55,'T3 MET'!$F$58:$F$62,'T3 MET'!$F$65:$F$69,'T3 MET'!$F$81:$F$85,'T3 MET'!$F$92:$F$96,'T3 MET'!$F$103:$F$107,'T3 MET'!$F$109:$F$113)</f>
        <v>0</v>
      </c>
      <c r="U690" s="188">
        <f>SUM('T3 MET'!$G$13:$G$16,'T3 MET'!$G$24:$G$27,'T3 MET'!$G$31:$G$34,'T3 MET'!$G$38:$G$41,'T3 MET'!$G$45:$G$48,'T3 MET'!$G$52:$G$55,'T3 MET'!$G$59:$G$62,'T3 MET'!$G$66:$G$69,'T3 MET'!$G$82:$G$85,'T3 MET'!$G$93:$G$96,'T3 MET'!$G$104:$G$107,'T3 MET'!$G$110:$G$113)</f>
        <v>-336.8495792190696</v>
      </c>
      <c r="V690" s="188">
        <f>SUM('T3 MET'!$H$14:$H$16,'T3 MET'!$H$25:$H$27,'T3 MET'!$H$32:$H$34,'T3 MET'!$H$39:$H$41,'T3 MET'!$H$46:$H$48,'T3 MET'!$H$53:$H$55,'T3 MET'!$H$60:$H$62,'T3 MET'!$H$67:$H$69,'T3 MET'!$H$83:$H$85,'T3 MET'!$H$94:$H$96,'T3 MET'!$H$105:$H$107,'T3 MET'!$H$111:$H$113)</f>
        <v>-153.07113773851486</v>
      </c>
      <c r="W690" s="188">
        <f>SUM('T3 MET'!$I$15:$I$16,'T3 MET'!$I$26:$I$27,'T3 MET'!$I$33:$I$34,'T3 MET'!$I$40:$I$41,'T3 MET'!$I$47:$I$48,'T3 MET'!$I$54:$I$55,'T3 MET'!$I$61:$I$62,'T3 MET'!$I$68:$I$69,'T3 MET'!$I$84:$I$85,'T3 MET'!$I$95:$I$96,'T3 MET'!$I$106:$I$107,'T3 MET'!$I$112:$I$113)</f>
        <v>2030.2987230384365</v>
      </c>
    </row>
    <row r="691" spans="1:26">
      <c r="A691" s="876" t="s">
        <v>307</v>
      </c>
      <c r="B691" s="876" t="s">
        <v>308</v>
      </c>
      <c r="C691" s="877" t="s">
        <v>309</v>
      </c>
      <c r="D691" s="863">
        <v>3</v>
      </c>
      <c r="J691" s="162"/>
      <c r="K691" s="162"/>
      <c r="L691" s="162"/>
      <c r="S691" s="879" t="b">
        <f>ROUND(SUM('T3 MET'!E72:E73),$D$691)=0</f>
        <v>1</v>
      </c>
    </row>
    <row r="692" spans="1:26" outlineLevel="1">
      <c r="A692" s="876"/>
      <c r="B692" s="876"/>
      <c r="C692" s="880" t="s">
        <v>310</v>
      </c>
      <c r="D692" s="890"/>
      <c r="J692" s="162"/>
      <c r="K692" s="162"/>
      <c r="L692" s="162"/>
      <c r="S692" s="188">
        <f>ROUND(SUM('T3 MET'!E72:E73),$D$691)</f>
        <v>0</v>
      </c>
    </row>
    <row r="693" spans="1:26" outlineLevel="1">
      <c r="A693" s="876"/>
      <c r="B693" s="876"/>
      <c r="C693" s="880" t="s">
        <v>311</v>
      </c>
      <c r="D693" s="890"/>
      <c r="J693" s="162"/>
      <c r="K693" s="162"/>
      <c r="L693" s="162"/>
      <c r="S693" s="188">
        <f>0</f>
        <v>0</v>
      </c>
    </row>
    <row r="694" spans="1:26" s="183" customFormat="1" ht="18">
      <c r="A694" s="172" t="s">
        <v>13</v>
      </c>
      <c r="B694" s="173" t="s">
        <v>14</v>
      </c>
      <c r="C694" s="174" t="s">
        <v>314</v>
      </c>
      <c r="D694" s="894"/>
      <c r="E694" s="873"/>
      <c r="F694" s="873"/>
      <c r="G694" s="873"/>
      <c r="H694" s="873"/>
      <c r="I694" s="873"/>
      <c r="J694" s="873"/>
      <c r="K694" s="873"/>
      <c r="L694" s="873"/>
      <c r="M694" s="873"/>
      <c r="N694" s="873"/>
      <c r="O694" s="873"/>
      <c r="P694" s="873"/>
      <c r="Q694" s="873"/>
      <c r="R694" s="162"/>
      <c r="S694" s="873"/>
      <c r="T694" s="873"/>
      <c r="U694" s="873"/>
      <c r="V694" s="873"/>
      <c r="W694" s="873"/>
      <c r="X694" s="871"/>
      <c r="Y694" s="871"/>
      <c r="Z694" s="871"/>
    </row>
    <row r="695" spans="1:26" s="891" customFormat="1">
      <c r="A695" s="875" t="s">
        <v>234</v>
      </c>
      <c r="B695" s="876" t="s">
        <v>277</v>
      </c>
      <c r="C695" s="888" t="s">
        <v>278</v>
      </c>
      <c r="D695" s="863">
        <v>3</v>
      </c>
      <c r="E695" s="871"/>
      <c r="F695" s="871"/>
      <c r="G695" s="871"/>
      <c r="H695" s="871"/>
      <c r="I695" s="871"/>
      <c r="R695" s="162"/>
      <c r="S695" s="879" t="b">
        <f>ROUND('T2 NSA'!C78,$D$695)=ROUND(SUM('T3 NSA'!D12,'T3 NSA'!D23,'T3 NSA'!D30,'T3 NSA'!D37,'T3 NSA'!D44,'T3 NSA'!D51,'T3 NSA'!D58,'T3 NSA'!D65,'T3 NSA'!D81,'T3 NSA'!D92,'T3 NSA'!D103,'T3 NSA'!D109,'T3 NSA'!D120,'T3 NSA'!D131,'T3 NSA'!D142,'T3 NSA'!D153,'T3 NSA'!D160,'T3 NSA'!D167),$D$695)</f>
        <v>0</v>
      </c>
      <c r="T695" s="879" t="b">
        <f>ROUND('T2 NSA'!D78,$D$695)=ROUND(SUM('T3 NSA'!D13,'T3 NSA'!D24,'T3 NSA'!D31,'T3 NSA'!D38,'T3 NSA'!D45,'T3 NSA'!D52,'T3 NSA'!D59,'T3 NSA'!D66,'T3 NSA'!D82,'T3 NSA'!D93,'T3 NSA'!D104,'T3 NSA'!D110,'T3 NSA'!D121,'T3 NSA'!D132,'T3 NSA'!D143,'T3 NSA'!D154,'T3 NSA'!D161,'T3 NSA'!D168),$D$695)</f>
        <v>0</v>
      </c>
      <c r="U695" s="879" t="b">
        <f>ROUND('T2 NSA'!E78,$D$695)=ROUND(SUM('T3 NSA'!D14,'T3 NSA'!D25,'T3 NSA'!D32,'T3 NSA'!D39,'T3 NSA'!D46,'T3 NSA'!D53,'T3 NSA'!D60,'T3 NSA'!D67,'T3 NSA'!D83,'T3 NSA'!D94,'T3 NSA'!D105,'T3 NSA'!D111,'T3 NSA'!D122,'T3 NSA'!D133,'T3 NSA'!D144,'T3 NSA'!D155,'T3 NSA'!D162,'T3 NSA'!D169),$D$695)</f>
        <v>0</v>
      </c>
      <c r="V695" s="879" t="b">
        <f>ROUND('T2 NSA'!F78,$D$695)=ROUND(SUM('T3 NSA'!D15,'T3 NSA'!D26,'T3 NSA'!D33,'T3 NSA'!D40,'T3 NSA'!D47,'T3 NSA'!D54,'T3 NSA'!D61,'T3 NSA'!D68,'T3 NSA'!D84,'T3 NSA'!D95,'T3 NSA'!D106,'T3 NSA'!D112,'T3 NSA'!D123,'T3 NSA'!D134,'T3 NSA'!D145,'T3 NSA'!D156,'T3 NSA'!D163,'T3 NSA'!D170),$D$695)</f>
        <v>0</v>
      </c>
      <c r="W695" s="879" t="b">
        <f>ROUND('T2 NSA'!G78,$D$695)=ROUND(SUM('T3 NSA'!D16,'T3 NSA'!D27,'T3 NSA'!D34,'T3 NSA'!D41,'T3 NSA'!D48,'T3 NSA'!D55,'T3 NSA'!D62,'T3 NSA'!D69,'T3 NSA'!D85,'T3 NSA'!D96,'T3 NSA'!D107,'T3 NSA'!D113,'T3 NSA'!D124,'T3 NSA'!D135,'T3 NSA'!D146,'T3 NSA'!D157,'T3 NSA'!D164,'T3 NSA'!D171),$D$695)</f>
        <v>0</v>
      </c>
      <c r="X695" s="871"/>
      <c r="Y695" s="871"/>
      <c r="Z695" s="871"/>
    </row>
    <row r="696" spans="1:26" outlineLevel="1">
      <c r="A696" s="876"/>
      <c r="B696" s="876"/>
      <c r="C696" s="889" t="s">
        <v>279</v>
      </c>
      <c r="D696" s="890"/>
      <c r="E696" s="871"/>
      <c r="F696" s="871"/>
      <c r="G696" s="871"/>
      <c r="H696" s="871"/>
      <c r="I696" s="871"/>
      <c r="J696" s="162"/>
      <c r="K696" s="162"/>
      <c r="L696" s="162"/>
      <c r="S696" s="188">
        <f>ROUND('T2 NSA'!C78,$D$695)</f>
        <v>33975.819000000003</v>
      </c>
      <c r="T696" s="188">
        <f>ROUND('T2 NSA'!D78,$D$695)</f>
        <v>33675.427000000003</v>
      </c>
      <c r="U696" s="188">
        <f>ROUND('T2 NSA'!E78,$D$695)</f>
        <v>21091.002</v>
      </c>
      <c r="V696" s="188">
        <f>ROUND('T2 NSA'!F78,$D$695)</f>
        <v>0</v>
      </c>
      <c r="W696" s="188">
        <f>ROUND('T2 NSA'!G78,$D$695)</f>
        <v>0</v>
      </c>
      <c r="X696" s="871"/>
      <c r="Y696" s="871"/>
      <c r="Z696" s="871"/>
    </row>
    <row r="697" spans="1:26" outlineLevel="1">
      <c r="A697" s="876"/>
      <c r="B697" s="876"/>
      <c r="C697" s="889" t="s">
        <v>280</v>
      </c>
      <c r="D697" s="890"/>
      <c r="E697" s="871"/>
      <c r="F697" s="871"/>
      <c r="G697" s="871"/>
      <c r="H697" s="871"/>
      <c r="I697" s="871"/>
      <c r="J697" s="162"/>
      <c r="K697" s="162"/>
      <c r="L697" s="162"/>
      <c r="S697" s="188">
        <f>ROUND(SUM('T3 NSA'!D12,'T3 NSA'!D23,'T3 NSA'!D30,'T3 NSA'!D37,'T3 NSA'!D44,'T3 NSA'!D51,'T3 NSA'!D58,'T3 NSA'!D65,'T3 NSA'!D81,'T3 NSA'!D92,'T3 NSA'!D103,'T3 NSA'!D109,'T3 NSA'!D120,'T3 NSA'!D131,'T3 NSA'!D142,'T3 NSA'!D153,'T3 NSA'!D160,'T3 NSA'!D167),$D$695)</f>
        <v>96936.676000000007</v>
      </c>
      <c r="T697" s="188">
        <f>ROUND(SUM('T3 NSA'!D13,'T3 NSA'!D24,'T3 NSA'!D31,'T3 NSA'!D38,'T3 NSA'!D45,'T3 NSA'!D52,'T3 NSA'!D59,'T3 NSA'!D66,'T3 NSA'!D82,'T3 NSA'!D93,'T3 NSA'!D104,'T3 NSA'!D110,'T3 NSA'!D121,'T3 NSA'!D132,'T3 NSA'!D143,'T3 NSA'!D154,'T3 NSA'!D161,'T3 NSA'!D168),$D$695)</f>
        <v>-4949.6620000000003</v>
      </c>
      <c r="U697" s="188">
        <f>ROUND(SUM('T3 NSA'!D14,'T3 NSA'!D25,'T3 NSA'!D32,'T3 NSA'!D39,'T3 NSA'!D46,'T3 NSA'!D53,'T3 NSA'!D60,'T3 NSA'!D67,'T3 NSA'!D83,'T3 NSA'!D94,'T3 NSA'!D105,'T3 NSA'!D111,'T3 NSA'!D122,'T3 NSA'!D133,'T3 NSA'!D144,'T3 NSA'!D155,'T3 NSA'!D162,'T3 NSA'!D169),$D$695)</f>
        <v>-12286.071</v>
      </c>
      <c r="V697" s="188">
        <f>ROUND(SUM('T3 NSA'!D15,'T3 NSA'!D26,'T3 NSA'!D33,'T3 NSA'!D40,'T3 NSA'!D47,'T3 NSA'!D54,'T3 NSA'!D61,'T3 NSA'!D68,'T3 NSA'!D84,'T3 NSA'!D95,'T3 NSA'!D106,'T3 NSA'!D112,'T3 NSA'!D123,'T3 NSA'!D134,'T3 NSA'!D145,'T3 NSA'!D156,'T3 NSA'!D163,'T3 NSA'!D170),$D$695)</f>
        <v>-52077.142999999996</v>
      </c>
      <c r="W697" s="188">
        <f>ROUND(SUM('T3 NSA'!D16,'T3 NSA'!D27,'T3 NSA'!D34,'T3 NSA'!D41,'T3 NSA'!D48,'T3 NSA'!D55,'T3 NSA'!D62,'T3 NSA'!D69,'T3 NSA'!D85,'T3 NSA'!D96,'T3 NSA'!D107,'T3 NSA'!D113,'T3 NSA'!D124,'T3 NSA'!D135,'T3 NSA'!D146,'T3 NSA'!D157,'T3 NSA'!D164,'T3 NSA'!D171),$D$695)</f>
        <v>12951.151</v>
      </c>
      <c r="X697" s="871"/>
      <c r="Y697" s="871"/>
      <c r="Z697" s="871"/>
    </row>
    <row r="698" spans="1:26">
      <c r="A698" s="876" t="s">
        <v>205</v>
      </c>
      <c r="B698" s="876" t="s">
        <v>281</v>
      </c>
      <c r="C698" s="888" t="s">
        <v>282</v>
      </c>
      <c r="D698" s="863">
        <v>3</v>
      </c>
      <c r="E698" s="871"/>
      <c r="F698" s="871"/>
      <c r="G698" s="871"/>
      <c r="H698" s="871"/>
      <c r="I698" s="871"/>
      <c r="J698" s="162"/>
      <c r="K698" s="162"/>
      <c r="L698" s="162"/>
      <c r="S698" s="879" t="b">
        <f>ROUND('T2 NSA'!C19,$D$698)=ROUND('T3 NSA'!D12,$D$698)</f>
        <v>1</v>
      </c>
      <c r="T698" s="879" t="b">
        <f>ROUND('T2 NSA'!D19,$D$698)=ROUND('T3 NSA'!D13,$D$698)</f>
        <v>1</v>
      </c>
      <c r="U698" s="879" t="b">
        <f>ROUND('T2 NSA'!E19,$D$698)=ROUND('T3 NSA'!D14,$D$698)</f>
        <v>1</v>
      </c>
      <c r="V698" s="879" t="b">
        <f>ROUND('T2 NSA'!F19,$D$698)=ROUND('T3 NSA'!D15,$D$698)</f>
        <v>1</v>
      </c>
      <c r="W698" s="879" t="b">
        <f>ROUND('T2 NSA'!G19,$D$698)=ROUND('T3 NSA'!D16,$D$698)</f>
        <v>1</v>
      </c>
    </row>
    <row r="699" spans="1:26" outlineLevel="1">
      <c r="A699" s="876"/>
      <c r="B699" s="876"/>
      <c r="C699" s="889" t="s">
        <v>283</v>
      </c>
      <c r="D699" s="890"/>
      <c r="E699" s="871"/>
      <c r="F699" s="871"/>
      <c r="G699" s="871"/>
      <c r="H699" s="871"/>
      <c r="I699" s="871"/>
      <c r="J699" s="162"/>
      <c r="K699" s="162"/>
      <c r="L699" s="162"/>
      <c r="S699" s="188">
        <f>ROUND('T2 NSA'!C19,$D$698)</f>
        <v>0</v>
      </c>
      <c r="T699" s="188">
        <f>ROUND('T2 NSA'!D19,$D$698)</f>
        <v>0</v>
      </c>
      <c r="U699" s="188">
        <f>ROUND('T2 NSA'!E19,$D$698)</f>
        <v>0</v>
      </c>
      <c r="V699" s="188">
        <f>ROUND('T2 NSA'!F19,$D$698)</f>
        <v>0</v>
      </c>
      <c r="W699" s="188">
        <f>ROUND('T2 NSA'!G19,$D$698)</f>
        <v>0</v>
      </c>
    </row>
    <row r="700" spans="1:26" outlineLevel="1">
      <c r="A700" s="876"/>
      <c r="B700" s="876"/>
      <c r="C700" s="889" t="s">
        <v>284</v>
      </c>
      <c r="D700" s="890"/>
      <c r="E700" s="871"/>
      <c r="F700" s="871"/>
      <c r="G700" s="871"/>
      <c r="H700" s="871"/>
      <c r="I700" s="871"/>
      <c r="J700" s="162"/>
      <c r="K700" s="162"/>
      <c r="L700" s="162"/>
      <c r="S700" s="188">
        <f>ROUND('T3 NSA'!D12,$D$698)</f>
        <v>0</v>
      </c>
      <c r="T700" s="188">
        <f>ROUND('T3 NSA'!D13,$D$698)</f>
        <v>0</v>
      </c>
      <c r="U700" s="188">
        <f>ROUND('T3 NSA'!D14,$D$698)</f>
        <v>0</v>
      </c>
      <c r="V700" s="188">
        <f>ROUND('T3 NSA'!D15,$D$698)</f>
        <v>0</v>
      </c>
      <c r="W700" s="188">
        <f>ROUND('T3 NSA'!D16,$D$698)</f>
        <v>0</v>
      </c>
    </row>
    <row r="701" spans="1:26">
      <c r="A701" s="876" t="s">
        <v>213</v>
      </c>
      <c r="B701" s="876" t="s">
        <v>285</v>
      </c>
      <c r="C701" s="888" t="s">
        <v>286</v>
      </c>
      <c r="D701" s="863">
        <v>3</v>
      </c>
      <c r="E701" s="871"/>
      <c r="F701" s="871"/>
      <c r="G701" s="871"/>
      <c r="H701" s="871"/>
      <c r="I701" s="871"/>
      <c r="J701" s="162"/>
      <c r="K701" s="162"/>
      <c r="L701" s="162"/>
      <c r="S701" s="879" t="b">
        <f>ROUND('T2 NSA'!C28,$D$701)=ROUND('T3 NSA'!D30+'T3 NSA'!D37+'T3 NSA'!D44+'T3 NSA'!D51+'T3 NSA'!D58+'T3 NSA'!D65,$D$701)</f>
        <v>0</v>
      </c>
      <c r="T701" s="879" t="b">
        <f>ROUND('T2 NSA'!D28,$D$701)=ROUND('T3 NSA'!D31+'T3 NSA'!D38+'T3 NSA'!D45+'T3 NSA'!D52+'T3 NSA'!D59+'T3 NSA'!D66,$D$701)</f>
        <v>0</v>
      </c>
      <c r="U701" s="879" t="b">
        <f>ROUND('T2 NSA'!E28,$D$701)=ROUND('T3 NSA'!D32+'T3 NSA'!D39+'T3 NSA'!D46+'T3 NSA'!D53+'T3 NSA'!D60+'T3 NSA'!D67,$D$701)</f>
        <v>0</v>
      </c>
      <c r="V701" s="879" t="b">
        <f>ROUND('T2 NSA'!F28,$D$701)=ROUND('T3 NSA'!D33+'T3 NSA'!D40+'T3 NSA'!D47+'T3 NSA'!D54+'T3 NSA'!D61+'T3 NSA'!D68,$D$701)</f>
        <v>0</v>
      </c>
      <c r="W701" s="879" t="b">
        <f>ROUND('T2 NSA'!G28,$D$701)=ROUND('T3 NSA'!D34+'T3 NSA'!D41+'T3 NSA'!D48+'T3 NSA'!D55+'T3 NSA'!D62+'T3 NSA'!D69,$D$701)</f>
        <v>0</v>
      </c>
    </row>
    <row r="702" spans="1:26" outlineLevel="1">
      <c r="A702" s="876"/>
      <c r="B702" s="876"/>
      <c r="C702" s="889" t="s">
        <v>283</v>
      </c>
      <c r="D702" s="890"/>
      <c r="E702" s="871"/>
      <c r="F702" s="871"/>
      <c r="G702" s="871"/>
      <c r="H702" s="871"/>
      <c r="I702" s="871"/>
      <c r="J702" s="162"/>
      <c r="K702" s="162"/>
      <c r="L702" s="162"/>
      <c r="S702" s="188">
        <f>ROUND('T2 NSA'!C28,$D$701)</f>
        <v>-7519.6360000000004</v>
      </c>
      <c r="T702" s="188">
        <f>ROUND('T2 NSA'!D28,$D$701)</f>
        <v>-6608.9989999999998</v>
      </c>
      <c r="U702" s="188">
        <f>ROUND('T2 NSA'!E28,$D$701)</f>
        <v>2051.739</v>
      </c>
      <c r="V702" s="188">
        <f>ROUND('T2 NSA'!F28,$D$701)</f>
        <v>0</v>
      </c>
      <c r="W702" s="188">
        <f>ROUND('T2 NSA'!G28,$D$701)</f>
        <v>0</v>
      </c>
    </row>
    <row r="703" spans="1:26" outlineLevel="1">
      <c r="A703" s="876"/>
      <c r="B703" s="876"/>
      <c r="C703" s="889" t="s">
        <v>284</v>
      </c>
      <c r="D703" s="890"/>
      <c r="E703" s="871"/>
      <c r="F703" s="871"/>
      <c r="G703" s="871"/>
      <c r="H703" s="871"/>
      <c r="I703" s="871"/>
      <c r="J703" s="162"/>
      <c r="K703" s="162"/>
      <c r="L703" s="162"/>
      <c r="S703" s="188">
        <f>ROUND('T3 NSA'!D30+'T3 NSA'!D37+'T3 NSA'!D44+'T3 NSA'!D51+'T3 NSA'!D58+'T3 NSA'!D65,$D$701)</f>
        <v>-3882.4690000000001</v>
      </c>
      <c r="T703" s="188">
        <f>ROUND('T3 NSA'!D31+'T3 NSA'!D38+'T3 NSA'!D45+'T3 NSA'!D52+'T3 NSA'!D59+'T3 NSA'!D66,$D$701)</f>
        <v>-3796.7629999999999</v>
      </c>
      <c r="U703" s="188">
        <f>ROUND('T3 NSA'!D32+'T3 NSA'!D39+'T3 NSA'!D46+'T3 NSA'!D53+'T3 NSA'!D60+'T3 NSA'!D67,$D$701)</f>
        <v>-3808.3130000000001</v>
      </c>
      <c r="V703" s="188">
        <f>ROUND('T3 NSA'!D33+'T3 NSA'!D40+'T3 NSA'!D47+'T3 NSA'!D54+'T3 NSA'!D61+'T3 NSA'!D68,$D$701)</f>
        <v>-6609.2650000000003</v>
      </c>
      <c r="W703" s="188">
        <f>ROUND('T3 NSA'!D34+'T3 NSA'!D41+'T3 NSA'!D48+'T3 NSA'!D55+'T3 NSA'!D62+'T3 NSA'!D69,$D$701)</f>
        <v>-6142.6880000000001</v>
      </c>
    </row>
    <row r="704" spans="1:26">
      <c r="A704" s="876" t="s">
        <v>210</v>
      </c>
      <c r="B704" s="876" t="s">
        <v>287</v>
      </c>
      <c r="C704" s="888" t="s">
        <v>288</v>
      </c>
      <c r="D704" s="863">
        <v>3</v>
      </c>
      <c r="E704" s="871"/>
      <c r="F704" s="871"/>
      <c r="G704" s="871"/>
      <c r="H704" s="871"/>
      <c r="I704" s="871"/>
      <c r="J704" s="162"/>
      <c r="K704" s="162"/>
      <c r="L704" s="162"/>
      <c r="S704" s="879" t="b">
        <f>ROUND('T2 NSA'!C41,$D$704)=ROUND('T3 NSA'!D23,$D$704)</f>
        <v>1</v>
      </c>
      <c r="T704" s="879" t="b">
        <f>ROUND('T2 NSA'!D41,$D$704)=ROUND('T3 NSA'!D24,$D$704)</f>
        <v>1</v>
      </c>
      <c r="U704" s="879" t="b">
        <f>ROUND('T2 NSA'!E41,$D$704)=ROUND('T3 NSA'!D25,$D$704)</f>
        <v>1</v>
      </c>
      <c r="V704" s="879" t="b">
        <f>ROUND('T2 NSA'!F41,$D$704)=ROUND('T3 NSA'!D26,$D$704)</f>
        <v>1</v>
      </c>
      <c r="W704" s="879" t="b">
        <f>ROUND('T2 NSA'!G41,$D$704)=ROUND('T3 NSA'!D27,$D$704)</f>
        <v>1</v>
      </c>
    </row>
    <row r="705" spans="1:23" outlineLevel="1">
      <c r="A705" s="876"/>
      <c r="B705" s="876"/>
      <c r="C705" s="889" t="s">
        <v>283</v>
      </c>
      <c r="D705" s="890"/>
      <c r="E705" s="871"/>
      <c r="F705" s="871"/>
      <c r="G705" s="871"/>
      <c r="H705" s="871"/>
      <c r="I705" s="871"/>
      <c r="J705" s="162"/>
      <c r="K705" s="162"/>
      <c r="L705" s="162"/>
      <c r="S705" s="188">
        <f>ROUND('T2 NSA'!C41,$D$704)</f>
        <v>0</v>
      </c>
      <c r="T705" s="188">
        <f>ROUND('T2 NSA'!D41,$D$704)</f>
        <v>0</v>
      </c>
      <c r="U705" s="188">
        <f>ROUND('T2 NSA'!E41,$D$704)</f>
        <v>0</v>
      </c>
      <c r="V705" s="188">
        <f>ROUND('T2 NSA'!F41,$D$704)</f>
        <v>0</v>
      </c>
      <c r="W705" s="188">
        <f>ROUND('T2 NSA'!G41,$D$704)</f>
        <v>0</v>
      </c>
    </row>
    <row r="706" spans="1:23" outlineLevel="1">
      <c r="A706" s="876"/>
      <c r="B706" s="876"/>
      <c r="C706" s="889" t="s">
        <v>284</v>
      </c>
      <c r="D706" s="890"/>
      <c r="E706" s="871"/>
      <c r="F706" s="871"/>
      <c r="G706" s="871"/>
      <c r="H706" s="871"/>
      <c r="I706" s="871"/>
      <c r="J706" s="162"/>
      <c r="K706" s="162"/>
      <c r="L706" s="162"/>
      <c r="S706" s="188">
        <f>ROUND('T3 NSA'!D23,$D$704)</f>
        <v>0</v>
      </c>
      <c r="T706" s="188">
        <f>ROUND('T3 NSA'!D24,$D$704)</f>
        <v>0</v>
      </c>
      <c r="U706" s="188">
        <f>ROUND('T3 NSA'!D25,$D$704)</f>
        <v>0</v>
      </c>
      <c r="V706" s="188">
        <f>ROUND('T3 NSA'!D26,$D$704)</f>
        <v>0</v>
      </c>
      <c r="W706" s="188">
        <f>ROUND('T3 NSA'!D27,$D$704)</f>
        <v>0</v>
      </c>
    </row>
    <row r="707" spans="1:23">
      <c r="A707" s="876" t="s">
        <v>222</v>
      </c>
      <c r="B707" s="876" t="s">
        <v>289</v>
      </c>
      <c r="C707" s="888" t="s">
        <v>290</v>
      </c>
      <c r="D707" s="863">
        <v>3</v>
      </c>
      <c r="E707" s="871"/>
      <c r="F707" s="871"/>
      <c r="G707" s="871"/>
      <c r="H707" s="871"/>
      <c r="I707" s="871"/>
      <c r="J707" s="162"/>
      <c r="K707" s="162"/>
      <c r="L707" s="162"/>
      <c r="S707" s="879" t="b">
        <f>ROUND('T2 NSA'!C46,$D$707)=ROUND('T3 NSA'!D103+'T3 NSA'!D109,$D$707)</f>
        <v>0</v>
      </c>
      <c r="T707" s="879" t="b">
        <f>ROUND('T2 NSA'!D46,$D$707)=ROUND('T3 NSA'!D104+'T3 NSA'!D110,$D$707)</f>
        <v>0</v>
      </c>
      <c r="U707" s="879" t="b">
        <f>ROUND('T2 NSA'!E46,$D$707)=ROUND('T3 NSA'!D105+'T3 NSA'!D111,$D$707)</f>
        <v>0</v>
      </c>
      <c r="V707" s="879" t="b">
        <f>ROUND('T2 NSA'!F46,$D$707)=ROUND('T3 NSA'!D106+'T3 NSA'!D112,$D$707)</f>
        <v>0</v>
      </c>
      <c r="W707" s="879" t="b">
        <f>ROUND('T2 NSA'!G46,$D$707)=ROUND('T3 NSA'!D107+'T3 NSA'!D113,$D$707)</f>
        <v>0</v>
      </c>
    </row>
    <row r="708" spans="1:23" outlineLevel="1">
      <c r="A708" s="876"/>
      <c r="B708" s="876"/>
      <c r="C708" s="889" t="s">
        <v>283</v>
      </c>
      <c r="D708" s="890"/>
      <c r="E708" s="871"/>
      <c r="F708" s="871"/>
      <c r="G708" s="871"/>
      <c r="H708" s="871"/>
      <c r="I708" s="871"/>
      <c r="J708" s="162"/>
      <c r="K708" s="162"/>
      <c r="L708" s="162"/>
      <c r="S708" s="188">
        <f>ROUND('T2 NSA'!C46,$D$707)</f>
        <v>41495.455000000002</v>
      </c>
      <c r="T708" s="188">
        <f>ROUND('T2 NSA'!D46,$D$707)</f>
        <v>40284.425999999999</v>
      </c>
      <c r="U708" s="188">
        <f>ROUND('T2 NSA'!E46,$D$707)</f>
        <v>19039.262999999999</v>
      </c>
      <c r="V708" s="188">
        <f>ROUND('T2 NSA'!F46,$D$707)</f>
        <v>0</v>
      </c>
      <c r="W708" s="188">
        <f>ROUND('T2 NSA'!G46,$D$707)</f>
        <v>0</v>
      </c>
    </row>
    <row r="709" spans="1:23" outlineLevel="1">
      <c r="A709" s="876"/>
      <c r="B709" s="876"/>
      <c r="C709" s="889" t="s">
        <v>284</v>
      </c>
      <c r="D709" s="890"/>
      <c r="E709" s="871"/>
      <c r="F709" s="871"/>
      <c r="G709" s="871"/>
      <c r="H709" s="871"/>
      <c r="I709" s="871"/>
      <c r="J709" s="162"/>
      <c r="K709" s="162"/>
      <c r="L709" s="162"/>
      <c r="S709" s="188">
        <f>ROUND('T3 NSA'!D103+'T3 NSA'!D109,$D$707)</f>
        <v>0</v>
      </c>
      <c r="T709" s="188">
        <f>ROUND('T3 NSA'!E103+'T3 NSA'!E109,$D$707)</f>
        <v>0</v>
      </c>
      <c r="U709" s="188">
        <f>ROUND('T3 NSA'!F103+'T3 NSA'!F109,$D$707)</f>
        <v>0</v>
      </c>
      <c r="V709" s="188">
        <f>ROUND('T3 NSA'!G103+'T3 NSA'!G109,$D$707)</f>
        <v>0</v>
      </c>
      <c r="W709" s="188">
        <f>ROUND('T3 NSA'!H103+'T3 NSA'!H109,$D$707)</f>
        <v>0</v>
      </c>
    </row>
    <row r="710" spans="1:23">
      <c r="A710" s="876" t="s">
        <v>216</v>
      </c>
      <c r="B710" s="876" t="s">
        <v>291</v>
      </c>
      <c r="C710" s="888" t="s">
        <v>292</v>
      </c>
      <c r="D710" s="863">
        <v>3</v>
      </c>
      <c r="E710" s="871"/>
      <c r="F710" s="871"/>
      <c r="G710" s="871"/>
      <c r="H710" s="871"/>
      <c r="I710" s="871"/>
      <c r="J710" s="162"/>
      <c r="K710" s="162"/>
      <c r="L710" s="162"/>
      <c r="S710" s="879" t="b">
        <f>ROUND('T2 NSA'!C54,$D$710)=ROUND('T3 NSA'!D81,$D$710)</f>
        <v>1</v>
      </c>
      <c r="T710" s="879" t="b">
        <f>ROUND('T2 NSA'!D54,$D$710)=ROUND('T3 NSA'!D82,$D$710)</f>
        <v>1</v>
      </c>
      <c r="U710" s="879" t="b">
        <f>ROUND('T2 NSA'!E54,$D$710)=ROUND('T3 NSA'!D83,$D$710)</f>
        <v>1</v>
      </c>
      <c r="V710" s="879" t="b">
        <f>ROUND('T2 NSA'!F54,$D$710)=ROUND('T3 NSA'!D84,$D$710)</f>
        <v>1</v>
      </c>
      <c r="W710" s="879" t="b">
        <f>ROUND('T2 NSA'!G54,$D$710)=ROUND('T3 NSA'!D85,$D$710)</f>
        <v>1</v>
      </c>
    </row>
    <row r="711" spans="1:23" outlineLevel="1">
      <c r="A711" s="876"/>
      <c r="B711" s="876"/>
      <c r="C711" s="889" t="s">
        <v>283</v>
      </c>
      <c r="D711" s="890"/>
      <c r="E711" s="871"/>
      <c r="F711" s="871"/>
      <c r="G711" s="871"/>
      <c r="H711" s="871"/>
      <c r="I711" s="871"/>
      <c r="J711" s="162"/>
      <c r="K711" s="162"/>
      <c r="L711" s="162"/>
      <c r="S711" s="188">
        <f>ROUND('T2 NSA'!C54,$D$710)</f>
        <v>0</v>
      </c>
      <c r="T711" s="188">
        <f>ROUND('T2 NSA'!D54,$D$710)</f>
        <v>0</v>
      </c>
      <c r="U711" s="188">
        <f>ROUND('T2 NSA'!E54,$D$710)</f>
        <v>0</v>
      </c>
      <c r="V711" s="188">
        <f>ROUND('T2 NSA'!F54,$D$710)</f>
        <v>0</v>
      </c>
      <c r="W711" s="188">
        <f>ROUND('T2 NSA'!G54,$D$710)</f>
        <v>0</v>
      </c>
    </row>
    <row r="712" spans="1:23" outlineLevel="1">
      <c r="A712" s="876"/>
      <c r="B712" s="876"/>
      <c r="C712" s="889" t="s">
        <v>284</v>
      </c>
      <c r="D712" s="890"/>
      <c r="E712" s="871"/>
      <c r="F712" s="871"/>
      <c r="G712" s="871"/>
      <c r="H712" s="871"/>
      <c r="I712" s="871"/>
      <c r="J712" s="162"/>
      <c r="K712" s="162"/>
      <c r="L712" s="162"/>
      <c r="S712" s="188">
        <f>ROUND('T3 NSA'!D81,$D$710)</f>
        <v>0</v>
      </c>
      <c r="T712" s="188">
        <f>ROUND('T3 NSA'!D82,$D$710)</f>
        <v>0</v>
      </c>
      <c r="U712" s="188">
        <f>ROUND('T3 NSA'!D83,$D$710)</f>
        <v>0</v>
      </c>
      <c r="V712" s="188">
        <f>ROUND('T3 NSA'!D84,$D$710)</f>
        <v>0</v>
      </c>
      <c r="W712" s="188">
        <f>ROUND('T3 NSA'!D85,$D$710)</f>
        <v>0</v>
      </c>
    </row>
    <row r="713" spans="1:23">
      <c r="A713" s="876" t="s">
        <v>219</v>
      </c>
      <c r="B713" s="876" t="s">
        <v>293</v>
      </c>
      <c r="C713" s="888" t="s">
        <v>294</v>
      </c>
      <c r="D713" s="863">
        <v>3</v>
      </c>
      <c r="E713" s="871"/>
      <c r="F713" s="871"/>
      <c r="G713" s="871"/>
      <c r="H713" s="871"/>
      <c r="I713" s="871"/>
      <c r="J713" s="162"/>
      <c r="K713" s="162"/>
      <c r="L713" s="162"/>
      <c r="S713" s="879" t="b">
        <f>ROUND('T2 NSA'!C59,$D$713)=ROUND('T3 NSA'!D92,$D$713)</f>
        <v>1</v>
      </c>
      <c r="T713" s="879" t="b">
        <f>ROUND('T2 NSA'!D59,$D$713)=ROUND('T3 NSA'!D93,$D$713)</f>
        <v>1</v>
      </c>
      <c r="U713" s="879" t="b">
        <f>ROUND('T2 NSA'!E59,$D$713)=ROUND('T3 NSA'!D94,$D$713)</f>
        <v>1</v>
      </c>
      <c r="V713" s="879" t="b">
        <f>ROUND('T2 NSA'!F59,$D$713)=ROUND('T3 NSA'!D95,$D$713)</f>
        <v>1</v>
      </c>
      <c r="W713" s="879" t="b">
        <f>ROUND('T2 NSA'!G59,$D$713)=ROUND('T3 NSA'!D96,$D$713)</f>
        <v>1</v>
      </c>
    </row>
    <row r="714" spans="1:23" outlineLevel="1">
      <c r="A714" s="876"/>
      <c r="B714" s="876"/>
      <c r="C714" s="889" t="s">
        <v>283</v>
      </c>
      <c r="D714" s="890"/>
      <c r="E714" s="871"/>
      <c r="F714" s="871"/>
      <c r="G714" s="871"/>
      <c r="H714" s="871"/>
      <c r="I714" s="871"/>
      <c r="J714" s="162"/>
      <c r="K714" s="162"/>
      <c r="L714" s="162"/>
      <c r="S714" s="188">
        <f>ROUND('T2 NSA'!C59,$D$713)</f>
        <v>0</v>
      </c>
      <c r="T714" s="188">
        <f>ROUND('T2 NSA'!D59,$D$713)</f>
        <v>0</v>
      </c>
      <c r="U714" s="188">
        <f>ROUND('T2 NSA'!E59,$D$713)</f>
        <v>0</v>
      </c>
      <c r="V714" s="188">
        <f>ROUND('T2 NSA'!F59,$D$713)</f>
        <v>0</v>
      </c>
      <c r="W714" s="188">
        <f>ROUND('T2 NSA'!G59,$D$713)</f>
        <v>0</v>
      </c>
    </row>
    <row r="715" spans="1:23" outlineLevel="1">
      <c r="A715" s="876"/>
      <c r="B715" s="876"/>
      <c r="C715" s="889" t="s">
        <v>284</v>
      </c>
      <c r="D715" s="890"/>
      <c r="E715" s="871"/>
      <c r="F715" s="871"/>
      <c r="G715" s="871"/>
      <c r="H715" s="871"/>
      <c r="I715" s="871"/>
      <c r="J715" s="162"/>
      <c r="K715" s="162"/>
      <c r="L715" s="162"/>
      <c r="S715" s="188">
        <f>ROUND('T3 NSA'!D92,$D$713)</f>
        <v>0</v>
      </c>
      <c r="T715" s="188">
        <f>ROUND('T3 NSA'!D93,$D$713)</f>
        <v>0</v>
      </c>
      <c r="U715" s="188">
        <f>ROUND('T3 NSA'!D94,$D$713)</f>
        <v>0</v>
      </c>
      <c r="V715" s="188">
        <f>ROUND('T3 NSA'!D95,$D$713)</f>
        <v>0</v>
      </c>
      <c r="W715" s="188">
        <f>ROUND('T3 NSA'!D96,$D$713)</f>
        <v>0</v>
      </c>
    </row>
    <row r="716" spans="1:23">
      <c r="A716" s="876" t="s">
        <v>231</v>
      </c>
      <c r="B716" s="876" t="s">
        <v>295</v>
      </c>
      <c r="C716" s="888" t="s">
        <v>296</v>
      </c>
      <c r="D716" s="863">
        <v>3</v>
      </c>
      <c r="E716" s="871"/>
      <c r="F716" s="871"/>
      <c r="G716" s="871"/>
      <c r="H716" s="871"/>
      <c r="I716" s="871"/>
      <c r="J716" s="162"/>
      <c r="K716" s="162"/>
      <c r="L716" s="162"/>
      <c r="S716" s="879" t="b">
        <f>ROUND('T2 NSA'!C63,$D$716)=ROUND('T3 NSA'!D160,$D$716)</f>
        <v>0</v>
      </c>
      <c r="T716" s="879" t="b">
        <f>ROUND('T2 NSA'!D63,$D$716)=ROUND('T3 NSA'!D161,$D$716)</f>
        <v>1</v>
      </c>
      <c r="U716" s="879" t="b">
        <f>ROUND('T2 NSA'!E63,$D$716)=ROUND('T3 NSA'!D162,$D$716)</f>
        <v>1</v>
      </c>
      <c r="V716" s="879" t="b">
        <f>ROUND('T2 NSA'!F63,$D$716)=ROUND('T3 NSA'!D163,$D$716)</f>
        <v>1</v>
      </c>
      <c r="W716" s="879" t="b">
        <f>ROUND('T2 NSA'!G63,$D$716)=ROUND('T3 NSA'!D164,$D$716)</f>
        <v>1</v>
      </c>
    </row>
    <row r="717" spans="1:23" outlineLevel="1">
      <c r="A717" s="876"/>
      <c r="B717" s="876"/>
      <c r="C717" s="889" t="s">
        <v>283</v>
      </c>
      <c r="D717" s="890"/>
      <c r="E717" s="871"/>
      <c r="F717" s="871"/>
      <c r="G717" s="871"/>
      <c r="H717" s="871"/>
      <c r="I717" s="871"/>
      <c r="J717" s="162"/>
      <c r="K717" s="162"/>
      <c r="L717" s="162"/>
      <c r="S717" s="188">
        <f>ROUND('T2 NSA'!C63,$D$716)</f>
        <v>0</v>
      </c>
      <c r="T717" s="188">
        <f>ROUND('T2 NSA'!D63,$D$716)</f>
        <v>0</v>
      </c>
      <c r="U717" s="188">
        <f>ROUND('T2 NSA'!E63,$D$716)</f>
        <v>0</v>
      </c>
      <c r="V717" s="188">
        <f>ROUND('T2 NSA'!F63,$D$716)</f>
        <v>0</v>
      </c>
      <c r="W717" s="188">
        <f>ROUND('T2 NSA'!G63,$D$716)</f>
        <v>0</v>
      </c>
    </row>
    <row r="718" spans="1:23" outlineLevel="1">
      <c r="A718" s="876"/>
      <c r="B718" s="876"/>
      <c r="C718" s="889" t="s">
        <v>284</v>
      </c>
      <c r="D718" s="890"/>
      <c r="E718" s="871"/>
      <c r="F718" s="871"/>
      <c r="G718" s="871"/>
      <c r="H718" s="871"/>
      <c r="I718" s="871"/>
      <c r="J718" s="162"/>
      <c r="K718" s="162"/>
      <c r="L718" s="162"/>
      <c r="S718" s="188">
        <f>ROUND('T3 NSA'!D160,$D$716)</f>
        <v>100819.145</v>
      </c>
      <c r="T718" s="188">
        <f>ROUND('T3 NSA'!D161,$D$716)</f>
        <v>0</v>
      </c>
      <c r="U718" s="188">
        <f>ROUND('T3 NSA'!D162,$D$716)</f>
        <v>0</v>
      </c>
      <c r="V718" s="188">
        <f>ROUND('T3 NSA'!D163,$D$716)</f>
        <v>0</v>
      </c>
      <c r="W718" s="188">
        <f>ROUND('T3 NSA'!D164,$D$716)</f>
        <v>0</v>
      </c>
    </row>
    <row r="719" spans="1:23">
      <c r="A719" s="876" t="s">
        <v>297</v>
      </c>
      <c r="B719" s="876" t="s">
        <v>298</v>
      </c>
      <c r="C719" s="888" t="s">
        <v>299</v>
      </c>
      <c r="D719" s="863">
        <v>3</v>
      </c>
      <c r="E719" s="871"/>
      <c r="F719" s="871"/>
      <c r="G719" s="871"/>
      <c r="H719" s="871"/>
      <c r="I719" s="871"/>
      <c r="J719" s="162"/>
      <c r="K719" s="162"/>
      <c r="L719" s="162"/>
      <c r="S719" s="879" t="b">
        <f>ROUND('T2 NSA'!C66,$D$719)=ROUND('T3 NSA'!D167,$D$719)</f>
        <v>1</v>
      </c>
      <c r="T719" s="879" t="b">
        <f>ROUND('T2 NSA'!D66,$D$719)=ROUND('T3 NSA'!D168,$D$719)</f>
        <v>1</v>
      </c>
      <c r="U719" s="879" t="b">
        <f>ROUND('T2 NSA'!E66,$D$719)=ROUND('T3 NSA'!D169,$D$719)</f>
        <v>1</v>
      </c>
      <c r="V719" s="879" t="b">
        <f>ROUND('T2 NSA'!F66,$D$719)=ROUND('T3 NSA'!D170,$D$719)</f>
        <v>1</v>
      </c>
      <c r="W719" s="879" t="b">
        <f>ROUND('T2 NSA'!G66,$D$719)=ROUND('T3 NSA'!D171,$D$719)</f>
        <v>1</v>
      </c>
    </row>
    <row r="720" spans="1:23" outlineLevel="1">
      <c r="A720" s="876"/>
      <c r="B720" s="876"/>
      <c r="C720" s="889" t="s">
        <v>283</v>
      </c>
      <c r="D720" s="890"/>
      <c r="E720" s="871"/>
      <c r="F720" s="871"/>
      <c r="G720" s="871"/>
      <c r="H720" s="871"/>
      <c r="I720" s="871"/>
      <c r="J720" s="162"/>
      <c r="K720" s="162"/>
      <c r="L720" s="162"/>
      <c r="S720" s="188">
        <f>ROUND('T2 NSA'!C66,$D$719)</f>
        <v>0</v>
      </c>
      <c r="T720" s="188">
        <f>ROUND('T2 NSA'!D66,$D$719)</f>
        <v>0</v>
      </c>
      <c r="U720" s="188">
        <f>ROUND('T2 NSA'!E66,$D$719)</f>
        <v>0</v>
      </c>
      <c r="V720" s="188">
        <f>ROUND('T2 NSA'!F66,$D$719)</f>
        <v>0</v>
      </c>
      <c r="W720" s="188">
        <f>ROUND('T2 NSA'!G66,$D$719)</f>
        <v>0</v>
      </c>
    </row>
    <row r="721" spans="1:23" outlineLevel="1">
      <c r="A721" s="876"/>
      <c r="B721" s="876"/>
      <c r="C721" s="889" t="s">
        <v>284</v>
      </c>
      <c r="D721" s="890"/>
      <c r="E721" s="871"/>
      <c r="F721" s="871"/>
      <c r="G721" s="871"/>
      <c r="H721" s="871"/>
      <c r="I721" s="871"/>
      <c r="J721" s="162"/>
      <c r="K721" s="162"/>
      <c r="L721" s="162"/>
      <c r="S721" s="188">
        <f>ROUND('T3 NSA'!D167,$D$719)</f>
        <v>0</v>
      </c>
      <c r="T721" s="188">
        <f>ROUND('T3 NSA'!D168,$D$719)</f>
        <v>0</v>
      </c>
      <c r="U721" s="188">
        <f>ROUND('T3 NSA'!D169,$D$719)</f>
        <v>0</v>
      </c>
      <c r="V721" s="188">
        <f>ROUND('T3 NSA'!D170,$D$719)</f>
        <v>0</v>
      </c>
      <c r="W721" s="188">
        <f>ROUND('T3 NSA'!D171,$D$719)</f>
        <v>0</v>
      </c>
    </row>
    <row r="722" spans="1:23">
      <c r="A722" s="876" t="s">
        <v>300</v>
      </c>
      <c r="B722" s="876" t="s">
        <v>301</v>
      </c>
      <c r="C722" s="888" t="s">
        <v>302</v>
      </c>
      <c r="D722" s="863">
        <v>3</v>
      </c>
      <c r="E722" s="871"/>
      <c r="F722" s="871"/>
      <c r="G722" s="871"/>
      <c r="H722" s="871"/>
      <c r="I722" s="871"/>
      <c r="J722" s="162"/>
      <c r="K722" s="162"/>
      <c r="L722" s="162"/>
      <c r="S722" s="879" t="b">
        <f>ROUND('T2 NSA'!C73,$D$722)=ROUND('T3 NSA'!D120+'T3 NSA'!D131+'T3 NSA'!D142+'T3 NSA'!D160,$D$722)</f>
        <v>0</v>
      </c>
      <c r="T722" s="879" t="b">
        <f>ROUND('T2 NSA'!D73,$D$722)=ROUND('T3 NSA'!D121+'T3 NSA'!D132+'T3 NSA'!D143+'T3 NSA'!D161,$D$722)</f>
        <v>1</v>
      </c>
      <c r="U722" s="879" t="b">
        <f>ROUND('T2 NSA'!E73,$D$722)=ROUND('T3 NSA'!D122+'T3 NSA'!D133+'T3 NSA'!D144+'T3 NSA'!D162,$D$722)</f>
        <v>0</v>
      </c>
      <c r="V722" s="879" t="b">
        <f>ROUND('T2 NSA'!F73,$D$722)=ROUND('T3 NSA'!D123+'T3 NSA'!D134+'T3 NSA'!D145+'T3 NSA'!D163,$D$722)</f>
        <v>0</v>
      </c>
      <c r="W722" s="879" t="b">
        <f>ROUND('T2 NSA'!G73,$D$722)=ROUND('T3 NSA'!D124+'T3 NSA'!D135+'T3 NSA'!D146+'T3 NSA'!D164,$D$722)</f>
        <v>0</v>
      </c>
    </row>
    <row r="723" spans="1:23" outlineLevel="1">
      <c r="A723" s="876"/>
      <c r="B723" s="876"/>
      <c r="C723" s="889" t="s">
        <v>283</v>
      </c>
      <c r="D723" s="890"/>
      <c r="E723" s="871"/>
      <c r="F723" s="871"/>
      <c r="G723" s="871"/>
      <c r="H723" s="871"/>
      <c r="I723" s="871"/>
      <c r="J723" s="162"/>
      <c r="K723" s="162"/>
      <c r="L723" s="162"/>
      <c r="S723" s="188">
        <f>ROUND('T2 NSA'!C73,$D$722)</f>
        <v>0</v>
      </c>
      <c r="T723" s="188">
        <f>ROUND('T2 NSA'!D73,$D$722)</f>
        <v>0</v>
      </c>
      <c r="U723" s="188">
        <f>ROUND('T2 NSA'!E73,$D$722)</f>
        <v>0</v>
      </c>
      <c r="V723" s="188">
        <f>ROUND('T2 NSA'!F73,$D$722)</f>
        <v>0</v>
      </c>
      <c r="W723" s="188">
        <f>ROUND('T2 NSA'!G73,$D$722)</f>
        <v>0</v>
      </c>
    </row>
    <row r="724" spans="1:23" outlineLevel="1">
      <c r="A724" s="876"/>
      <c r="B724" s="876"/>
      <c r="C724" s="889" t="s">
        <v>284</v>
      </c>
      <c r="D724" s="890"/>
      <c r="E724" s="871"/>
      <c r="F724" s="871"/>
      <c r="G724" s="871"/>
      <c r="H724" s="871"/>
      <c r="I724" s="871"/>
      <c r="J724" s="162"/>
      <c r="K724" s="162"/>
      <c r="L724" s="162"/>
      <c r="S724" s="188">
        <f>ROUND('T3 NSA'!D120+'T3 NSA'!D131+'T3 NSA'!D142+'T3 NSA'!D160,$D$722)</f>
        <v>100819.145</v>
      </c>
      <c r="T724" s="188">
        <f>ROUND('T3 NSA'!D121+'T3 NSA'!D132+'T3 NSA'!D143+'T3 NSA'!D161,$D$722)</f>
        <v>0</v>
      </c>
      <c r="U724" s="188">
        <f>ROUND('T3 NSA'!D122+'T3 NSA'!D133+'T3 NSA'!D144+'T3 NSA'!D162,$D$722)</f>
        <v>-8107.9229999999998</v>
      </c>
      <c r="V724" s="188">
        <f>ROUND('T3 NSA'!D123+'T3 NSA'!D134+'T3 NSA'!D145+'T3 NSA'!D163,$D$722)</f>
        <v>-8764.768</v>
      </c>
      <c r="W724" s="188">
        <f>ROUND('T3 NSA'!E123+'T3 NSA'!E134+'T3 NSA'!E145+'T3 NSA'!E163,$D$722)</f>
        <v>0</v>
      </c>
    </row>
    <row r="725" spans="1:23" s="871" customFormat="1">
      <c r="A725" s="876" t="s">
        <v>303</v>
      </c>
      <c r="B725" s="876" t="s">
        <v>304</v>
      </c>
      <c r="C725" s="877" t="s">
        <v>305</v>
      </c>
      <c r="D725" s="890"/>
      <c r="L725" s="162"/>
      <c r="M725" s="162"/>
      <c r="R725" s="162"/>
      <c r="S725" s="879" t="b">
        <f>SUM('T3 NSA'!$E$10,'T3 NSA'!$E$12:$E$16,'T3 NSA'!$E$21,'T3 NSA'!$E$23:$E$27,'T3 NSA'!$E$30:$E$34,'T3 NSA'!$E$37:$E$41,'T3 NSA'!$E$44:$E$48,'T3 NSA'!$E$51:$E$55,'T3 NSA'!$E$58:$E$62,'T3 NSA'!$E$65:$E$69,'T3 NSA'!$E$74,'T3 NSA'!$E$79,'T3 NSA'!$E$81:$E$85,'T3 NSA'!$E$90,'T3 NSA'!$E$92:$E$96,'T3 NSA'!$E$101,'T3 NSA'!$E$103:$E$107,'T3 NSA'!$E$109:$E$113)=0</f>
        <v>0</v>
      </c>
      <c r="T725" s="879" t="b">
        <f>SUM('T3 NSA'!$F$12:$F$16,'T3 NSA'!$F$23:$F$27,'T3 NSA'!$F$30:$F$34,'T3 NSA'!$F$37:$F$41,'T3 NSA'!$F$44:$F$48,'T3 NSA'!$F$51:$F$55,'T3 NSA'!$F$58:$F$62,'T3 NSA'!$F$65:$F$69,'T3 NSA'!$F$81:$F$85,'T3 NSA'!$F$92:$F$96,'T3 NSA'!$F$103:$F$107,'T3 NSA'!$F$109:$F$113)=0</f>
        <v>0</v>
      </c>
      <c r="U725" s="879" t="b">
        <f>SUM('T3 NSA'!$G$13:$G$16,'T3 NSA'!$G$24:$G$27,'T3 NSA'!$G$31:$G$34,'T3 NSA'!$G$38:$G$41,'T3 NSA'!$G$45:$G$48,'T3 NSA'!$G$52:$G$55,'T3 NSA'!$G$59:$G$62,'T3 NSA'!$G$66:$G$69,'T3 NSA'!$G$82:$G$85,'T3 NSA'!$G$93:$G$96,'T3 NSA'!$G$104:$G$107,'T3 NSA'!$G$110:$G$113)=0</f>
        <v>0</v>
      </c>
      <c r="V725" s="879" t="b">
        <f>SUM('T3 NSA'!$H$14:$H$16,'T3 NSA'!$H$25:$H$27,'T3 NSA'!$H$32:$H$34,'T3 NSA'!$H$39:$H$41,'T3 NSA'!$H$46:$H$48,'T3 NSA'!$H$53:$H$55,'T3 NSA'!$H$60:$H$62,'T3 NSA'!$H$67:$H$69,'T3 NSA'!$H$83:$H$85,'T3 NSA'!$H$94:$H$96,'T3 NSA'!$H$105:$H$107,'T3 NSA'!$H$111:$H$113)=0</f>
        <v>0</v>
      </c>
      <c r="W725" s="879" t="b">
        <f>SUM('T3 NSA'!$I$15:$I$16,'T3 NSA'!$I$26:$I$27,'T3 NSA'!$I$33:$I$34,'T3 NSA'!$I$40:$I$41,'T3 NSA'!$I$47:$I$48,'T3 NSA'!$I$54:$I$55,'T3 NSA'!$I$61:$I$62,'T3 NSA'!$I$68:$I$69,'T3 NSA'!$I$84:$I$85,'T3 NSA'!$I$95:$I$96,'T3 NSA'!$I$106:$I$107,'T3 NSA'!$I$112:$I$113)=0</f>
        <v>0</v>
      </c>
    </row>
    <row r="726" spans="1:23" outlineLevel="1">
      <c r="A726" s="876"/>
      <c r="B726" s="876"/>
      <c r="C726" s="880" t="s">
        <v>306</v>
      </c>
      <c r="D726" s="890"/>
      <c r="J726" s="162"/>
      <c r="K726" s="162"/>
      <c r="L726" s="162"/>
      <c r="S726" s="188">
        <f>SUM('T3 NSA'!$E$10,'T3 NSA'!$E$12:$E$16,'T3 NSA'!$E$21,'T3 NSA'!$E$23:$E$27,'T3 NSA'!$E$30:$E$34,'T3 NSA'!$E$37:$E$41,'T3 NSA'!$E$44:$E$48,'T3 NSA'!$E$51:$E$55,'T3 NSA'!$E$58:$E$62,'T3 NSA'!$E$65:$E$69,'T3 NSA'!$E$74,'T3 NSA'!$E$79,'T3 NSA'!$E$81:$E$85,'T3 NSA'!$E$90,'T3 NSA'!$E$92:$E$96,'T3 NSA'!$E$101,'T3 NSA'!$E$103:$E$107,'T3 NSA'!$E$109:$E$113)</f>
        <v>-1453</v>
      </c>
      <c r="T726" s="188">
        <f>SUM('T3 NSA'!$F$12:$F$16,'T3 NSA'!$F$23:$F$27,'T3 NSA'!$F$30:$F$34,'T3 NSA'!$F$37:$F$41,'T3 NSA'!$F$44:$F$48,'T3 NSA'!$F$51:$F$55,'T3 NSA'!$F$58:$F$62,'T3 NSA'!$F$65:$F$69,'T3 NSA'!$F$81:$F$85,'T3 NSA'!$F$92:$F$96,'T3 NSA'!$F$103:$F$107,'T3 NSA'!$F$109:$F$113)</f>
        <v>-11057.848118955062</v>
      </c>
      <c r="U726" s="188">
        <f>SUM('T3 NSA'!$G$13:$G$16,'T3 NSA'!$G$24:$G$27,'T3 NSA'!$G$31:$G$34,'T3 NSA'!$G$38:$G$41,'T3 NSA'!$G$45:$G$48,'T3 NSA'!$G$52:$G$55,'T3 NSA'!$G$59:$G$62,'T3 NSA'!$G$66:$G$69,'T3 NSA'!$G$82:$G$85,'T3 NSA'!$G$93:$G$96,'T3 NSA'!$G$104:$G$107,'T3 NSA'!$G$110:$G$113)</f>
        <v>-11327.94938476161</v>
      </c>
      <c r="V726" s="188">
        <f>SUM('T3 NSA'!$G$13:$G$16,'T3 NSA'!$G$24:$G$27,'T3 NSA'!$G$31:$G$34,'T3 NSA'!$G$38:$G$41,'T3 NSA'!$G$45:$G$48,'T3 NSA'!$G$52:$G$55,'T3 NSA'!$G$59:$G$62,'T3 NSA'!$G$66:$G$69,'T3 NSA'!$G$82:$G$85,'T3 NSA'!$G$93:$G$96,'T3 NSA'!$G$104:$G$107,'T3 NSA'!$G$110:$G$113)</f>
        <v>-11327.94938476161</v>
      </c>
      <c r="W726" s="188">
        <f>SUM('T3 NSA'!$G$13:$G$16,'T3 NSA'!$G$24:$G$27,'T3 NSA'!$G$31:$G$34,'T3 NSA'!$G$38:$G$41,'T3 NSA'!$G$45:$G$48,'T3 NSA'!$G$52:$G$55,'T3 NSA'!$G$59:$G$62,'T3 NSA'!$G$66:$G$69,'T3 NSA'!$G$82:$G$85,'T3 NSA'!$G$93:$G$96,'T3 NSA'!$G$104:$G$107,'T3 NSA'!$G$110:$G$113)</f>
        <v>-11327.94938476161</v>
      </c>
    </row>
    <row r="727" spans="1:23">
      <c r="A727" s="876" t="s">
        <v>307</v>
      </c>
      <c r="B727" s="876" t="s">
        <v>308</v>
      </c>
      <c r="C727" s="877" t="s">
        <v>309</v>
      </c>
      <c r="D727" s="863">
        <v>3</v>
      </c>
      <c r="J727" s="162"/>
      <c r="K727" s="162"/>
      <c r="L727" s="162"/>
      <c r="S727" s="879" t="b">
        <f>ROUND(SUM('T3 NSA'!E72:E73),$D$727)=0</f>
        <v>1</v>
      </c>
    </row>
    <row r="728" spans="1:23" outlineLevel="1">
      <c r="A728" s="876"/>
      <c r="B728" s="876"/>
      <c r="C728" s="880" t="s">
        <v>310</v>
      </c>
      <c r="D728" s="890"/>
      <c r="J728" s="162"/>
      <c r="K728" s="162"/>
      <c r="L728" s="162"/>
      <c r="S728" s="188">
        <f>ROUND(SUM('T3 NSA'!E72:E73),$D$727)</f>
        <v>0</v>
      </c>
    </row>
    <row r="729" spans="1:23" outlineLevel="1">
      <c r="A729" s="876"/>
      <c r="B729" s="876"/>
      <c r="C729" s="880" t="s">
        <v>311</v>
      </c>
      <c r="D729" s="890"/>
      <c r="J729" s="162"/>
      <c r="K729" s="162"/>
      <c r="L729" s="162"/>
      <c r="S729" s="188">
        <f>0</f>
        <v>0</v>
      </c>
    </row>
    <row r="730" spans="1:23" s="208" customFormat="1">
      <c r="A730" s="206"/>
      <c r="B730" s="207"/>
      <c r="D730" s="209"/>
      <c r="E730" s="209"/>
      <c r="F730" s="209"/>
      <c r="G730" s="209"/>
      <c r="H730" s="209"/>
      <c r="I730" s="209"/>
      <c r="J730" s="209"/>
      <c r="K730" s="209"/>
      <c r="L730" s="209"/>
      <c r="R730" s="162"/>
    </row>
  </sheetData>
  <mergeCells count="13">
    <mergeCell ref="S8:W8"/>
    <mergeCell ref="A172:C173"/>
    <mergeCell ref="S172:W172"/>
    <mergeCell ref="A6:B6"/>
    <mergeCell ref="A1:C1"/>
    <mergeCell ref="A2:B2"/>
    <mergeCell ref="A3:B3"/>
    <mergeCell ref="A4:B4"/>
    <mergeCell ref="A5:B5"/>
    <mergeCell ref="A7:B7"/>
    <mergeCell ref="A9:C9"/>
    <mergeCell ref="M8:Q8"/>
    <mergeCell ref="E8:L8"/>
  </mergeCells>
  <conditionalFormatting sqref="E14:Q14 E17:Q17 E20:Q20 E11:Q11 F28:Q28 E73:Q73 E35:Q35 E41:Q41 E55:Q55 E52:Q52 E61:Q61 E58:Q58 E89:Q89 E86:Q86 E83:Q83 E38:Q38 F46:Q46 E100:Q100 E109:Q109 E106:Q106 E103:Q103 F94:Q94 E151:Q151 E154:Q154 E157:Q157 E118:Q118 E97:Q97 E64:Q64 E160:Q160 E166:Q166 E49:Q49 E112:Q112 F25:Q25 S28:U28 S11:U11 S20:U20 S17:U17 S14:U14 S35:U35 S25:U25 S49:U49 S64:U64 S46:U46 S38:U38 S58:U58 S61:U61 S52:U52 S55:U55 S41:U41 S73:U73 S112:U112 S97:U97 S118:U118 S94:U94 S103:U103 S106:U106 S109:U109 S100:U100 S83:U83 S86:U86 S89:U89 S160:U160 S157:U157 S154:U154 S151:U151 S166:U166">
    <cfRule type="containsErrors" dxfId="764" priority="757" stopIfTrue="1">
      <formula>ISERROR(E11)</formula>
    </cfRule>
    <cfRule type="expression" dxfId="763" priority="762" stopIfTrue="1">
      <formula>OR(E12=0,E13=0)</formula>
    </cfRule>
    <cfRule type="cellIs" dxfId="762" priority="763" stopIfTrue="1" operator="equal">
      <formula>FALSE</formula>
    </cfRule>
    <cfRule type="cellIs" dxfId="761" priority="764" stopIfTrue="1" operator="equal">
      <formula>TRUE</formula>
    </cfRule>
    <cfRule type="containsText" dxfId="760" priority="765" stopIfTrue="1" operator="containsText" text="N/A">
      <formula>NOT(ISERROR(SEARCH("N/A",E11)))</formula>
    </cfRule>
  </conditionalFormatting>
  <conditionalFormatting sqref="E67:Q67 E163:Q163 E115:Q115 S67:U67 S115:U115 S163:U163">
    <cfRule type="containsErrors" dxfId="759" priority="751" stopIfTrue="1">
      <formula>ISERROR(E67)</formula>
    </cfRule>
    <cfRule type="expression" dxfId="758" priority="758" stopIfTrue="1">
      <formula>(E68=0)</formula>
    </cfRule>
    <cfRule type="cellIs" dxfId="757" priority="759" stopIfTrue="1" operator="equal">
      <formula>FALSE</formula>
    </cfRule>
    <cfRule type="cellIs" dxfId="756" priority="760" stopIfTrue="1" operator="equal">
      <formula>TRUE</formula>
    </cfRule>
    <cfRule type="containsText" dxfId="755" priority="761" stopIfTrue="1" operator="containsText" text="N/A">
      <formula>NOT(ISERROR(SEARCH("N/A",E67)))</formula>
    </cfRule>
  </conditionalFormatting>
  <conditionalFormatting sqref="E121:Q121 E169:Q169 S121:U121 S169:U169">
    <cfRule type="containsErrors" dxfId="754" priority="752" stopIfTrue="1">
      <formula>ISERROR(E121)</formula>
    </cfRule>
    <cfRule type="cellIs" dxfId="753" priority="753" stopIfTrue="1" operator="equal">
      <formula>FALSE</formula>
    </cfRule>
    <cfRule type="expression" dxfId="752" priority="754" stopIfTrue="1">
      <formula>OR(E122=0,E123=0)</formula>
    </cfRule>
    <cfRule type="cellIs" dxfId="751" priority="755" stopIfTrue="1" operator="equal">
      <formula>TRUE</formula>
    </cfRule>
    <cfRule type="containsText" dxfId="750" priority="756" stopIfTrue="1" operator="containsText" text="N/A">
      <formula>NOT(ISERROR(SEARCH("N/A",E121)))</formula>
    </cfRule>
  </conditionalFormatting>
  <conditionalFormatting sqref="E31:Q31 S31:U31">
    <cfRule type="containsErrors" dxfId="749" priority="746" stopIfTrue="1">
      <formula>ISERROR(E31)</formula>
    </cfRule>
    <cfRule type="expression" dxfId="748" priority="747" stopIfTrue="1">
      <formula>OR(E32=0,E33=0)</formula>
    </cfRule>
    <cfRule type="cellIs" dxfId="747" priority="748" stopIfTrue="1" operator="equal">
      <formula>FALSE</formula>
    </cfRule>
    <cfRule type="cellIs" dxfId="746" priority="749" stopIfTrue="1" operator="equal">
      <formula>TRUE</formula>
    </cfRule>
    <cfRule type="containsText" dxfId="745" priority="750" stopIfTrue="1" operator="containsText" text="N/A">
      <formula>NOT(ISERROR(SEARCH("N/A",E31)))</formula>
    </cfRule>
  </conditionalFormatting>
  <conditionalFormatting sqref="E134:Q134 S134:U134">
    <cfRule type="containsErrors" dxfId="744" priority="736" stopIfTrue="1">
      <formula>ISERROR(E134)</formula>
    </cfRule>
    <cfRule type="expression" dxfId="743" priority="737" stopIfTrue="1">
      <formula>OR(E135=0,E136=0)</formula>
    </cfRule>
    <cfRule type="cellIs" dxfId="742" priority="738" stopIfTrue="1" operator="equal">
      <formula>FALSE</formula>
    </cfRule>
    <cfRule type="cellIs" dxfId="741" priority="739" stopIfTrue="1" operator="equal">
      <formula>TRUE</formula>
    </cfRule>
    <cfRule type="containsText" dxfId="740" priority="740" stopIfTrue="1" operator="containsText" text="N/A">
      <formula>NOT(ISERROR(SEARCH("N/A",E134)))</formula>
    </cfRule>
  </conditionalFormatting>
  <conditionalFormatting sqref="E131:Q131 S131:U131">
    <cfRule type="containsErrors" dxfId="739" priority="741" stopIfTrue="1">
      <formula>ISERROR(E131)</formula>
    </cfRule>
    <cfRule type="expression" dxfId="738" priority="742" stopIfTrue="1">
      <formula>OR(E132=0,E133=0)</formula>
    </cfRule>
    <cfRule type="cellIs" dxfId="737" priority="743" stopIfTrue="1" operator="equal">
      <formula>FALSE</formula>
    </cfRule>
    <cfRule type="cellIs" dxfId="736" priority="744" stopIfTrue="1" operator="equal">
      <formula>TRUE</formula>
    </cfRule>
    <cfRule type="containsText" dxfId="735" priority="745" stopIfTrue="1" operator="containsText" text="N/A">
      <formula>NOT(ISERROR(SEARCH("N/A",E131)))</formula>
    </cfRule>
  </conditionalFormatting>
  <conditionalFormatting sqref="E137:Q137 S137:U137">
    <cfRule type="containsErrors" dxfId="734" priority="731" stopIfTrue="1">
      <formula>ISERROR(E137)</formula>
    </cfRule>
    <cfRule type="expression" dxfId="733" priority="732" stopIfTrue="1">
      <formula>OR(E138=0,E139=0)</formula>
    </cfRule>
    <cfRule type="cellIs" dxfId="732" priority="733" stopIfTrue="1" operator="equal">
      <formula>FALSE</formula>
    </cfRule>
    <cfRule type="cellIs" dxfId="731" priority="734" stopIfTrue="1" operator="equal">
      <formula>TRUE</formula>
    </cfRule>
    <cfRule type="containsText" dxfId="730" priority="735" stopIfTrue="1" operator="containsText" text="N/A">
      <formula>NOT(ISERROR(SEARCH("N/A",E137)))</formula>
    </cfRule>
  </conditionalFormatting>
  <conditionalFormatting sqref="K23:Q23 S23:U23">
    <cfRule type="containsErrors" dxfId="729" priority="766" stopIfTrue="1">
      <formula>ISERROR(K23)</formula>
    </cfRule>
    <cfRule type="expression" dxfId="728" priority="767" stopIfTrue="1">
      <formula>OR(K24=0,#REF!=0)</formula>
    </cfRule>
    <cfRule type="cellIs" dxfId="727" priority="768" stopIfTrue="1" operator="equal">
      <formula>FALSE</formula>
    </cfRule>
    <cfRule type="cellIs" dxfId="726" priority="769" stopIfTrue="1" operator="equal">
      <formula>TRUE</formula>
    </cfRule>
    <cfRule type="containsText" dxfId="725" priority="770" stopIfTrue="1" operator="containsText" text="N/A">
      <formula>NOT(ISERROR(SEARCH("N/A",K23)))</formula>
    </cfRule>
  </conditionalFormatting>
  <conditionalFormatting sqref="E70:Q70 S70:U70">
    <cfRule type="containsErrors" dxfId="724" priority="726" stopIfTrue="1">
      <formula>ISERROR(E70)</formula>
    </cfRule>
    <cfRule type="expression" dxfId="723" priority="727" stopIfTrue="1">
      <formula>OR(E71=0,E72=0)</formula>
    </cfRule>
    <cfRule type="cellIs" dxfId="722" priority="728" stopIfTrue="1" operator="equal">
      <formula>FALSE</formula>
    </cfRule>
    <cfRule type="cellIs" dxfId="721" priority="729" stopIfTrue="1" operator="equal">
      <formula>TRUE</formula>
    </cfRule>
    <cfRule type="containsText" dxfId="720" priority="730" stopIfTrue="1" operator="containsText" text="N/A">
      <formula>NOT(ISERROR(SEARCH("N/A",E70)))</formula>
    </cfRule>
  </conditionalFormatting>
  <conditionalFormatting sqref="M76:Q76 S76:U76">
    <cfRule type="containsErrors" dxfId="719" priority="721" stopIfTrue="1">
      <formula>ISERROR(M76)</formula>
    </cfRule>
    <cfRule type="expression" dxfId="718" priority="722" stopIfTrue="1">
      <formula>OR(M77=0,M78=0)</formula>
    </cfRule>
    <cfRule type="cellIs" dxfId="717" priority="723" stopIfTrue="1" operator="equal">
      <formula>FALSE</formula>
    </cfRule>
    <cfRule type="cellIs" dxfId="716" priority="724" stopIfTrue="1" operator="equal">
      <formula>TRUE</formula>
    </cfRule>
    <cfRule type="containsText" dxfId="715" priority="725" stopIfTrue="1" operator="containsText" text="N/A">
      <formula>NOT(ISERROR(SEARCH("N/A",M76)))</formula>
    </cfRule>
  </conditionalFormatting>
  <conditionalFormatting sqref="M79:Q79 S79:U79">
    <cfRule type="containsErrors" dxfId="714" priority="716" stopIfTrue="1">
      <formula>ISERROR(M79)</formula>
    </cfRule>
    <cfRule type="expression" dxfId="713" priority="717" stopIfTrue="1">
      <formula>OR(M80=0,M81=0)</formula>
    </cfRule>
    <cfRule type="cellIs" dxfId="712" priority="718" stopIfTrue="1" operator="equal">
      <formula>FALSE</formula>
    </cfRule>
    <cfRule type="cellIs" dxfId="711" priority="719" stopIfTrue="1" operator="equal">
      <formula>TRUE</formula>
    </cfRule>
    <cfRule type="containsText" dxfId="710" priority="720" stopIfTrue="1" operator="containsText" text="N/A">
      <formula>NOT(ISERROR(SEARCH("N/A",M79)))</formula>
    </cfRule>
  </conditionalFormatting>
  <conditionalFormatting sqref="M124:Q124 S124:U124">
    <cfRule type="containsErrors" dxfId="709" priority="711" stopIfTrue="1">
      <formula>ISERROR(M124)</formula>
    </cfRule>
    <cfRule type="expression" dxfId="708" priority="712" stopIfTrue="1">
      <formula>OR(M125=0,M126=0)</formula>
    </cfRule>
    <cfRule type="cellIs" dxfId="707" priority="713" stopIfTrue="1" operator="equal">
      <formula>FALSE</formula>
    </cfRule>
    <cfRule type="cellIs" dxfId="706" priority="714" stopIfTrue="1" operator="equal">
      <formula>TRUE</formula>
    </cfRule>
    <cfRule type="containsText" dxfId="705" priority="715" stopIfTrue="1" operator="containsText" text="N/A">
      <formula>NOT(ISERROR(SEARCH("N/A",M124)))</formula>
    </cfRule>
  </conditionalFormatting>
  <conditionalFormatting sqref="M127:Q127 S127:U127">
    <cfRule type="containsErrors" dxfId="704" priority="706" stopIfTrue="1">
      <formula>ISERROR(M127)</formula>
    </cfRule>
    <cfRule type="expression" dxfId="703" priority="707" stopIfTrue="1">
      <formula>OR(M128=0,M129=0)</formula>
    </cfRule>
    <cfRule type="cellIs" dxfId="702" priority="708" stopIfTrue="1" operator="equal">
      <formula>FALSE</formula>
    </cfRule>
    <cfRule type="cellIs" dxfId="701" priority="709" stopIfTrue="1" operator="equal">
      <formula>TRUE</formula>
    </cfRule>
    <cfRule type="containsText" dxfId="700" priority="710" stopIfTrue="1" operator="containsText" text="N/A">
      <formula>NOT(ISERROR(SEARCH("N/A",M127)))</formula>
    </cfRule>
  </conditionalFormatting>
  <conditionalFormatting sqref="E142:Q142 S142:U142">
    <cfRule type="containsErrors" dxfId="699" priority="696" stopIfTrue="1">
      <formula>ISERROR(E142)</formula>
    </cfRule>
    <cfRule type="expression" dxfId="698" priority="697" stopIfTrue="1">
      <formula>OR(E143=0,E144=0)</formula>
    </cfRule>
    <cfRule type="cellIs" dxfId="697" priority="698" stopIfTrue="1" operator="equal">
      <formula>FALSE</formula>
    </cfRule>
    <cfRule type="cellIs" dxfId="696" priority="699" stopIfTrue="1" operator="equal">
      <formula>TRUE</formula>
    </cfRule>
    <cfRule type="containsText" dxfId="695" priority="700" stopIfTrue="1" operator="containsText" text="N/A">
      <formula>NOT(ISERROR(SEARCH("N/A",E142)))</formula>
    </cfRule>
  </conditionalFormatting>
  <conditionalFormatting sqref="E145:Q145 S145:U145">
    <cfRule type="containsErrors" dxfId="694" priority="691" stopIfTrue="1">
      <formula>ISERROR(E145)</formula>
    </cfRule>
    <cfRule type="expression" dxfId="693" priority="692" stopIfTrue="1">
      <formula>OR(E146=0,E147=0)</formula>
    </cfRule>
    <cfRule type="cellIs" dxfId="692" priority="693" stopIfTrue="1" operator="equal">
      <formula>FALSE</formula>
    </cfRule>
    <cfRule type="cellIs" dxfId="691" priority="694" stopIfTrue="1" operator="equal">
      <formula>TRUE</formula>
    </cfRule>
    <cfRule type="containsText" dxfId="690" priority="695" stopIfTrue="1" operator="containsText" text="N/A">
      <formula>NOT(ISERROR(SEARCH("N/A",E145)))</formula>
    </cfRule>
  </conditionalFormatting>
  <conditionalFormatting sqref="E148:Q148 S148:U148">
    <cfRule type="containsErrors" dxfId="689" priority="686" stopIfTrue="1">
      <formula>ISERROR(E148)</formula>
    </cfRule>
    <cfRule type="expression" dxfId="688" priority="687" stopIfTrue="1">
      <formula>OR(E149=0,E150=0)</formula>
    </cfRule>
    <cfRule type="cellIs" dxfId="687" priority="688" stopIfTrue="1" operator="equal">
      <formula>FALSE</formula>
    </cfRule>
    <cfRule type="cellIs" dxfId="686" priority="689" stopIfTrue="1" operator="equal">
      <formula>TRUE</formula>
    </cfRule>
    <cfRule type="containsText" dxfId="685" priority="690" stopIfTrue="1" operator="containsText" text="N/A">
      <formula>NOT(ISERROR(SEARCH("N/A",E148)))</formula>
    </cfRule>
  </conditionalFormatting>
  <conditionalFormatting sqref="E140:Q140 S140:U140">
    <cfRule type="containsErrors" dxfId="684" priority="701" stopIfTrue="1">
      <formula>ISERROR(E140)</formula>
    </cfRule>
    <cfRule type="expression" dxfId="683" priority="702" stopIfTrue="1">
      <formula>OR(E141=0,#REF!=0)</formula>
    </cfRule>
    <cfRule type="cellIs" dxfId="682" priority="703" stopIfTrue="1" operator="equal">
      <formula>FALSE</formula>
    </cfRule>
    <cfRule type="cellIs" dxfId="681" priority="704" stopIfTrue="1" operator="equal">
      <formula>TRUE</formula>
    </cfRule>
    <cfRule type="containsText" dxfId="680" priority="705" stopIfTrue="1" operator="containsText" text="N/A">
      <formula>NOT(ISERROR(SEARCH("N/A",E140)))</formula>
    </cfRule>
  </conditionalFormatting>
  <conditionalFormatting sqref="S199:W199">
    <cfRule type="containsErrors" dxfId="679" priority="666" stopIfTrue="1">
      <formula>ISERROR(S199)</formula>
    </cfRule>
    <cfRule type="cellIs" dxfId="678" priority="667" stopIfTrue="1" operator="equal">
      <formula>FALSE</formula>
    </cfRule>
    <cfRule type="expression" dxfId="677" priority="668" stopIfTrue="1">
      <formula>OR(S200=0,S201=0)</formula>
    </cfRule>
    <cfRule type="cellIs" dxfId="676" priority="669" stopIfTrue="1" operator="equal">
      <formula>TRUE</formula>
    </cfRule>
    <cfRule type="containsText" dxfId="675" priority="670" stopIfTrue="1" operator="containsText" text="N/A">
      <formula>NOT(ISERROR(SEARCH("N/A",S199)))</formula>
    </cfRule>
  </conditionalFormatting>
  <conditionalFormatting sqref="S259:W259">
    <cfRule type="containsErrors" dxfId="674" priority="661" stopIfTrue="1">
      <formula>ISERROR(S259)</formula>
    </cfRule>
    <cfRule type="cellIs" dxfId="673" priority="662" stopIfTrue="1" operator="equal">
      <formula>FALSE</formula>
    </cfRule>
    <cfRule type="expression" dxfId="672" priority="663" stopIfTrue="1">
      <formula>OR(S260=0,S261=0)</formula>
    </cfRule>
    <cfRule type="cellIs" dxfId="671" priority="664" stopIfTrue="1" operator="equal">
      <formula>TRUE</formula>
    </cfRule>
    <cfRule type="containsText" dxfId="670" priority="665" stopIfTrue="1" operator="containsText" text="N/A">
      <formula>NOT(ISERROR(SEARCH("N/A",S259)))</formula>
    </cfRule>
  </conditionalFormatting>
  <conditionalFormatting sqref="S175:W175">
    <cfRule type="containsErrors" dxfId="669" priority="676" stopIfTrue="1">
      <formula>ISERROR(S175)</formula>
    </cfRule>
    <cfRule type="cellIs" dxfId="668" priority="677" stopIfTrue="1" operator="equal">
      <formula>FALSE</formula>
    </cfRule>
    <cfRule type="expression" dxfId="667" priority="678" stopIfTrue="1">
      <formula>OR(S176=0,S177=0)</formula>
    </cfRule>
    <cfRule type="cellIs" dxfId="666" priority="679" stopIfTrue="1" operator="equal">
      <formula>TRUE</formula>
    </cfRule>
    <cfRule type="containsText" dxfId="665" priority="680" stopIfTrue="1" operator="containsText" text="N/A">
      <formula>NOT(ISERROR(SEARCH("N/A",S175)))</formula>
    </cfRule>
  </conditionalFormatting>
  <conditionalFormatting sqref="S181:W181">
    <cfRule type="containsErrors" dxfId="664" priority="671" stopIfTrue="1">
      <formula>ISERROR(S181)</formula>
    </cfRule>
    <cfRule type="cellIs" dxfId="663" priority="672" stopIfTrue="1" operator="equal">
      <formula>FALSE</formula>
    </cfRule>
    <cfRule type="expression" dxfId="662" priority="673" stopIfTrue="1">
      <formula>OR(S182=0,S183=0)</formula>
    </cfRule>
    <cfRule type="cellIs" dxfId="661" priority="674" stopIfTrue="1" operator="equal">
      <formula>TRUE</formula>
    </cfRule>
    <cfRule type="containsText" dxfId="660" priority="675" stopIfTrue="1" operator="containsText" text="N/A">
      <formula>NOT(ISERROR(SEARCH("N/A",S181)))</formula>
    </cfRule>
  </conditionalFormatting>
  <conditionalFormatting sqref="S178:W178">
    <cfRule type="containsErrors" dxfId="659" priority="656" stopIfTrue="1">
      <formula>ISERROR(S178)</formula>
    </cfRule>
    <cfRule type="cellIs" dxfId="658" priority="657" stopIfTrue="1" operator="equal">
      <formula>FALSE</formula>
    </cfRule>
    <cfRule type="expression" dxfId="657" priority="658" stopIfTrue="1">
      <formula>OR(S179=0,S180=0)</formula>
    </cfRule>
    <cfRule type="cellIs" dxfId="656" priority="659" stopIfTrue="1" operator="equal">
      <formula>TRUE</formula>
    </cfRule>
    <cfRule type="containsText" dxfId="655" priority="660" stopIfTrue="1" operator="containsText" text="N/A">
      <formula>NOT(ISERROR(SEARCH("N/A",S178)))</formula>
    </cfRule>
  </conditionalFormatting>
  <conditionalFormatting sqref="S196:W196">
    <cfRule type="containsErrors" dxfId="654" priority="651" stopIfTrue="1">
      <formula>ISERROR(S196)</formula>
    </cfRule>
    <cfRule type="cellIs" dxfId="653" priority="652" stopIfTrue="1" operator="equal">
      <formula>FALSE</formula>
    </cfRule>
    <cfRule type="expression" dxfId="652" priority="653" stopIfTrue="1">
      <formula>OR(S197=0,S198=0)</formula>
    </cfRule>
    <cfRule type="cellIs" dxfId="651" priority="654" stopIfTrue="1" operator="equal">
      <formula>TRUE</formula>
    </cfRule>
    <cfRule type="containsText" dxfId="650" priority="655" stopIfTrue="1" operator="containsText" text="N/A">
      <formula>NOT(ISERROR(SEARCH("N/A",S196)))</formula>
    </cfRule>
  </conditionalFormatting>
  <conditionalFormatting sqref="S229:W229">
    <cfRule type="containsErrors" dxfId="649" priority="646" stopIfTrue="1">
      <formula>ISERROR(S229)</formula>
    </cfRule>
    <cfRule type="cellIs" dxfId="648" priority="647" stopIfTrue="1" operator="equal">
      <formula>FALSE</formula>
    </cfRule>
    <cfRule type="expression" dxfId="647" priority="648" stopIfTrue="1">
      <formula>OR(S230=0,S231=0)</formula>
    </cfRule>
    <cfRule type="cellIs" dxfId="646" priority="649" stopIfTrue="1" operator="equal">
      <formula>TRUE</formula>
    </cfRule>
    <cfRule type="containsText" dxfId="645" priority="650" stopIfTrue="1" operator="containsText" text="N/A">
      <formula>NOT(ISERROR(SEARCH("N/A",S229)))</formula>
    </cfRule>
  </conditionalFormatting>
  <conditionalFormatting sqref="S262:W262">
    <cfRule type="containsErrors" dxfId="644" priority="641" stopIfTrue="1">
      <formula>ISERROR(S262)</formula>
    </cfRule>
    <cfRule type="cellIs" dxfId="643" priority="642" stopIfTrue="1" operator="equal">
      <formula>FALSE</formula>
    </cfRule>
    <cfRule type="expression" dxfId="642" priority="643" stopIfTrue="1">
      <formula>OR(S263=0,S264=0)</formula>
    </cfRule>
    <cfRule type="cellIs" dxfId="641" priority="644" stopIfTrue="1" operator="equal">
      <formula>TRUE</formula>
    </cfRule>
    <cfRule type="containsText" dxfId="640" priority="645" stopIfTrue="1" operator="containsText" text="N/A">
      <formula>NOT(ISERROR(SEARCH("N/A",S262)))</formula>
    </cfRule>
  </conditionalFormatting>
  <conditionalFormatting sqref="S265:W265">
    <cfRule type="containsErrors" dxfId="639" priority="636" stopIfTrue="1">
      <formula>ISERROR(S265)</formula>
    </cfRule>
    <cfRule type="cellIs" dxfId="638" priority="637" stopIfTrue="1" operator="equal">
      <formula>FALSE</formula>
    </cfRule>
    <cfRule type="expression" dxfId="637" priority="638" stopIfTrue="1">
      <formula>OR(S266=0,S267=0)</formula>
    </cfRule>
    <cfRule type="cellIs" dxfId="636" priority="639" stopIfTrue="1" operator="equal">
      <formula>TRUE</formula>
    </cfRule>
    <cfRule type="containsText" dxfId="635" priority="640" stopIfTrue="1" operator="containsText" text="N/A">
      <formula>NOT(ISERROR(SEARCH("N/A",S265)))</formula>
    </cfRule>
  </conditionalFormatting>
  <conditionalFormatting sqref="S268:W268">
    <cfRule type="containsErrors" dxfId="634" priority="631" stopIfTrue="1">
      <formula>ISERROR(S268)</formula>
    </cfRule>
    <cfRule type="cellIs" dxfId="633" priority="632" stopIfTrue="1" operator="equal">
      <formula>FALSE</formula>
    </cfRule>
    <cfRule type="expression" dxfId="632" priority="633" stopIfTrue="1">
      <formula>OR(S269=0,S270=0)</formula>
    </cfRule>
    <cfRule type="cellIs" dxfId="631" priority="634" stopIfTrue="1" operator="equal">
      <formula>TRUE</formula>
    </cfRule>
    <cfRule type="containsText" dxfId="630" priority="635" stopIfTrue="1" operator="containsText" text="N/A">
      <formula>NOT(ISERROR(SEARCH("N/A",S268)))</formula>
    </cfRule>
  </conditionalFormatting>
  <conditionalFormatting sqref="S232:W232">
    <cfRule type="containsErrors" dxfId="629" priority="626" stopIfTrue="1">
      <formula>ISERROR(S232)</formula>
    </cfRule>
    <cfRule type="cellIs" dxfId="628" priority="627" stopIfTrue="1" operator="equal">
      <formula>FALSE</formula>
    </cfRule>
    <cfRule type="expression" dxfId="627" priority="628" stopIfTrue="1">
      <formula>OR(S233=0,S234=0)</formula>
    </cfRule>
    <cfRule type="cellIs" dxfId="626" priority="629" stopIfTrue="1" operator="equal">
      <formula>TRUE</formula>
    </cfRule>
    <cfRule type="containsText" dxfId="625" priority="630" stopIfTrue="1" operator="containsText" text="N/A">
      <formula>NOT(ISERROR(SEARCH("N/A",S232)))</formula>
    </cfRule>
  </conditionalFormatting>
  <conditionalFormatting sqref="S235:W235">
    <cfRule type="containsErrors" dxfId="624" priority="621" stopIfTrue="1">
      <formula>ISERROR(S235)</formula>
    </cfRule>
    <cfRule type="cellIs" dxfId="623" priority="622" stopIfTrue="1" operator="equal">
      <formula>FALSE</formula>
    </cfRule>
    <cfRule type="expression" dxfId="622" priority="623" stopIfTrue="1">
      <formula>OR(S236=0,S237=0)</formula>
    </cfRule>
    <cfRule type="cellIs" dxfId="621" priority="624" stopIfTrue="1" operator="equal">
      <formula>TRUE</formula>
    </cfRule>
    <cfRule type="containsText" dxfId="620" priority="625" stopIfTrue="1" operator="containsText" text="N/A">
      <formula>NOT(ISERROR(SEARCH("N/A",S235)))</formula>
    </cfRule>
  </conditionalFormatting>
  <conditionalFormatting sqref="S238:W238">
    <cfRule type="containsErrors" dxfId="619" priority="616" stopIfTrue="1">
      <formula>ISERROR(S238)</formula>
    </cfRule>
    <cfRule type="cellIs" dxfId="618" priority="617" stopIfTrue="1" operator="equal">
      <formula>FALSE</formula>
    </cfRule>
    <cfRule type="expression" dxfId="617" priority="618" stopIfTrue="1">
      <formula>OR(S239=0,S240=0)</formula>
    </cfRule>
    <cfRule type="cellIs" dxfId="616" priority="619" stopIfTrue="1" operator="equal">
      <formula>TRUE</formula>
    </cfRule>
    <cfRule type="containsText" dxfId="615" priority="620" stopIfTrue="1" operator="containsText" text="N/A">
      <formula>NOT(ISERROR(SEARCH("N/A",S238)))</formula>
    </cfRule>
  </conditionalFormatting>
  <conditionalFormatting sqref="S241:W241">
    <cfRule type="containsErrors" dxfId="614" priority="611" stopIfTrue="1">
      <formula>ISERROR(S241)</formula>
    </cfRule>
    <cfRule type="cellIs" dxfId="613" priority="612" stopIfTrue="1" operator="equal">
      <formula>FALSE</formula>
    </cfRule>
    <cfRule type="expression" dxfId="612" priority="613" stopIfTrue="1">
      <formula>OR(S242=0,S243=0)</formula>
    </cfRule>
    <cfRule type="cellIs" dxfId="611" priority="614" stopIfTrue="1" operator="equal">
      <formula>TRUE</formula>
    </cfRule>
    <cfRule type="containsText" dxfId="610" priority="615" stopIfTrue="1" operator="containsText" text="N/A">
      <formula>NOT(ISERROR(SEARCH("N/A",S241)))</formula>
    </cfRule>
  </conditionalFormatting>
  <conditionalFormatting sqref="S244:W244">
    <cfRule type="containsErrors" dxfId="609" priority="606" stopIfTrue="1">
      <formula>ISERROR(S244)</formula>
    </cfRule>
    <cfRule type="cellIs" dxfId="608" priority="607" stopIfTrue="1" operator="equal">
      <formula>FALSE</formula>
    </cfRule>
    <cfRule type="expression" dxfId="607" priority="608" stopIfTrue="1">
      <formula>OR(S245=0,S246=0)</formula>
    </cfRule>
    <cfRule type="cellIs" dxfId="606" priority="609" stopIfTrue="1" operator="equal">
      <formula>TRUE</formula>
    </cfRule>
    <cfRule type="containsText" dxfId="605" priority="610" stopIfTrue="1" operator="containsText" text="N/A">
      <formula>NOT(ISERROR(SEARCH("N/A",S244)))</formula>
    </cfRule>
  </conditionalFormatting>
  <conditionalFormatting sqref="S247:W247">
    <cfRule type="containsErrors" dxfId="604" priority="601" stopIfTrue="1">
      <formula>ISERROR(S247)</formula>
    </cfRule>
    <cfRule type="cellIs" dxfId="603" priority="602" stopIfTrue="1" operator="equal">
      <formula>FALSE</formula>
    </cfRule>
    <cfRule type="expression" dxfId="602" priority="603" stopIfTrue="1">
      <formula>OR(S248=0,S249=0)</formula>
    </cfRule>
    <cfRule type="cellIs" dxfId="601" priority="604" stopIfTrue="1" operator="equal">
      <formula>TRUE</formula>
    </cfRule>
    <cfRule type="containsText" dxfId="600" priority="605" stopIfTrue="1" operator="containsText" text="N/A">
      <formula>NOT(ISERROR(SEARCH("N/A",S247)))</formula>
    </cfRule>
  </conditionalFormatting>
  <conditionalFormatting sqref="S250:W250">
    <cfRule type="containsErrors" dxfId="599" priority="596" stopIfTrue="1">
      <formula>ISERROR(S250)</formula>
    </cfRule>
    <cfRule type="cellIs" dxfId="598" priority="597" stopIfTrue="1" operator="equal">
      <formula>FALSE</formula>
    </cfRule>
    <cfRule type="expression" dxfId="597" priority="598" stopIfTrue="1">
      <formula>OR(S251=0,S252=0)</formula>
    </cfRule>
    <cfRule type="cellIs" dxfId="596" priority="599" stopIfTrue="1" operator="equal">
      <formula>TRUE</formula>
    </cfRule>
    <cfRule type="containsText" dxfId="595" priority="600" stopIfTrue="1" operator="containsText" text="N/A">
      <formula>NOT(ISERROR(SEARCH("N/A",S250)))</formula>
    </cfRule>
  </conditionalFormatting>
  <conditionalFormatting sqref="S253:W253">
    <cfRule type="containsErrors" dxfId="594" priority="591" stopIfTrue="1">
      <formula>ISERROR(S253)</formula>
    </cfRule>
    <cfRule type="cellIs" dxfId="593" priority="592" stopIfTrue="1" operator="equal">
      <formula>FALSE</formula>
    </cfRule>
    <cfRule type="expression" dxfId="592" priority="593" stopIfTrue="1">
      <formula>OR(S254=0,S255=0)</formula>
    </cfRule>
    <cfRule type="cellIs" dxfId="591" priority="594" stopIfTrue="1" operator="equal">
      <formula>TRUE</formula>
    </cfRule>
    <cfRule type="containsText" dxfId="590" priority="595" stopIfTrue="1" operator="containsText" text="N/A">
      <formula>NOT(ISERROR(SEARCH("N/A",S253)))</formula>
    </cfRule>
  </conditionalFormatting>
  <conditionalFormatting sqref="S226:W226">
    <cfRule type="containsErrors" dxfId="589" priority="586" stopIfTrue="1">
      <formula>ISERROR(S226)</formula>
    </cfRule>
    <cfRule type="cellIs" dxfId="588" priority="587" stopIfTrue="1" operator="equal">
      <formula>FALSE</formula>
    </cfRule>
    <cfRule type="expression" dxfId="587" priority="588" stopIfTrue="1">
      <formula>OR(S227=0,S228=0)</formula>
    </cfRule>
    <cfRule type="cellIs" dxfId="586" priority="589" stopIfTrue="1" operator="equal">
      <formula>TRUE</formula>
    </cfRule>
    <cfRule type="containsText" dxfId="585" priority="590" stopIfTrue="1" operator="containsText" text="N/A">
      <formula>NOT(ISERROR(SEARCH("N/A",S226)))</formula>
    </cfRule>
  </conditionalFormatting>
  <conditionalFormatting sqref="S256:W256">
    <cfRule type="containsErrors" dxfId="584" priority="581" stopIfTrue="1">
      <formula>ISERROR(S256)</formula>
    </cfRule>
    <cfRule type="cellIs" dxfId="583" priority="582" stopIfTrue="1" operator="equal">
      <formula>FALSE</formula>
    </cfRule>
    <cfRule type="expression" dxfId="582" priority="583" stopIfTrue="1">
      <formula>OR(S257=0,S258=0)</formula>
    </cfRule>
    <cfRule type="cellIs" dxfId="581" priority="584" stopIfTrue="1" operator="equal">
      <formula>TRUE</formula>
    </cfRule>
    <cfRule type="containsText" dxfId="580" priority="585" stopIfTrue="1" operator="containsText" text="N/A">
      <formula>NOT(ISERROR(SEARCH("N/A",S256)))</formula>
    </cfRule>
  </conditionalFormatting>
  <conditionalFormatting sqref="S343:W343">
    <cfRule type="containsErrors" dxfId="579" priority="516" stopIfTrue="1">
      <formula>ISERROR(S343)</formula>
    </cfRule>
    <cfRule type="cellIs" dxfId="578" priority="517" stopIfTrue="1" operator="equal">
      <formula>FALSE</formula>
    </cfRule>
    <cfRule type="expression" dxfId="577" priority="518" stopIfTrue="1">
      <formula>OR(S344=0,S345=0)</formula>
    </cfRule>
    <cfRule type="cellIs" dxfId="576" priority="519" stopIfTrue="1" operator="equal">
      <formula>TRUE</formula>
    </cfRule>
    <cfRule type="containsText" dxfId="575" priority="520" stopIfTrue="1" operator="containsText" text="N/A">
      <formula>NOT(ISERROR(SEARCH("N/A",S343)))</formula>
    </cfRule>
  </conditionalFormatting>
  <conditionalFormatting sqref="S349:W349">
    <cfRule type="containsErrors" dxfId="574" priority="506" stopIfTrue="1">
      <formula>ISERROR(S349)</formula>
    </cfRule>
    <cfRule type="cellIs" dxfId="573" priority="507" stopIfTrue="1" operator="equal">
      <formula>FALSE</formula>
    </cfRule>
    <cfRule type="expression" dxfId="572" priority="508" stopIfTrue="1">
      <formula>OR(S350=0,S351=0)</formula>
    </cfRule>
    <cfRule type="cellIs" dxfId="571" priority="509" stopIfTrue="1" operator="equal">
      <formula>TRUE</formula>
    </cfRule>
    <cfRule type="containsText" dxfId="570" priority="510" stopIfTrue="1" operator="containsText" text="N/A">
      <formula>NOT(ISERROR(SEARCH("N/A",S349)))</formula>
    </cfRule>
  </conditionalFormatting>
  <conditionalFormatting sqref="S355:W355">
    <cfRule type="containsErrors" dxfId="569" priority="496" stopIfTrue="1">
      <formula>ISERROR(S355)</formula>
    </cfRule>
    <cfRule type="cellIs" dxfId="568" priority="497" stopIfTrue="1" operator="equal">
      <formula>FALSE</formula>
    </cfRule>
    <cfRule type="expression" dxfId="567" priority="498" stopIfTrue="1">
      <formula>OR(S356=0,S357=0)</formula>
    </cfRule>
    <cfRule type="cellIs" dxfId="566" priority="499" stopIfTrue="1" operator="equal">
      <formula>TRUE</formula>
    </cfRule>
    <cfRule type="containsText" dxfId="565" priority="500" stopIfTrue="1" operator="containsText" text="N/A">
      <formula>NOT(ISERROR(SEARCH("N/A",S355)))</formula>
    </cfRule>
  </conditionalFormatting>
  <conditionalFormatting sqref="S298:W298 S300:W300 S302:W302 S296:W296">
    <cfRule type="containsErrors" dxfId="564" priority="681" stopIfTrue="1">
      <formula>ISERROR(S296)</formula>
    </cfRule>
    <cfRule type="cellIs" dxfId="563" priority="682" stopIfTrue="1" operator="equal">
      <formula>FALSE</formula>
    </cfRule>
    <cfRule type="expression" dxfId="562" priority="683" stopIfTrue="1">
      <formula>OR(S297=0,#REF!=0)</formula>
    </cfRule>
    <cfRule type="cellIs" dxfId="561" priority="684" stopIfTrue="1" operator="equal">
      <formula>TRUE</formula>
    </cfRule>
    <cfRule type="containsText" dxfId="560" priority="685" stopIfTrue="1" operator="containsText" text="N/A">
      <formula>NOT(ISERROR(SEARCH("N/A",S296)))</formula>
    </cfRule>
  </conditionalFormatting>
  <conditionalFormatting sqref="S272:W272">
    <cfRule type="containsErrors" dxfId="559" priority="576" stopIfTrue="1">
      <formula>ISERROR(S272)</formula>
    </cfRule>
    <cfRule type="cellIs" dxfId="558" priority="577" stopIfTrue="1" operator="equal">
      <formula>FALSE</formula>
    </cfRule>
    <cfRule type="expression" dxfId="557" priority="578" stopIfTrue="1">
      <formula>OR(S273=0,S274=0)</formula>
    </cfRule>
    <cfRule type="cellIs" dxfId="556" priority="579" stopIfTrue="1" operator="equal">
      <formula>TRUE</formula>
    </cfRule>
    <cfRule type="containsText" dxfId="555" priority="580" stopIfTrue="1" operator="containsText" text="N/A">
      <formula>NOT(ISERROR(SEARCH("N/A",S272)))</formula>
    </cfRule>
  </conditionalFormatting>
  <conditionalFormatting sqref="S278:W278">
    <cfRule type="containsErrors" dxfId="554" priority="571" stopIfTrue="1">
      <formula>ISERROR(S278)</formula>
    </cfRule>
    <cfRule type="cellIs" dxfId="553" priority="572" stopIfTrue="1" operator="equal">
      <formula>FALSE</formula>
    </cfRule>
    <cfRule type="expression" dxfId="552" priority="573" stopIfTrue="1">
      <formula>OR(S279=0,S280=0)</formula>
    </cfRule>
    <cfRule type="cellIs" dxfId="551" priority="574" stopIfTrue="1" operator="equal">
      <formula>TRUE</formula>
    </cfRule>
    <cfRule type="containsText" dxfId="550" priority="575" stopIfTrue="1" operator="containsText" text="N/A">
      <formula>NOT(ISERROR(SEARCH("N/A",S278)))</formula>
    </cfRule>
  </conditionalFormatting>
  <conditionalFormatting sqref="S304:W304">
    <cfRule type="containsErrors" dxfId="549" priority="566" stopIfTrue="1">
      <formula>ISERROR(S304)</formula>
    </cfRule>
    <cfRule type="cellIs" dxfId="548" priority="567" stopIfTrue="1" operator="equal">
      <formula>FALSE</formula>
    </cfRule>
    <cfRule type="expression" dxfId="547" priority="568" stopIfTrue="1">
      <formula>OR(S305=0,S306=0)</formula>
    </cfRule>
    <cfRule type="cellIs" dxfId="546" priority="569" stopIfTrue="1" operator="equal">
      <formula>TRUE</formula>
    </cfRule>
    <cfRule type="containsText" dxfId="545" priority="570" stopIfTrue="1" operator="containsText" text="N/A">
      <formula>NOT(ISERROR(SEARCH("N/A",S304)))</formula>
    </cfRule>
  </conditionalFormatting>
  <conditionalFormatting sqref="S364:W364">
    <cfRule type="containsErrors" dxfId="544" priority="561" stopIfTrue="1">
      <formula>ISERROR(S364)</formula>
    </cfRule>
    <cfRule type="cellIs" dxfId="543" priority="562" stopIfTrue="1" operator="equal">
      <formula>FALSE</formula>
    </cfRule>
    <cfRule type="expression" dxfId="542" priority="563" stopIfTrue="1">
      <formula>OR(S365=0,S366=0)</formula>
    </cfRule>
    <cfRule type="cellIs" dxfId="541" priority="564" stopIfTrue="1" operator="equal">
      <formula>TRUE</formula>
    </cfRule>
    <cfRule type="containsText" dxfId="540" priority="565" stopIfTrue="1" operator="containsText" text="N/A">
      <formula>NOT(ISERROR(SEARCH("N/A",S364)))</formula>
    </cfRule>
  </conditionalFormatting>
  <conditionalFormatting sqref="S275:W275">
    <cfRule type="containsErrors" dxfId="539" priority="556" stopIfTrue="1">
      <formula>ISERROR(S275)</formula>
    </cfRule>
    <cfRule type="cellIs" dxfId="538" priority="557" stopIfTrue="1" operator="equal">
      <formula>FALSE</formula>
    </cfRule>
    <cfRule type="expression" dxfId="537" priority="558" stopIfTrue="1">
      <formula>OR(S276=0,S277=0)</formula>
    </cfRule>
    <cfRule type="cellIs" dxfId="536" priority="559" stopIfTrue="1" operator="equal">
      <formula>TRUE</formula>
    </cfRule>
    <cfRule type="containsText" dxfId="535" priority="560" stopIfTrue="1" operator="containsText" text="N/A">
      <formula>NOT(ISERROR(SEARCH("N/A",S275)))</formula>
    </cfRule>
  </conditionalFormatting>
  <conditionalFormatting sqref="S334:W334">
    <cfRule type="containsErrors" dxfId="534" priority="546" stopIfTrue="1">
      <formula>ISERROR(S334)</formula>
    </cfRule>
    <cfRule type="cellIs" dxfId="533" priority="547" stopIfTrue="1" operator="equal">
      <formula>FALSE</formula>
    </cfRule>
    <cfRule type="expression" dxfId="532" priority="548" stopIfTrue="1">
      <formula>OR(S335=0,S336=0)</formula>
    </cfRule>
    <cfRule type="cellIs" dxfId="531" priority="549" stopIfTrue="1" operator="equal">
      <formula>TRUE</formula>
    </cfRule>
    <cfRule type="containsText" dxfId="530" priority="550" stopIfTrue="1" operator="containsText" text="N/A">
      <formula>NOT(ISERROR(SEARCH("N/A",S334)))</formula>
    </cfRule>
  </conditionalFormatting>
  <conditionalFormatting sqref="S367:W367">
    <cfRule type="containsErrors" dxfId="529" priority="541" stopIfTrue="1">
      <formula>ISERROR(S367)</formula>
    </cfRule>
    <cfRule type="cellIs" dxfId="528" priority="542" stopIfTrue="1" operator="equal">
      <formula>FALSE</formula>
    </cfRule>
    <cfRule type="expression" dxfId="527" priority="543" stopIfTrue="1">
      <formula>OR(S368=0,S369=0)</formula>
    </cfRule>
    <cfRule type="cellIs" dxfId="526" priority="544" stopIfTrue="1" operator="equal">
      <formula>TRUE</formula>
    </cfRule>
    <cfRule type="containsText" dxfId="525" priority="545" stopIfTrue="1" operator="containsText" text="N/A">
      <formula>NOT(ISERROR(SEARCH("N/A",S367)))</formula>
    </cfRule>
  </conditionalFormatting>
  <conditionalFormatting sqref="S293:W293">
    <cfRule type="containsErrors" dxfId="524" priority="551" stopIfTrue="1">
      <formula>ISERROR(S293)</formula>
    </cfRule>
    <cfRule type="cellIs" dxfId="523" priority="552" stopIfTrue="1" operator="equal">
      <formula>FALSE</formula>
    </cfRule>
    <cfRule type="expression" dxfId="522" priority="553" stopIfTrue="1">
      <formula>OR(S294=0,S295=0)</formula>
    </cfRule>
    <cfRule type="cellIs" dxfId="521" priority="554" stopIfTrue="1" operator="equal">
      <formula>TRUE</formula>
    </cfRule>
    <cfRule type="containsText" dxfId="520" priority="555" stopIfTrue="1" operator="containsText" text="N/A">
      <formula>NOT(ISERROR(SEARCH("N/A",S293)))</formula>
    </cfRule>
  </conditionalFormatting>
  <conditionalFormatting sqref="S337:W337">
    <cfRule type="containsErrors" dxfId="519" priority="526" stopIfTrue="1">
      <formula>ISERROR(S337)</formula>
    </cfRule>
    <cfRule type="cellIs" dxfId="518" priority="527" stopIfTrue="1" operator="equal">
      <formula>FALSE</formula>
    </cfRule>
    <cfRule type="expression" dxfId="517" priority="528" stopIfTrue="1">
      <formula>OR(S338=0,S339=0)</formula>
    </cfRule>
    <cfRule type="cellIs" dxfId="516" priority="529" stopIfTrue="1" operator="equal">
      <formula>TRUE</formula>
    </cfRule>
    <cfRule type="containsText" dxfId="515" priority="530" stopIfTrue="1" operator="containsText" text="N/A">
      <formula>NOT(ISERROR(SEARCH("N/A",S337)))</formula>
    </cfRule>
  </conditionalFormatting>
  <conditionalFormatting sqref="S370:W370">
    <cfRule type="containsErrors" dxfId="514" priority="536" stopIfTrue="1">
      <formula>ISERROR(S370)</formula>
    </cfRule>
    <cfRule type="cellIs" dxfId="513" priority="537" stopIfTrue="1" operator="equal">
      <formula>FALSE</formula>
    </cfRule>
    <cfRule type="expression" dxfId="512" priority="538" stopIfTrue="1">
      <formula>OR(S371=0,S372=0)</formula>
    </cfRule>
    <cfRule type="cellIs" dxfId="511" priority="539" stopIfTrue="1" operator="equal">
      <formula>TRUE</formula>
    </cfRule>
    <cfRule type="containsText" dxfId="510" priority="540" stopIfTrue="1" operator="containsText" text="N/A">
      <formula>NOT(ISERROR(SEARCH("N/A",S370)))</formula>
    </cfRule>
  </conditionalFormatting>
  <conditionalFormatting sqref="S340:W340">
    <cfRule type="containsErrors" dxfId="509" priority="521" stopIfTrue="1">
      <formula>ISERROR(S340)</formula>
    </cfRule>
    <cfRule type="cellIs" dxfId="508" priority="522" stopIfTrue="1" operator="equal">
      <formula>FALSE</formula>
    </cfRule>
    <cfRule type="expression" dxfId="507" priority="523" stopIfTrue="1">
      <formula>OR(S341=0,S342=0)</formula>
    </cfRule>
    <cfRule type="cellIs" dxfId="506" priority="524" stopIfTrue="1" operator="equal">
      <formula>TRUE</formula>
    </cfRule>
    <cfRule type="containsText" dxfId="505" priority="525" stopIfTrue="1" operator="containsText" text="N/A">
      <formula>NOT(ISERROR(SEARCH("N/A",S340)))</formula>
    </cfRule>
  </conditionalFormatting>
  <conditionalFormatting sqref="S373:W373">
    <cfRule type="containsErrors" dxfId="504" priority="531" stopIfTrue="1">
      <formula>ISERROR(S373)</formula>
    </cfRule>
    <cfRule type="cellIs" dxfId="503" priority="532" stopIfTrue="1" operator="equal">
      <formula>FALSE</formula>
    </cfRule>
    <cfRule type="expression" dxfId="502" priority="533" stopIfTrue="1">
      <formula>OR(S374=0,S375=0)</formula>
    </cfRule>
    <cfRule type="cellIs" dxfId="501" priority="534" stopIfTrue="1" operator="equal">
      <formula>TRUE</formula>
    </cfRule>
    <cfRule type="containsText" dxfId="500" priority="535" stopIfTrue="1" operator="containsText" text="N/A">
      <formula>NOT(ISERROR(SEARCH("N/A",S373)))</formula>
    </cfRule>
  </conditionalFormatting>
  <conditionalFormatting sqref="S346:W346">
    <cfRule type="containsErrors" dxfId="499" priority="511" stopIfTrue="1">
      <formula>ISERROR(S346)</formula>
    </cfRule>
    <cfRule type="cellIs" dxfId="498" priority="512" stopIfTrue="1" operator="equal">
      <formula>FALSE</formula>
    </cfRule>
    <cfRule type="expression" dxfId="497" priority="513" stopIfTrue="1">
      <formula>OR(S347=0,S348=0)</formula>
    </cfRule>
    <cfRule type="cellIs" dxfId="496" priority="514" stopIfTrue="1" operator="equal">
      <formula>TRUE</formula>
    </cfRule>
    <cfRule type="containsText" dxfId="495" priority="515" stopIfTrue="1" operator="containsText" text="N/A">
      <formula>NOT(ISERROR(SEARCH("N/A",S346)))</formula>
    </cfRule>
  </conditionalFormatting>
  <conditionalFormatting sqref="S352:W352">
    <cfRule type="containsErrors" dxfId="494" priority="501" stopIfTrue="1">
      <formula>ISERROR(S352)</formula>
    </cfRule>
    <cfRule type="cellIs" dxfId="493" priority="502" stopIfTrue="1" operator="equal">
      <formula>FALSE</formula>
    </cfRule>
    <cfRule type="expression" dxfId="492" priority="503" stopIfTrue="1">
      <formula>OR(S353=0,S354=0)</formula>
    </cfRule>
    <cfRule type="cellIs" dxfId="491" priority="504" stopIfTrue="1" operator="equal">
      <formula>TRUE</formula>
    </cfRule>
    <cfRule type="containsText" dxfId="490" priority="505" stopIfTrue="1" operator="containsText" text="N/A">
      <formula>NOT(ISERROR(SEARCH("N/A",S352)))</formula>
    </cfRule>
  </conditionalFormatting>
  <conditionalFormatting sqref="S358:W358">
    <cfRule type="containsErrors" dxfId="489" priority="491" stopIfTrue="1">
      <formula>ISERROR(S358)</formula>
    </cfRule>
    <cfRule type="cellIs" dxfId="488" priority="492" stopIfTrue="1" operator="equal">
      <formula>FALSE</formula>
    </cfRule>
    <cfRule type="expression" dxfId="487" priority="493" stopIfTrue="1">
      <formula>OR(S359=0,S360=0)</formula>
    </cfRule>
    <cfRule type="cellIs" dxfId="486" priority="494" stopIfTrue="1" operator="equal">
      <formula>TRUE</formula>
    </cfRule>
    <cfRule type="containsText" dxfId="485" priority="495" stopIfTrue="1" operator="containsText" text="N/A">
      <formula>NOT(ISERROR(SEARCH("N/A",S358)))</formula>
    </cfRule>
  </conditionalFormatting>
  <conditionalFormatting sqref="S331:W331">
    <cfRule type="containsErrors" dxfId="484" priority="486" stopIfTrue="1">
      <formula>ISERROR(S331)</formula>
    </cfRule>
    <cfRule type="cellIs" dxfId="483" priority="487" stopIfTrue="1" operator="equal">
      <formula>FALSE</formula>
    </cfRule>
    <cfRule type="expression" dxfId="482" priority="488" stopIfTrue="1">
      <formula>OR(S332=0,S333=0)</formula>
    </cfRule>
    <cfRule type="cellIs" dxfId="481" priority="489" stopIfTrue="1" operator="equal">
      <formula>TRUE</formula>
    </cfRule>
    <cfRule type="containsText" dxfId="480" priority="490" stopIfTrue="1" operator="containsText" text="N/A">
      <formula>NOT(ISERROR(SEARCH("N/A",S331)))</formula>
    </cfRule>
  </conditionalFormatting>
  <conditionalFormatting sqref="S361:W361">
    <cfRule type="containsErrors" dxfId="479" priority="481" stopIfTrue="1">
      <formula>ISERROR(S361)</formula>
    </cfRule>
    <cfRule type="cellIs" dxfId="478" priority="482" stopIfTrue="1" operator="equal">
      <formula>FALSE</formula>
    </cfRule>
    <cfRule type="expression" dxfId="477" priority="483" stopIfTrue="1">
      <formula>OR(S362=0,S363=0)</formula>
    </cfRule>
    <cfRule type="cellIs" dxfId="476" priority="484" stopIfTrue="1" operator="equal">
      <formula>TRUE</formula>
    </cfRule>
    <cfRule type="containsText" dxfId="475" priority="485" stopIfTrue="1" operator="containsText" text="N/A">
      <formula>NOT(ISERROR(SEARCH("N/A",S361)))</formula>
    </cfRule>
  </conditionalFormatting>
  <conditionalFormatting sqref="S472:W472">
    <cfRule type="containsErrors" dxfId="474" priority="436" stopIfTrue="1">
      <formula>ISERROR(S472)</formula>
    </cfRule>
    <cfRule type="cellIs" dxfId="473" priority="437" stopIfTrue="1" operator="equal">
      <formula>FALSE</formula>
    </cfRule>
    <cfRule type="expression" dxfId="472" priority="438" stopIfTrue="1">
      <formula>OR(S473=0,S474=0)</formula>
    </cfRule>
    <cfRule type="cellIs" dxfId="471" priority="439" stopIfTrue="1" operator="equal">
      <formula>TRUE</formula>
    </cfRule>
    <cfRule type="containsText" dxfId="470" priority="440" stopIfTrue="1" operator="containsText" text="N/A">
      <formula>NOT(ISERROR(SEARCH("N/A",S472)))</formula>
    </cfRule>
  </conditionalFormatting>
  <conditionalFormatting sqref="S454:W454">
    <cfRule type="containsErrors" dxfId="469" priority="401" stopIfTrue="1">
      <formula>ISERROR(S454)</formula>
    </cfRule>
    <cfRule type="cellIs" dxfId="468" priority="402" stopIfTrue="1" operator="equal">
      <formula>FALSE</formula>
    </cfRule>
    <cfRule type="expression" dxfId="467" priority="403" stopIfTrue="1">
      <formula>OR(S455=0,S456=0)</formula>
    </cfRule>
    <cfRule type="cellIs" dxfId="466" priority="404" stopIfTrue="1" operator="equal">
      <formula>TRUE</formula>
    </cfRule>
    <cfRule type="containsText" dxfId="465" priority="405" stopIfTrue="1" operator="containsText" text="N/A">
      <formula>NOT(ISERROR(SEARCH("N/A",S454)))</formula>
    </cfRule>
  </conditionalFormatting>
  <conditionalFormatting sqref="S577:W577">
    <cfRule type="containsErrors" dxfId="464" priority="331" stopIfTrue="1">
      <formula>ISERROR(S577)</formula>
    </cfRule>
    <cfRule type="cellIs" dxfId="463" priority="332" stopIfTrue="1" operator="equal">
      <formula>FALSE</formula>
    </cfRule>
    <cfRule type="expression" dxfId="462" priority="333" stopIfTrue="1">
      <formula>OR(S578=0,S579=0)</formula>
    </cfRule>
    <cfRule type="cellIs" dxfId="461" priority="334" stopIfTrue="1" operator="equal">
      <formula>TRUE</formula>
    </cfRule>
    <cfRule type="containsText" dxfId="460" priority="335" stopIfTrue="1" operator="containsText" text="N/A">
      <formula>NOT(ISERROR(SEARCH("N/A",S577)))</formula>
    </cfRule>
  </conditionalFormatting>
  <conditionalFormatting sqref="S451:W451">
    <cfRule type="containsErrors" dxfId="459" priority="406" stopIfTrue="1">
      <formula>ISERROR(S451)</formula>
    </cfRule>
    <cfRule type="cellIs" dxfId="458" priority="407" stopIfTrue="1" operator="equal">
      <formula>FALSE</formula>
    </cfRule>
    <cfRule type="expression" dxfId="457" priority="408" stopIfTrue="1">
      <formula>OR(S452=0,S453=0)</formula>
    </cfRule>
    <cfRule type="cellIs" dxfId="456" priority="409" stopIfTrue="1" operator="equal">
      <formula>TRUE</formula>
    </cfRule>
    <cfRule type="containsText" dxfId="455" priority="410" stopIfTrue="1" operator="containsText" text="N/A">
      <formula>NOT(ISERROR(SEARCH("N/A",S451)))</formula>
    </cfRule>
  </conditionalFormatting>
  <conditionalFormatting sqref="S475:W475">
    <cfRule type="containsErrors" dxfId="454" priority="431" stopIfTrue="1">
      <formula>ISERROR(S475)</formula>
    </cfRule>
    <cfRule type="cellIs" dxfId="453" priority="432" stopIfTrue="1" operator="equal">
      <formula>FALSE</formula>
    </cfRule>
    <cfRule type="expression" dxfId="452" priority="433" stopIfTrue="1">
      <formula>OR(S476=0,S477=0)</formula>
    </cfRule>
    <cfRule type="cellIs" dxfId="451" priority="434" stopIfTrue="1" operator="equal">
      <formula>TRUE</formula>
    </cfRule>
    <cfRule type="containsText" dxfId="450" priority="435" stopIfTrue="1" operator="containsText" text="N/A">
      <formula>NOT(ISERROR(SEARCH("N/A",S475)))</formula>
    </cfRule>
  </conditionalFormatting>
  <conditionalFormatting sqref="S478:W478">
    <cfRule type="containsErrors" dxfId="449" priority="426" stopIfTrue="1">
      <formula>ISERROR(S478)</formula>
    </cfRule>
    <cfRule type="cellIs" dxfId="448" priority="427" stopIfTrue="1" operator="equal">
      <formula>FALSE</formula>
    </cfRule>
    <cfRule type="expression" dxfId="447" priority="428" stopIfTrue="1">
      <formula>OR(S479=0,S480=0)</formula>
    </cfRule>
    <cfRule type="cellIs" dxfId="446" priority="429" stopIfTrue="1" operator="equal">
      <formula>TRUE</formula>
    </cfRule>
    <cfRule type="containsText" dxfId="445" priority="430" stopIfTrue="1" operator="containsText" text="N/A">
      <formula>NOT(ISERROR(SEARCH("N/A",S478)))</formula>
    </cfRule>
  </conditionalFormatting>
  <conditionalFormatting sqref="S559:W559">
    <cfRule type="containsErrors" dxfId="444" priority="296" stopIfTrue="1">
      <formula>ISERROR(S559)</formula>
    </cfRule>
    <cfRule type="cellIs" dxfId="443" priority="297" stopIfTrue="1" operator="equal">
      <formula>FALSE</formula>
    </cfRule>
    <cfRule type="expression" dxfId="442" priority="298" stopIfTrue="1">
      <formula>OR(S560=0,S561=0)</formula>
    </cfRule>
    <cfRule type="cellIs" dxfId="441" priority="299" stopIfTrue="1" operator="equal">
      <formula>TRUE</formula>
    </cfRule>
    <cfRule type="containsText" dxfId="440" priority="300" stopIfTrue="1" operator="containsText" text="N/A">
      <formula>NOT(ISERROR(SEARCH("N/A",S559)))</formula>
    </cfRule>
  </conditionalFormatting>
  <conditionalFormatting sqref="S457:W457">
    <cfRule type="containsErrors" dxfId="439" priority="396" stopIfTrue="1">
      <formula>ISERROR(S457)</formula>
    </cfRule>
    <cfRule type="cellIs" dxfId="438" priority="397" stopIfTrue="1" operator="equal">
      <formula>FALSE</formula>
    </cfRule>
    <cfRule type="expression" dxfId="437" priority="398" stopIfTrue="1">
      <formula>OR(S458=0,S459=0)</formula>
    </cfRule>
    <cfRule type="cellIs" dxfId="436" priority="399" stopIfTrue="1" operator="equal">
      <formula>TRUE</formula>
    </cfRule>
    <cfRule type="containsText" dxfId="435" priority="400" stopIfTrue="1" operator="containsText" text="N/A">
      <formula>NOT(ISERROR(SEARCH("N/A",S457)))</formula>
    </cfRule>
  </conditionalFormatting>
  <conditionalFormatting sqref="S556:W556">
    <cfRule type="containsErrors" dxfId="434" priority="301" stopIfTrue="1">
      <formula>ISERROR(S556)</formula>
    </cfRule>
    <cfRule type="cellIs" dxfId="433" priority="302" stopIfTrue="1" operator="equal">
      <formula>FALSE</formula>
    </cfRule>
    <cfRule type="expression" dxfId="432" priority="303" stopIfTrue="1">
      <formula>OR(S557=0,S558=0)</formula>
    </cfRule>
    <cfRule type="cellIs" dxfId="431" priority="304" stopIfTrue="1" operator="equal">
      <formula>TRUE</formula>
    </cfRule>
    <cfRule type="containsText" dxfId="430" priority="305" stopIfTrue="1" operator="containsText" text="N/A">
      <formula>NOT(ISERROR(SEARCH("N/A",S556)))</formula>
    </cfRule>
  </conditionalFormatting>
  <conditionalFormatting sqref="S403:W403 S405:W405 S407:W407 S401:W401">
    <cfRule type="containsErrors" dxfId="429" priority="476" stopIfTrue="1">
      <formula>ISERROR(S401)</formula>
    </cfRule>
    <cfRule type="cellIs" dxfId="428" priority="477" stopIfTrue="1" operator="equal">
      <formula>FALSE</formula>
    </cfRule>
    <cfRule type="expression" dxfId="427" priority="478" stopIfTrue="1">
      <formula>OR(S402=0,#REF!=0)</formula>
    </cfRule>
    <cfRule type="cellIs" dxfId="426" priority="479" stopIfTrue="1" operator="equal">
      <formula>TRUE</formula>
    </cfRule>
    <cfRule type="containsText" dxfId="425" priority="480" stopIfTrue="1" operator="containsText" text="N/A">
      <formula>NOT(ISERROR(SEARCH("N/A",S401)))</formula>
    </cfRule>
  </conditionalFormatting>
  <conditionalFormatting sqref="S377:W377">
    <cfRule type="containsErrors" dxfId="424" priority="471" stopIfTrue="1">
      <formula>ISERROR(S377)</formula>
    </cfRule>
    <cfRule type="cellIs" dxfId="423" priority="472" stopIfTrue="1" operator="equal">
      <formula>FALSE</formula>
    </cfRule>
    <cfRule type="expression" dxfId="422" priority="473" stopIfTrue="1">
      <formula>OR(S378=0,S379=0)</formula>
    </cfRule>
    <cfRule type="cellIs" dxfId="421" priority="474" stopIfTrue="1" operator="equal">
      <formula>TRUE</formula>
    </cfRule>
    <cfRule type="containsText" dxfId="420" priority="475" stopIfTrue="1" operator="containsText" text="N/A">
      <formula>NOT(ISERROR(SEARCH("N/A",S377)))</formula>
    </cfRule>
  </conditionalFormatting>
  <conditionalFormatting sqref="S383:W383">
    <cfRule type="containsErrors" dxfId="419" priority="466" stopIfTrue="1">
      <formula>ISERROR(S383)</formula>
    </cfRule>
    <cfRule type="cellIs" dxfId="418" priority="467" stopIfTrue="1" operator="equal">
      <formula>FALSE</formula>
    </cfRule>
    <cfRule type="expression" dxfId="417" priority="468" stopIfTrue="1">
      <formula>OR(S384=0,S385=0)</formula>
    </cfRule>
    <cfRule type="cellIs" dxfId="416" priority="469" stopIfTrue="1" operator="equal">
      <formula>TRUE</formula>
    </cfRule>
    <cfRule type="containsText" dxfId="415" priority="470" stopIfTrue="1" operator="containsText" text="N/A">
      <formula>NOT(ISERROR(SEARCH("N/A",S383)))</formula>
    </cfRule>
  </conditionalFormatting>
  <conditionalFormatting sqref="S409:W409">
    <cfRule type="containsErrors" dxfId="414" priority="461" stopIfTrue="1">
      <formula>ISERROR(S409)</formula>
    </cfRule>
    <cfRule type="cellIs" dxfId="413" priority="462" stopIfTrue="1" operator="equal">
      <formula>FALSE</formula>
    </cfRule>
    <cfRule type="expression" dxfId="412" priority="463" stopIfTrue="1">
      <formula>OR(S410=0,S411=0)</formula>
    </cfRule>
    <cfRule type="cellIs" dxfId="411" priority="464" stopIfTrue="1" operator="equal">
      <formula>TRUE</formula>
    </cfRule>
    <cfRule type="containsText" dxfId="410" priority="465" stopIfTrue="1" operator="containsText" text="N/A">
      <formula>NOT(ISERROR(SEARCH("N/A",S409)))</formula>
    </cfRule>
  </conditionalFormatting>
  <conditionalFormatting sqref="S469:W469">
    <cfRule type="containsErrors" dxfId="409" priority="456" stopIfTrue="1">
      <formula>ISERROR(S469)</formula>
    </cfRule>
    <cfRule type="cellIs" dxfId="408" priority="457" stopIfTrue="1" operator="equal">
      <formula>FALSE</formula>
    </cfRule>
    <cfRule type="expression" dxfId="407" priority="458" stopIfTrue="1">
      <formula>OR(S470=0,S471=0)</formula>
    </cfRule>
    <cfRule type="cellIs" dxfId="406" priority="459" stopIfTrue="1" operator="equal">
      <formula>TRUE</formula>
    </cfRule>
    <cfRule type="containsText" dxfId="405" priority="460" stopIfTrue="1" operator="containsText" text="N/A">
      <formula>NOT(ISERROR(SEARCH("N/A",S469)))</formula>
    </cfRule>
  </conditionalFormatting>
  <conditionalFormatting sqref="S380:W380">
    <cfRule type="containsErrors" dxfId="404" priority="451" stopIfTrue="1">
      <formula>ISERROR(S380)</formula>
    </cfRule>
    <cfRule type="cellIs" dxfId="403" priority="452" stopIfTrue="1" operator="equal">
      <formula>FALSE</formula>
    </cfRule>
    <cfRule type="expression" dxfId="402" priority="453" stopIfTrue="1">
      <formula>OR(S381=0,S382=0)</formula>
    </cfRule>
    <cfRule type="cellIs" dxfId="401" priority="454" stopIfTrue="1" operator="equal">
      <formula>TRUE</formula>
    </cfRule>
    <cfRule type="containsText" dxfId="400" priority="455" stopIfTrue="1" operator="containsText" text="N/A">
      <formula>NOT(ISERROR(SEARCH("N/A",S380)))</formula>
    </cfRule>
  </conditionalFormatting>
  <conditionalFormatting sqref="S439:W439">
    <cfRule type="containsErrors" dxfId="399" priority="441" stopIfTrue="1">
      <formula>ISERROR(S439)</formula>
    </cfRule>
    <cfRule type="cellIs" dxfId="398" priority="442" stopIfTrue="1" operator="equal">
      <formula>FALSE</formula>
    </cfRule>
    <cfRule type="expression" dxfId="397" priority="443" stopIfTrue="1">
      <formula>OR(S440=0,S441=0)</formula>
    </cfRule>
    <cfRule type="cellIs" dxfId="396" priority="444" stopIfTrue="1" operator="equal">
      <formula>TRUE</formula>
    </cfRule>
    <cfRule type="containsText" dxfId="395" priority="445" stopIfTrue="1" operator="containsText" text="N/A">
      <formula>NOT(ISERROR(SEARCH("N/A",S439)))</formula>
    </cfRule>
  </conditionalFormatting>
  <conditionalFormatting sqref="S398:W398">
    <cfRule type="containsErrors" dxfId="394" priority="446" stopIfTrue="1">
      <formula>ISERROR(S398)</formula>
    </cfRule>
    <cfRule type="cellIs" dxfId="393" priority="447" stopIfTrue="1" operator="equal">
      <formula>FALSE</formula>
    </cfRule>
    <cfRule type="expression" dxfId="392" priority="448" stopIfTrue="1">
      <formula>OR(S399=0,S400=0)</formula>
    </cfRule>
    <cfRule type="cellIs" dxfId="391" priority="449" stopIfTrue="1" operator="equal">
      <formula>TRUE</formula>
    </cfRule>
    <cfRule type="containsText" dxfId="390" priority="450" stopIfTrue="1" operator="containsText" text="N/A">
      <formula>NOT(ISERROR(SEARCH("N/A",S398)))</formula>
    </cfRule>
  </conditionalFormatting>
  <conditionalFormatting sqref="S442:W442">
    <cfRule type="containsErrors" dxfId="389" priority="421" stopIfTrue="1">
      <formula>ISERROR(S442)</formula>
    </cfRule>
    <cfRule type="cellIs" dxfId="388" priority="422" stopIfTrue="1" operator="equal">
      <formula>FALSE</formula>
    </cfRule>
    <cfRule type="expression" dxfId="387" priority="423" stopIfTrue="1">
      <formula>OR(S443=0,S444=0)</formula>
    </cfRule>
    <cfRule type="cellIs" dxfId="386" priority="424" stopIfTrue="1" operator="equal">
      <formula>TRUE</formula>
    </cfRule>
    <cfRule type="containsText" dxfId="385" priority="425" stopIfTrue="1" operator="containsText" text="N/A">
      <formula>NOT(ISERROR(SEARCH("N/A",S442)))</formula>
    </cfRule>
  </conditionalFormatting>
  <conditionalFormatting sqref="S445:W445">
    <cfRule type="containsErrors" dxfId="384" priority="416" stopIfTrue="1">
      <formula>ISERROR(S445)</formula>
    </cfRule>
    <cfRule type="cellIs" dxfId="383" priority="417" stopIfTrue="1" operator="equal">
      <formula>FALSE</formula>
    </cfRule>
    <cfRule type="expression" dxfId="382" priority="418" stopIfTrue="1">
      <formula>OR(S446=0,S447=0)</formula>
    </cfRule>
    <cfRule type="cellIs" dxfId="381" priority="419" stopIfTrue="1" operator="equal">
      <formula>TRUE</formula>
    </cfRule>
    <cfRule type="containsText" dxfId="380" priority="420" stopIfTrue="1" operator="containsText" text="N/A">
      <formula>NOT(ISERROR(SEARCH("N/A",S445)))</formula>
    </cfRule>
  </conditionalFormatting>
  <conditionalFormatting sqref="S448:W448">
    <cfRule type="containsErrors" dxfId="379" priority="411" stopIfTrue="1">
      <formula>ISERROR(S448)</formula>
    </cfRule>
    <cfRule type="cellIs" dxfId="378" priority="412" stopIfTrue="1" operator="equal">
      <formula>FALSE</formula>
    </cfRule>
    <cfRule type="expression" dxfId="377" priority="413" stopIfTrue="1">
      <formula>OR(S449=0,S450=0)</formula>
    </cfRule>
    <cfRule type="cellIs" dxfId="376" priority="414" stopIfTrue="1" operator="equal">
      <formula>TRUE</formula>
    </cfRule>
    <cfRule type="containsText" dxfId="375" priority="415" stopIfTrue="1" operator="containsText" text="N/A">
      <formula>NOT(ISERROR(SEARCH("N/A",S448)))</formula>
    </cfRule>
  </conditionalFormatting>
  <conditionalFormatting sqref="S463:W463">
    <cfRule type="containsErrors" dxfId="374" priority="386" stopIfTrue="1">
      <formula>ISERROR(S463)</formula>
    </cfRule>
    <cfRule type="cellIs" dxfId="373" priority="387" stopIfTrue="1" operator="equal">
      <formula>FALSE</formula>
    </cfRule>
    <cfRule type="expression" dxfId="372" priority="388" stopIfTrue="1">
      <formula>OR(S464=0,S465=0)</formula>
    </cfRule>
    <cfRule type="cellIs" dxfId="371" priority="389" stopIfTrue="1" operator="equal">
      <formula>TRUE</formula>
    </cfRule>
    <cfRule type="containsText" dxfId="370" priority="390" stopIfTrue="1" operator="containsText" text="N/A">
      <formula>NOT(ISERROR(SEARCH("N/A",S463)))</formula>
    </cfRule>
  </conditionalFormatting>
  <conditionalFormatting sqref="S460:W460">
    <cfRule type="containsErrors" dxfId="369" priority="391" stopIfTrue="1">
      <formula>ISERROR(S460)</formula>
    </cfRule>
    <cfRule type="cellIs" dxfId="368" priority="392" stopIfTrue="1" operator="equal">
      <formula>FALSE</formula>
    </cfRule>
    <cfRule type="expression" dxfId="367" priority="393" stopIfTrue="1">
      <formula>OR(S461=0,S462=0)</formula>
    </cfRule>
    <cfRule type="cellIs" dxfId="366" priority="394" stopIfTrue="1" operator="equal">
      <formula>TRUE</formula>
    </cfRule>
    <cfRule type="containsText" dxfId="365" priority="395" stopIfTrue="1" operator="containsText" text="N/A">
      <formula>NOT(ISERROR(SEARCH("N/A",S460)))</formula>
    </cfRule>
  </conditionalFormatting>
  <conditionalFormatting sqref="S436:W436">
    <cfRule type="containsErrors" dxfId="364" priority="381" stopIfTrue="1">
      <formula>ISERROR(S436)</formula>
    </cfRule>
    <cfRule type="cellIs" dxfId="363" priority="382" stopIfTrue="1" operator="equal">
      <formula>FALSE</formula>
    </cfRule>
    <cfRule type="expression" dxfId="362" priority="383" stopIfTrue="1">
      <formula>OR(S437=0,S438=0)</formula>
    </cfRule>
    <cfRule type="cellIs" dxfId="361" priority="384" stopIfTrue="1" operator="equal">
      <formula>TRUE</formula>
    </cfRule>
    <cfRule type="containsText" dxfId="360" priority="385" stopIfTrue="1" operator="containsText" text="N/A">
      <formula>NOT(ISERROR(SEARCH("N/A",S436)))</formula>
    </cfRule>
  </conditionalFormatting>
  <conditionalFormatting sqref="S466:W466">
    <cfRule type="containsErrors" dxfId="359" priority="376" stopIfTrue="1">
      <formula>ISERROR(S466)</formula>
    </cfRule>
    <cfRule type="cellIs" dxfId="358" priority="377" stopIfTrue="1" operator="equal">
      <formula>FALSE</formula>
    </cfRule>
    <cfRule type="expression" dxfId="357" priority="378" stopIfTrue="1">
      <formula>OR(S467=0,S468=0)</formula>
    </cfRule>
    <cfRule type="cellIs" dxfId="356" priority="379" stopIfTrue="1" operator="equal">
      <formula>TRUE</formula>
    </cfRule>
    <cfRule type="containsText" dxfId="355" priority="380" stopIfTrue="1" operator="containsText" text="N/A">
      <formula>NOT(ISERROR(SEARCH("N/A",S466)))</formula>
    </cfRule>
  </conditionalFormatting>
  <conditionalFormatting sqref="S580:W580">
    <cfRule type="containsErrors" dxfId="354" priority="326" stopIfTrue="1">
      <formula>ISERROR(S580)</formula>
    </cfRule>
    <cfRule type="cellIs" dxfId="353" priority="327" stopIfTrue="1" operator="equal">
      <formula>FALSE</formula>
    </cfRule>
    <cfRule type="expression" dxfId="352" priority="328" stopIfTrue="1">
      <formula>OR(S581=0,S582=0)</formula>
    </cfRule>
    <cfRule type="cellIs" dxfId="351" priority="329" stopIfTrue="1" operator="equal">
      <formula>TRUE</formula>
    </cfRule>
    <cfRule type="containsText" dxfId="350" priority="330" stopIfTrue="1" operator="containsText" text="N/A">
      <formula>NOT(ISERROR(SEARCH("N/A",S580)))</formula>
    </cfRule>
  </conditionalFormatting>
  <conditionalFormatting sqref="S583:W583">
    <cfRule type="containsErrors" dxfId="349" priority="321" stopIfTrue="1">
      <formula>ISERROR(S583)</formula>
    </cfRule>
    <cfRule type="cellIs" dxfId="348" priority="322" stopIfTrue="1" operator="equal">
      <formula>FALSE</formula>
    </cfRule>
    <cfRule type="expression" dxfId="347" priority="323" stopIfTrue="1">
      <formula>OR(S584=0,S585=0)</formula>
    </cfRule>
    <cfRule type="cellIs" dxfId="346" priority="324" stopIfTrue="1" operator="equal">
      <formula>TRUE</formula>
    </cfRule>
    <cfRule type="containsText" dxfId="345" priority="325" stopIfTrue="1" operator="containsText" text="N/A">
      <formula>NOT(ISERROR(SEARCH("N/A",S583)))</formula>
    </cfRule>
  </conditionalFormatting>
  <conditionalFormatting sqref="S562:W562">
    <cfRule type="containsErrors" dxfId="344" priority="291" stopIfTrue="1">
      <formula>ISERROR(S562)</formula>
    </cfRule>
    <cfRule type="cellIs" dxfId="343" priority="292" stopIfTrue="1" operator="equal">
      <formula>FALSE</formula>
    </cfRule>
    <cfRule type="expression" dxfId="342" priority="293" stopIfTrue="1">
      <formula>OR(S563=0,S564=0)</formula>
    </cfRule>
    <cfRule type="cellIs" dxfId="341" priority="294" stopIfTrue="1" operator="equal">
      <formula>TRUE</formula>
    </cfRule>
    <cfRule type="containsText" dxfId="340" priority="295" stopIfTrue="1" operator="containsText" text="N/A">
      <formula>NOT(ISERROR(SEARCH("N/A",S562)))</formula>
    </cfRule>
  </conditionalFormatting>
  <conditionalFormatting sqref="S508:W508 S510:W510 S512:W512 S506:W506">
    <cfRule type="containsErrors" dxfId="339" priority="371" stopIfTrue="1">
      <formula>ISERROR(S506)</formula>
    </cfRule>
    <cfRule type="cellIs" dxfId="338" priority="372" stopIfTrue="1" operator="equal">
      <formula>FALSE</formula>
    </cfRule>
    <cfRule type="expression" dxfId="337" priority="373" stopIfTrue="1">
      <formula>OR(S507=0,#REF!=0)</formula>
    </cfRule>
    <cfRule type="cellIs" dxfId="336" priority="374" stopIfTrue="1" operator="equal">
      <formula>TRUE</formula>
    </cfRule>
    <cfRule type="containsText" dxfId="335" priority="375" stopIfTrue="1" operator="containsText" text="N/A">
      <formula>NOT(ISERROR(SEARCH("N/A",S506)))</formula>
    </cfRule>
  </conditionalFormatting>
  <conditionalFormatting sqref="S482:W482">
    <cfRule type="containsErrors" dxfId="334" priority="366" stopIfTrue="1">
      <formula>ISERROR(S482)</formula>
    </cfRule>
    <cfRule type="cellIs" dxfId="333" priority="367" stopIfTrue="1" operator="equal">
      <formula>FALSE</formula>
    </cfRule>
    <cfRule type="expression" dxfId="332" priority="368" stopIfTrue="1">
      <formula>OR(S483=0,S484=0)</formula>
    </cfRule>
    <cfRule type="cellIs" dxfId="331" priority="369" stopIfTrue="1" operator="equal">
      <formula>TRUE</formula>
    </cfRule>
    <cfRule type="containsText" dxfId="330" priority="370" stopIfTrue="1" operator="containsText" text="N/A">
      <formula>NOT(ISERROR(SEARCH("N/A",S482)))</formula>
    </cfRule>
  </conditionalFormatting>
  <conditionalFormatting sqref="S488:W488">
    <cfRule type="containsErrors" dxfId="329" priority="361" stopIfTrue="1">
      <formula>ISERROR(S488)</formula>
    </cfRule>
    <cfRule type="cellIs" dxfId="328" priority="362" stopIfTrue="1" operator="equal">
      <formula>FALSE</formula>
    </cfRule>
    <cfRule type="expression" dxfId="327" priority="363" stopIfTrue="1">
      <formula>OR(S489=0,S490=0)</formula>
    </cfRule>
    <cfRule type="cellIs" dxfId="326" priority="364" stopIfTrue="1" operator="equal">
      <formula>TRUE</formula>
    </cfRule>
    <cfRule type="containsText" dxfId="325" priority="365" stopIfTrue="1" operator="containsText" text="N/A">
      <formula>NOT(ISERROR(SEARCH("N/A",S488)))</formula>
    </cfRule>
  </conditionalFormatting>
  <conditionalFormatting sqref="S514:W514">
    <cfRule type="containsErrors" dxfId="324" priority="356" stopIfTrue="1">
      <formula>ISERROR(S514)</formula>
    </cfRule>
    <cfRule type="cellIs" dxfId="323" priority="357" stopIfTrue="1" operator="equal">
      <formula>FALSE</formula>
    </cfRule>
    <cfRule type="expression" dxfId="322" priority="358" stopIfTrue="1">
      <formula>OR(S515=0,S516=0)</formula>
    </cfRule>
    <cfRule type="cellIs" dxfId="321" priority="359" stopIfTrue="1" operator="equal">
      <formula>TRUE</formula>
    </cfRule>
    <cfRule type="containsText" dxfId="320" priority="360" stopIfTrue="1" operator="containsText" text="N/A">
      <formula>NOT(ISERROR(SEARCH("N/A",S514)))</formula>
    </cfRule>
  </conditionalFormatting>
  <conditionalFormatting sqref="S574:W574">
    <cfRule type="containsErrors" dxfId="319" priority="351" stopIfTrue="1">
      <formula>ISERROR(S574)</formula>
    </cfRule>
    <cfRule type="cellIs" dxfId="318" priority="352" stopIfTrue="1" operator="equal">
      <formula>FALSE</formula>
    </cfRule>
    <cfRule type="expression" dxfId="317" priority="353" stopIfTrue="1">
      <formula>OR(S575=0,S576=0)</formula>
    </cfRule>
    <cfRule type="cellIs" dxfId="316" priority="354" stopIfTrue="1" operator="equal">
      <formula>TRUE</formula>
    </cfRule>
    <cfRule type="containsText" dxfId="315" priority="355" stopIfTrue="1" operator="containsText" text="N/A">
      <formula>NOT(ISERROR(SEARCH("N/A",S574)))</formula>
    </cfRule>
  </conditionalFormatting>
  <conditionalFormatting sqref="S485:W485">
    <cfRule type="containsErrors" dxfId="314" priority="346" stopIfTrue="1">
      <formula>ISERROR(S485)</formula>
    </cfRule>
    <cfRule type="cellIs" dxfId="313" priority="347" stopIfTrue="1" operator="equal">
      <formula>FALSE</formula>
    </cfRule>
    <cfRule type="expression" dxfId="312" priority="348" stopIfTrue="1">
      <formula>OR(S486=0,S487=0)</formula>
    </cfRule>
    <cfRule type="cellIs" dxfId="311" priority="349" stopIfTrue="1" operator="equal">
      <formula>TRUE</formula>
    </cfRule>
    <cfRule type="containsText" dxfId="310" priority="350" stopIfTrue="1" operator="containsText" text="N/A">
      <formula>NOT(ISERROR(SEARCH("N/A",S485)))</formula>
    </cfRule>
  </conditionalFormatting>
  <conditionalFormatting sqref="S544:W544">
    <cfRule type="containsErrors" dxfId="309" priority="336" stopIfTrue="1">
      <formula>ISERROR(S544)</formula>
    </cfRule>
    <cfRule type="cellIs" dxfId="308" priority="337" stopIfTrue="1" operator="equal">
      <formula>FALSE</formula>
    </cfRule>
    <cfRule type="expression" dxfId="307" priority="338" stopIfTrue="1">
      <formula>OR(S545=0,S546=0)</formula>
    </cfRule>
    <cfRule type="cellIs" dxfId="306" priority="339" stopIfTrue="1" operator="equal">
      <formula>TRUE</formula>
    </cfRule>
    <cfRule type="containsText" dxfId="305" priority="340" stopIfTrue="1" operator="containsText" text="N/A">
      <formula>NOT(ISERROR(SEARCH("N/A",S544)))</formula>
    </cfRule>
  </conditionalFormatting>
  <conditionalFormatting sqref="S503:W503">
    <cfRule type="containsErrors" dxfId="304" priority="341" stopIfTrue="1">
      <formula>ISERROR(S503)</formula>
    </cfRule>
    <cfRule type="cellIs" dxfId="303" priority="342" stopIfTrue="1" operator="equal">
      <formula>FALSE</formula>
    </cfRule>
    <cfRule type="expression" dxfId="302" priority="343" stopIfTrue="1">
      <formula>OR(S504=0,S505=0)</formula>
    </cfRule>
    <cfRule type="cellIs" dxfId="301" priority="344" stopIfTrue="1" operator="equal">
      <formula>TRUE</formula>
    </cfRule>
    <cfRule type="containsText" dxfId="300" priority="345" stopIfTrue="1" operator="containsText" text="N/A">
      <formula>NOT(ISERROR(SEARCH("N/A",S503)))</formula>
    </cfRule>
  </conditionalFormatting>
  <conditionalFormatting sqref="S547:W547">
    <cfRule type="containsErrors" dxfId="299" priority="316" stopIfTrue="1">
      <formula>ISERROR(S547)</formula>
    </cfRule>
    <cfRule type="cellIs" dxfId="298" priority="317" stopIfTrue="1" operator="equal">
      <formula>FALSE</formula>
    </cfRule>
    <cfRule type="expression" dxfId="297" priority="318" stopIfTrue="1">
      <formula>OR(S548=0,S549=0)</formula>
    </cfRule>
    <cfRule type="cellIs" dxfId="296" priority="319" stopIfTrue="1" operator="equal">
      <formula>TRUE</formula>
    </cfRule>
    <cfRule type="containsText" dxfId="295" priority="320" stopIfTrue="1" operator="containsText" text="N/A">
      <formula>NOT(ISERROR(SEARCH("N/A",S547)))</formula>
    </cfRule>
  </conditionalFormatting>
  <conditionalFormatting sqref="S550:W550">
    <cfRule type="containsErrors" dxfId="294" priority="311" stopIfTrue="1">
      <formula>ISERROR(S550)</formula>
    </cfRule>
    <cfRule type="cellIs" dxfId="293" priority="312" stopIfTrue="1" operator="equal">
      <formula>FALSE</formula>
    </cfRule>
    <cfRule type="expression" dxfId="292" priority="313" stopIfTrue="1">
      <formula>OR(S551=0,S552=0)</formula>
    </cfRule>
    <cfRule type="cellIs" dxfId="291" priority="314" stopIfTrue="1" operator="equal">
      <formula>TRUE</formula>
    </cfRule>
    <cfRule type="containsText" dxfId="290" priority="315" stopIfTrue="1" operator="containsText" text="N/A">
      <formula>NOT(ISERROR(SEARCH("N/A",S550)))</formula>
    </cfRule>
  </conditionalFormatting>
  <conditionalFormatting sqref="S553:W553">
    <cfRule type="containsErrors" dxfId="289" priority="306" stopIfTrue="1">
      <formula>ISERROR(S553)</formula>
    </cfRule>
    <cfRule type="cellIs" dxfId="288" priority="307" stopIfTrue="1" operator="equal">
      <formula>FALSE</formula>
    </cfRule>
    <cfRule type="expression" dxfId="287" priority="308" stopIfTrue="1">
      <formula>OR(S554=0,S555=0)</formula>
    </cfRule>
    <cfRule type="cellIs" dxfId="286" priority="309" stopIfTrue="1" operator="equal">
      <formula>TRUE</formula>
    </cfRule>
    <cfRule type="containsText" dxfId="285" priority="310" stopIfTrue="1" operator="containsText" text="N/A">
      <formula>NOT(ISERROR(SEARCH("N/A",S553)))</formula>
    </cfRule>
  </conditionalFormatting>
  <conditionalFormatting sqref="S568:W568">
    <cfRule type="containsErrors" dxfId="284" priority="281" stopIfTrue="1">
      <formula>ISERROR(S568)</formula>
    </cfRule>
    <cfRule type="cellIs" dxfId="283" priority="282" stopIfTrue="1" operator="equal">
      <formula>FALSE</formula>
    </cfRule>
    <cfRule type="expression" dxfId="282" priority="283" stopIfTrue="1">
      <formula>OR(S569=0,S570=0)</formula>
    </cfRule>
    <cfRule type="cellIs" dxfId="281" priority="284" stopIfTrue="1" operator="equal">
      <formula>TRUE</formula>
    </cfRule>
    <cfRule type="containsText" dxfId="280" priority="285" stopIfTrue="1" operator="containsText" text="N/A">
      <formula>NOT(ISERROR(SEARCH("N/A",S568)))</formula>
    </cfRule>
  </conditionalFormatting>
  <conditionalFormatting sqref="S565:W565">
    <cfRule type="containsErrors" dxfId="279" priority="286" stopIfTrue="1">
      <formula>ISERROR(S565)</formula>
    </cfRule>
    <cfRule type="cellIs" dxfId="278" priority="287" stopIfTrue="1" operator="equal">
      <formula>FALSE</formula>
    </cfRule>
    <cfRule type="expression" dxfId="277" priority="288" stopIfTrue="1">
      <formula>OR(S566=0,S567=0)</formula>
    </cfRule>
    <cfRule type="cellIs" dxfId="276" priority="289" stopIfTrue="1" operator="equal">
      <formula>TRUE</formula>
    </cfRule>
    <cfRule type="containsText" dxfId="275" priority="290" stopIfTrue="1" operator="containsText" text="N/A">
      <formula>NOT(ISERROR(SEARCH("N/A",S565)))</formula>
    </cfRule>
  </conditionalFormatting>
  <conditionalFormatting sqref="S541:W541">
    <cfRule type="containsErrors" dxfId="274" priority="276" stopIfTrue="1">
      <formula>ISERROR(S541)</formula>
    </cfRule>
    <cfRule type="cellIs" dxfId="273" priority="277" stopIfTrue="1" operator="equal">
      <formula>FALSE</formula>
    </cfRule>
    <cfRule type="expression" dxfId="272" priority="278" stopIfTrue="1">
      <formula>OR(S542=0,S543=0)</formula>
    </cfRule>
    <cfRule type="cellIs" dxfId="271" priority="279" stopIfTrue="1" operator="equal">
      <formula>TRUE</formula>
    </cfRule>
    <cfRule type="containsText" dxfId="270" priority="280" stopIfTrue="1" operator="containsText" text="N/A">
      <formula>NOT(ISERROR(SEARCH("N/A",S541)))</formula>
    </cfRule>
  </conditionalFormatting>
  <conditionalFormatting sqref="S571:W571">
    <cfRule type="containsErrors" dxfId="269" priority="271" stopIfTrue="1">
      <formula>ISERROR(S571)</formula>
    </cfRule>
    <cfRule type="cellIs" dxfId="268" priority="272" stopIfTrue="1" operator="equal">
      <formula>FALSE</formula>
    </cfRule>
    <cfRule type="expression" dxfId="267" priority="273" stopIfTrue="1">
      <formula>OR(S572=0,S573=0)</formula>
    </cfRule>
    <cfRule type="cellIs" dxfId="266" priority="274" stopIfTrue="1" operator="equal">
      <formula>TRUE</formula>
    </cfRule>
    <cfRule type="containsText" dxfId="265" priority="275" stopIfTrue="1" operator="containsText" text="N/A">
      <formula>NOT(ISERROR(SEARCH("N/A",S571)))</formula>
    </cfRule>
  </conditionalFormatting>
  <conditionalFormatting sqref="S619">
    <cfRule type="containsErrors" dxfId="264" priority="266" stopIfTrue="1">
      <formula>ISERROR(S619)</formula>
    </cfRule>
    <cfRule type="cellIs" dxfId="263" priority="267" stopIfTrue="1" operator="equal">
      <formula>FALSE</formula>
    </cfRule>
    <cfRule type="expression" dxfId="262" priority="268" stopIfTrue="1">
      <formula>OR(S620=0,S621=0)</formula>
    </cfRule>
    <cfRule type="cellIs" dxfId="261" priority="269" stopIfTrue="1" operator="equal">
      <formula>TRUE</formula>
    </cfRule>
    <cfRule type="containsText" dxfId="260" priority="270" stopIfTrue="1" operator="containsText" text="N/A">
      <formula>NOT(ISERROR(SEARCH("N/A",S619)))</formula>
    </cfRule>
  </conditionalFormatting>
  <conditionalFormatting sqref="S611:W611">
    <cfRule type="containsErrors" dxfId="259" priority="261" stopIfTrue="1">
      <formula>ISERROR(S611)</formula>
    </cfRule>
    <cfRule type="cellIs" dxfId="258" priority="262" stopIfTrue="1" operator="equal">
      <formula>FALSE</formula>
    </cfRule>
    <cfRule type="expression" dxfId="257" priority="263" stopIfTrue="1">
      <formula>OR(S612=0,S613=0)</formula>
    </cfRule>
    <cfRule type="cellIs" dxfId="256" priority="264" stopIfTrue="1" operator="equal">
      <formula>TRUE</formula>
    </cfRule>
    <cfRule type="containsText" dxfId="255" priority="265" stopIfTrue="1" operator="containsText" text="N/A">
      <formula>NOT(ISERROR(SEARCH("N/A",S611)))</formula>
    </cfRule>
  </conditionalFormatting>
  <conditionalFormatting sqref="S608:W608">
    <cfRule type="containsErrors" dxfId="254" priority="256" stopIfTrue="1">
      <formula>ISERROR(S608)</formula>
    </cfRule>
    <cfRule type="cellIs" dxfId="253" priority="257" stopIfTrue="1" operator="equal">
      <formula>FALSE</formula>
    </cfRule>
    <cfRule type="expression" dxfId="252" priority="258" stopIfTrue="1">
      <formula>OR(S609=0,S610=0)</formula>
    </cfRule>
    <cfRule type="cellIs" dxfId="251" priority="259" stopIfTrue="1" operator="equal">
      <formula>TRUE</formula>
    </cfRule>
    <cfRule type="containsText" dxfId="250" priority="260" stopIfTrue="1" operator="containsText" text="N/A">
      <formula>NOT(ISERROR(SEARCH("N/A",S608)))</formula>
    </cfRule>
  </conditionalFormatting>
  <conditionalFormatting sqref="S605:W605">
    <cfRule type="containsErrors" dxfId="249" priority="251" stopIfTrue="1">
      <formula>ISERROR(S605)</formula>
    </cfRule>
    <cfRule type="cellIs" dxfId="248" priority="252" stopIfTrue="1" operator="equal">
      <formula>FALSE</formula>
    </cfRule>
    <cfRule type="expression" dxfId="247" priority="253" stopIfTrue="1">
      <formula>OR(S606=0,S607=0)</formula>
    </cfRule>
    <cfRule type="cellIs" dxfId="246" priority="254" stopIfTrue="1" operator="equal">
      <formula>TRUE</formula>
    </cfRule>
    <cfRule type="containsText" dxfId="245" priority="255" stopIfTrue="1" operator="containsText" text="N/A">
      <formula>NOT(ISERROR(SEARCH("N/A",S605)))</formula>
    </cfRule>
  </conditionalFormatting>
  <conditionalFormatting sqref="S599:W599">
    <cfRule type="containsErrors" dxfId="244" priority="241" stopIfTrue="1">
      <formula>ISERROR(S599)</formula>
    </cfRule>
    <cfRule type="cellIs" dxfId="243" priority="242" stopIfTrue="1" operator="equal">
      <formula>FALSE</formula>
    </cfRule>
    <cfRule type="expression" dxfId="242" priority="243" stopIfTrue="1">
      <formula>OR(S600=0,S601=0)</formula>
    </cfRule>
    <cfRule type="cellIs" dxfId="241" priority="244" stopIfTrue="1" operator="equal">
      <formula>TRUE</formula>
    </cfRule>
    <cfRule type="containsText" dxfId="240" priority="245" stopIfTrue="1" operator="containsText" text="N/A">
      <formula>NOT(ISERROR(SEARCH("N/A",S599)))</formula>
    </cfRule>
  </conditionalFormatting>
  <conditionalFormatting sqref="S602:W602">
    <cfRule type="containsErrors" dxfId="239" priority="246" stopIfTrue="1">
      <formula>ISERROR(S602)</formula>
    </cfRule>
    <cfRule type="cellIs" dxfId="238" priority="247" stopIfTrue="1" operator="equal">
      <formula>FALSE</formula>
    </cfRule>
    <cfRule type="expression" dxfId="237" priority="248" stopIfTrue="1">
      <formula>OR(S603=0,S604=0)</formula>
    </cfRule>
    <cfRule type="cellIs" dxfId="236" priority="249" stopIfTrue="1" operator="equal">
      <formula>TRUE</formula>
    </cfRule>
    <cfRule type="containsText" dxfId="235" priority="250" stopIfTrue="1" operator="containsText" text="N/A">
      <formula>NOT(ISERROR(SEARCH("N/A",S602)))</formula>
    </cfRule>
  </conditionalFormatting>
  <conditionalFormatting sqref="S596:W596">
    <cfRule type="containsErrors" dxfId="234" priority="236" stopIfTrue="1">
      <formula>ISERROR(S596)</formula>
    </cfRule>
    <cfRule type="cellIs" dxfId="233" priority="237" stopIfTrue="1" operator="equal">
      <formula>FALSE</formula>
    </cfRule>
    <cfRule type="expression" dxfId="232" priority="238" stopIfTrue="1">
      <formula>OR(S597=0,S598=0)</formula>
    </cfRule>
    <cfRule type="cellIs" dxfId="231" priority="239" stopIfTrue="1" operator="equal">
      <formula>TRUE</formula>
    </cfRule>
    <cfRule type="containsText" dxfId="230" priority="240" stopIfTrue="1" operator="containsText" text="N/A">
      <formula>NOT(ISERROR(SEARCH("N/A",S596)))</formula>
    </cfRule>
  </conditionalFormatting>
  <conditionalFormatting sqref="S593:W593">
    <cfRule type="containsErrors" dxfId="229" priority="231" stopIfTrue="1">
      <formula>ISERROR(S593)</formula>
    </cfRule>
    <cfRule type="cellIs" dxfId="228" priority="232" stopIfTrue="1" operator="equal">
      <formula>FALSE</formula>
    </cfRule>
    <cfRule type="expression" dxfId="227" priority="233" stopIfTrue="1">
      <formula>OR(S594=0,S595=0)</formula>
    </cfRule>
    <cfRule type="cellIs" dxfId="226" priority="234" stopIfTrue="1" operator="equal">
      <formula>TRUE</formula>
    </cfRule>
    <cfRule type="containsText" dxfId="225" priority="235" stopIfTrue="1" operator="containsText" text="N/A">
      <formula>NOT(ISERROR(SEARCH("N/A",S593)))</formula>
    </cfRule>
  </conditionalFormatting>
  <conditionalFormatting sqref="S590:W590">
    <cfRule type="containsErrors" dxfId="224" priority="226" stopIfTrue="1">
      <formula>ISERROR(S590)</formula>
    </cfRule>
    <cfRule type="cellIs" dxfId="223" priority="227" stopIfTrue="1" operator="equal">
      <formula>FALSE</formula>
    </cfRule>
    <cfRule type="expression" dxfId="222" priority="228" stopIfTrue="1">
      <formula>OR(S591=0,S592=0)</formula>
    </cfRule>
    <cfRule type="cellIs" dxfId="221" priority="229" stopIfTrue="1" operator="equal">
      <formula>TRUE</formula>
    </cfRule>
    <cfRule type="containsText" dxfId="220" priority="230" stopIfTrue="1" operator="containsText" text="N/A">
      <formula>NOT(ISERROR(SEARCH("N/A",S590)))</formula>
    </cfRule>
  </conditionalFormatting>
  <conditionalFormatting sqref="S587:W587">
    <cfRule type="containsErrors" dxfId="219" priority="221" stopIfTrue="1">
      <formula>ISERROR(S587)</formula>
    </cfRule>
    <cfRule type="cellIs" dxfId="218" priority="222" stopIfTrue="1" operator="equal">
      <formula>FALSE</formula>
    </cfRule>
    <cfRule type="expression" dxfId="217" priority="223" stopIfTrue="1">
      <formula>OR(S588=0,S589=0)</formula>
    </cfRule>
    <cfRule type="cellIs" dxfId="216" priority="224" stopIfTrue="1" operator="equal">
      <formula>TRUE</formula>
    </cfRule>
    <cfRule type="containsText" dxfId="215" priority="225" stopIfTrue="1" operator="containsText" text="N/A">
      <formula>NOT(ISERROR(SEARCH("N/A",S587)))</formula>
    </cfRule>
  </conditionalFormatting>
  <conditionalFormatting sqref="S677:W677">
    <cfRule type="containsErrors" dxfId="214" priority="181" stopIfTrue="1">
      <formula>ISERROR(S677)</formula>
    </cfRule>
    <cfRule type="cellIs" dxfId="213" priority="182" stopIfTrue="1" operator="equal">
      <formula>FALSE</formula>
    </cfRule>
    <cfRule type="expression" dxfId="212" priority="183" stopIfTrue="1">
      <formula>OR(S678=0,S679=0)</formula>
    </cfRule>
    <cfRule type="cellIs" dxfId="211" priority="184" stopIfTrue="1" operator="equal">
      <formula>TRUE</formula>
    </cfRule>
    <cfRule type="containsText" dxfId="210" priority="185" stopIfTrue="1" operator="containsText" text="N/A">
      <formula>NOT(ISERROR(SEARCH("N/A",S677)))</formula>
    </cfRule>
  </conditionalFormatting>
  <conditionalFormatting sqref="S674:W674">
    <cfRule type="containsErrors" dxfId="209" priority="186" stopIfTrue="1">
      <formula>ISERROR(S674)</formula>
    </cfRule>
    <cfRule type="cellIs" dxfId="208" priority="187" stopIfTrue="1" operator="equal">
      <formula>FALSE</formula>
    </cfRule>
    <cfRule type="expression" dxfId="207" priority="188" stopIfTrue="1">
      <formula>OR(S675=0,S676=0)</formula>
    </cfRule>
    <cfRule type="cellIs" dxfId="206" priority="189" stopIfTrue="1" operator="equal">
      <formula>TRUE</formula>
    </cfRule>
    <cfRule type="containsText" dxfId="205" priority="190" stopIfTrue="1" operator="containsText" text="N/A">
      <formula>NOT(ISERROR(SEARCH("N/A",S674)))</formula>
    </cfRule>
  </conditionalFormatting>
  <conditionalFormatting sqref="S659:W659">
    <cfRule type="containsErrors" dxfId="204" priority="211" stopIfTrue="1">
      <formula>ISERROR(S659)</formula>
    </cfRule>
    <cfRule type="cellIs" dxfId="203" priority="212" stopIfTrue="1" operator="equal">
      <formula>FALSE</formula>
    </cfRule>
    <cfRule type="expression" dxfId="202" priority="213" stopIfTrue="1">
      <formula>OR(S660=0,S661=0)</formula>
    </cfRule>
    <cfRule type="cellIs" dxfId="201" priority="214" stopIfTrue="1" operator="equal">
      <formula>TRUE</formula>
    </cfRule>
    <cfRule type="containsText" dxfId="200" priority="215" stopIfTrue="1" operator="containsText" text="N/A">
      <formula>NOT(ISERROR(SEARCH("N/A",S659)))</formula>
    </cfRule>
  </conditionalFormatting>
  <conditionalFormatting sqref="S662:W662">
    <cfRule type="containsErrors" dxfId="199" priority="206" stopIfTrue="1">
      <formula>ISERROR(S662)</formula>
    </cfRule>
    <cfRule type="cellIs" dxfId="198" priority="207" stopIfTrue="1" operator="equal">
      <formula>FALSE</formula>
    </cfRule>
    <cfRule type="expression" dxfId="197" priority="208" stopIfTrue="1">
      <formula>OR(S663=0,S664=0)</formula>
    </cfRule>
    <cfRule type="cellIs" dxfId="196" priority="209" stopIfTrue="1" operator="equal">
      <formula>TRUE</formula>
    </cfRule>
    <cfRule type="containsText" dxfId="195" priority="210" stopIfTrue="1" operator="containsText" text="N/A">
      <formula>NOT(ISERROR(SEARCH("N/A",S662)))</formula>
    </cfRule>
  </conditionalFormatting>
  <conditionalFormatting sqref="S680:W680">
    <cfRule type="containsErrors" dxfId="194" priority="176" stopIfTrue="1">
      <formula>ISERROR(S680)</formula>
    </cfRule>
    <cfRule type="cellIs" dxfId="193" priority="177" stopIfTrue="1" operator="equal">
      <formula>FALSE</formula>
    </cfRule>
    <cfRule type="expression" dxfId="192" priority="178" stopIfTrue="1">
      <formula>OR(S681=0,S682=0)</formula>
    </cfRule>
    <cfRule type="cellIs" dxfId="191" priority="179" stopIfTrue="1" operator="equal">
      <formula>TRUE</formula>
    </cfRule>
    <cfRule type="containsText" dxfId="190" priority="180" stopIfTrue="1" operator="containsText" text="N/A">
      <formula>NOT(ISERROR(SEARCH("N/A",S680)))</formula>
    </cfRule>
  </conditionalFormatting>
  <conditionalFormatting sqref="S691">
    <cfRule type="containsErrors" dxfId="189" priority="166" stopIfTrue="1">
      <formula>ISERROR(S691)</formula>
    </cfRule>
    <cfRule type="cellIs" dxfId="188" priority="167" stopIfTrue="1" operator="equal">
      <formula>FALSE</formula>
    </cfRule>
    <cfRule type="expression" dxfId="187" priority="168" stopIfTrue="1">
      <formula>OR(S692=0,S693=0)</formula>
    </cfRule>
    <cfRule type="cellIs" dxfId="186" priority="169" stopIfTrue="1" operator="equal">
      <formula>TRUE</formula>
    </cfRule>
    <cfRule type="containsText" dxfId="185" priority="170" stopIfTrue="1" operator="containsText" text="N/A">
      <formula>NOT(ISERROR(SEARCH("N/A",S691)))</formula>
    </cfRule>
  </conditionalFormatting>
  <conditionalFormatting sqref="T659:W659">
    <cfRule type="containsErrors" dxfId="184" priority="216" stopIfTrue="1">
      <formula>ISERROR(T659)</formula>
    </cfRule>
    <cfRule type="cellIs" dxfId="183" priority="217" stopIfTrue="1" operator="equal">
      <formula>FALSE</formula>
    </cfRule>
    <cfRule type="expression" dxfId="182" priority="218" stopIfTrue="1">
      <formula>OR(T660=0,#REF!=0)</formula>
    </cfRule>
    <cfRule type="cellIs" dxfId="181" priority="219" stopIfTrue="1" operator="equal">
      <formula>TRUE</formula>
    </cfRule>
    <cfRule type="containsText" dxfId="180" priority="220" stopIfTrue="1" operator="containsText" text="N/A">
      <formula>NOT(ISERROR(SEARCH("N/A",T659)))</formula>
    </cfRule>
  </conditionalFormatting>
  <conditionalFormatting sqref="S665:W665">
    <cfRule type="containsErrors" dxfId="179" priority="201" stopIfTrue="1">
      <formula>ISERROR(S665)</formula>
    </cfRule>
    <cfRule type="cellIs" dxfId="178" priority="202" stopIfTrue="1" operator="equal">
      <formula>FALSE</formula>
    </cfRule>
    <cfRule type="expression" dxfId="177" priority="203" stopIfTrue="1">
      <formula>OR(S666=0,S667=0)</formula>
    </cfRule>
    <cfRule type="cellIs" dxfId="176" priority="204" stopIfTrue="1" operator="equal">
      <formula>TRUE</formula>
    </cfRule>
    <cfRule type="containsText" dxfId="175" priority="205" stopIfTrue="1" operator="containsText" text="N/A">
      <formula>NOT(ISERROR(SEARCH("N/A",S665)))</formula>
    </cfRule>
  </conditionalFormatting>
  <conditionalFormatting sqref="S668:W668">
    <cfRule type="containsErrors" dxfId="174" priority="196" stopIfTrue="1">
      <formula>ISERROR(S668)</formula>
    </cfRule>
    <cfRule type="cellIs" dxfId="173" priority="197" stopIfTrue="1" operator="equal">
      <formula>FALSE</formula>
    </cfRule>
    <cfRule type="expression" dxfId="172" priority="198" stopIfTrue="1">
      <formula>OR(S669=0,S670=0)</formula>
    </cfRule>
    <cfRule type="cellIs" dxfId="171" priority="199" stopIfTrue="1" operator="equal">
      <formula>TRUE</formula>
    </cfRule>
    <cfRule type="containsText" dxfId="170" priority="200" stopIfTrue="1" operator="containsText" text="N/A">
      <formula>NOT(ISERROR(SEARCH("N/A",S668)))</formula>
    </cfRule>
  </conditionalFormatting>
  <conditionalFormatting sqref="S671:W671">
    <cfRule type="containsErrors" dxfId="169" priority="191" stopIfTrue="1">
      <formula>ISERROR(S671)</formula>
    </cfRule>
    <cfRule type="cellIs" dxfId="168" priority="192" stopIfTrue="1" operator="equal">
      <formula>FALSE</formula>
    </cfRule>
    <cfRule type="expression" dxfId="167" priority="193" stopIfTrue="1">
      <formula>OR(S672=0,S673=0)</formula>
    </cfRule>
    <cfRule type="cellIs" dxfId="166" priority="194" stopIfTrue="1" operator="equal">
      <formula>TRUE</formula>
    </cfRule>
    <cfRule type="containsText" dxfId="165" priority="195" stopIfTrue="1" operator="containsText" text="N/A">
      <formula>NOT(ISERROR(SEARCH("N/A",S671)))</formula>
    </cfRule>
  </conditionalFormatting>
  <conditionalFormatting sqref="S683:W683">
    <cfRule type="containsErrors" dxfId="164" priority="171" stopIfTrue="1">
      <formula>ISERROR(S683)</formula>
    </cfRule>
    <cfRule type="cellIs" dxfId="163" priority="172" stopIfTrue="1" operator="equal">
      <formula>FALSE</formula>
    </cfRule>
    <cfRule type="expression" dxfId="162" priority="173" stopIfTrue="1">
      <formula>OR(S684=0,S685=0)</formula>
    </cfRule>
    <cfRule type="cellIs" dxfId="161" priority="174" stopIfTrue="1" operator="equal">
      <formula>TRUE</formula>
    </cfRule>
    <cfRule type="containsText" dxfId="160" priority="175" stopIfTrue="1" operator="containsText" text="N/A">
      <formula>NOT(ISERROR(SEARCH("N/A",S683)))</formula>
    </cfRule>
  </conditionalFormatting>
  <conditionalFormatting sqref="S713:W713">
    <cfRule type="containsErrors" dxfId="159" priority="126" stopIfTrue="1">
      <formula>ISERROR(S713)</formula>
    </cfRule>
    <cfRule type="cellIs" dxfId="158" priority="127" stopIfTrue="1" operator="equal">
      <formula>FALSE</formula>
    </cfRule>
    <cfRule type="expression" dxfId="157" priority="128" stopIfTrue="1">
      <formula>OR(S714=0,S715=0)</formula>
    </cfRule>
    <cfRule type="cellIs" dxfId="156" priority="129" stopIfTrue="1" operator="equal">
      <formula>TRUE</formula>
    </cfRule>
    <cfRule type="containsText" dxfId="155" priority="130" stopIfTrue="1" operator="containsText" text="N/A">
      <formula>NOT(ISERROR(SEARCH("N/A",S713)))</formula>
    </cfRule>
  </conditionalFormatting>
  <conditionalFormatting sqref="S710:W710">
    <cfRule type="containsErrors" dxfId="154" priority="131" stopIfTrue="1">
      <formula>ISERROR(S710)</formula>
    </cfRule>
    <cfRule type="cellIs" dxfId="153" priority="132" stopIfTrue="1" operator="equal">
      <formula>FALSE</formula>
    </cfRule>
    <cfRule type="expression" dxfId="152" priority="133" stopIfTrue="1">
      <formula>OR(S711=0,S712=0)</formula>
    </cfRule>
    <cfRule type="cellIs" dxfId="151" priority="134" stopIfTrue="1" operator="equal">
      <formula>TRUE</formula>
    </cfRule>
    <cfRule type="containsText" dxfId="150" priority="135" stopIfTrue="1" operator="containsText" text="N/A">
      <formula>NOT(ISERROR(SEARCH("N/A",S710)))</formula>
    </cfRule>
  </conditionalFormatting>
  <conditionalFormatting sqref="S695:W695">
    <cfRule type="containsErrors" dxfId="149" priority="156" stopIfTrue="1">
      <formula>ISERROR(S695)</formula>
    </cfRule>
    <cfRule type="cellIs" dxfId="148" priority="157" stopIfTrue="1" operator="equal">
      <formula>FALSE</formula>
    </cfRule>
    <cfRule type="expression" dxfId="147" priority="158" stopIfTrue="1">
      <formula>OR(S696=0,S697=0)</formula>
    </cfRule>
    <cfRule type="cellIs" dxfId="146" priority="159" stopIfTrue="1" operator="equal">
      <formula>TRUE</formula>
    </cfRule>
    <cfRule type="containsText" dxfId="145" priority="160" stopIfTrue="1" operator="containsText" text="N/A">
      <formula>NOT(ISERROR(SEARCH("N/A",S695)))</formula>
    </cfRule>
  </conditionalFormatting>
  <conditionalFormatting sqref="S698:W698">
    <cfRule type="containsErrors" dxfId="144" priority="151" stopIfTrue="1">
      <formula>ISERROR(S698)</formula>
    </cfRule>
    <cfRule type="cellIs" dxfId="143" priority="152" stopIfTrue="1" operator="equal">
      <formula>FALSE</formula>
    </cfRule>
    <cfRule type="expression" dxfId="142" priority="153" stopIfTrue="1">
      <formula>OR(S699=0,S700=0)</formula>
    </cfRule>
    <cfRule type="cellIs" dxfId="141" priority="154" stopIfTrue="1" operator="equal">
      <formula>TRUE</formula>
    </cfRule>
    <cfRule type="containsText" dxfId="140" priority="155" stopIfTrue="1" operator="containsText" text="N/A">
      <formula>NOT(ISERROR(SEARCH("N/A",S698)))</formula>
    </cfRule>
  </conditionalFormatting>
  <conditionalFormatting sqref="S716:W716">
    <cfRule type="containsErrors" dxfId="139" priority="121" stopIfTrue="1">
      <formula>ISERROR(S716)</formula>
    </cfRule>
    <cfRule type="cellIs" dxfId="138" priority="122" stopIfTrue="1" operator="equal">
      <formula>FALSE</formula>
    </cfRule>
    <cfRule type="expression" dxfId="137" priority="123" stopIfTrue="1">
      <formula>OR(S717=0,S718=0)</formula>
    </cfRule>
    <cfRule type="cellIs" dxfId="136" priority="124" stopIfTrue="1" operator="equal">
      <formula>TRUE</formula>
    </cfRule>
    <cfRule type="containsText" dxfId="135" priority="125" stopIfTrue="1" operator="containsText" text="N/A">
      <formula>NOT(ISERROR(SEARCH("N/A",S716)))</formula>
    </cfRule>
  </conditionalFormatting>
  <conditionalFormatting sqref="S727">
    <cfRule type="containsErrors" dxfId="134" priority="111" stopIfTrue="1">
      <formula>ISERROR(S727)</formula>
    </cfRule>
    <cfRule type="cellIs" dxfId="133" priority="112" stopIfTrue="1" operator="equal">
      <formula>FALSE</formula>
    </cfRule>
    <cfRule type="expression" dxfId="132" priority="113" stopIfTrue="1">
      <formula>OR(S728=0,S729=0)</formula>
    </cfRule>
    <cfRule type="cellIs" dxfId="131" priority="114" stopIfTrue="1" operator="equal">
      <formula>TRUE</formula>
    </cfRule>
    <cfRule type="containsText" dxfId="130" priority="115" stopIfTrue="1" operator="containsText" text="N/A">
      <formula>NOT(ISERROR(SEARCH("N/A",S727)))</formula>
    </cfRule>
  </conditionalFormatting>
  <conditionalFormatting sqref="T695:W695">
    <cfRule type="containsErrors" dxfId="129" priority="161" stopIfTrue="1">
      <formula>ISERROR(T695)</formula>
    </cfRule>
    <cfRule type="cellIs" dxfId="128" priority="162" stopIfTrue="1" operator="equal">
      <formula>FALSE</formula>
    </cfRule>
    <cfRule type="expression" dxfId="127" priority="163" stopIfTrue="1">
      <formula>OR(T696=0,#REF!=0)</formula>
    </cfRule>
    <cfRule type="cellIs" dxfId="126" priority="164" stopIfTrue="1" operator="equal">
      <formula>TRUE</formula>
    </cfRule>
    <cfRule type="containsText" dxfId="125" priority="165" stopIfTrue="1" operator="containsText" text="N/A">
      <formula>NOT(ISERROR(SEARCH("N/A",T695)))</formula>
    </cfRule>
  </conditionalFormatting>
  <conditionalFormatting sqref="S701:W701">
    <cfRule type="containsErrors" dxfId="124" priority="146" stopIfTrue="1">
      <formula>ISERROR(S701)</formula>
    </cfRule>
    <cfRule type="cellIs" dxfId="123" priority="147" stopIfTrue="1" operator="equal">
      <formula>FALSE</formula>
    </cfRule>
    <cfRule type="expression" dxfId="122" priority="148" stopIfTrue="1">
      <formula>OR(S702=0,S703=0)</formula>
    </cfRule>
    <cfRule type="cellIs" dxfId="121" priority="149" stopIfTrue="1" operator="equal">
      <formula>TRUE</formula>
    </cfRule>
    <cfRule type="containsText" dxfId="120" priority="150" stopIfTrue="1" operator="containsText" text="N/A">
      <formula>NOT(ISERROR(SEARCH("N/A",S701)))</formula>
    </cfRule>
  </conditionalFormatting>
  <conditionalFormatting sqref="S704:W704">
    <cfRule type="containsErrors" dxfId="119" priority="141" stopIfTrue="1">
      <formula>ISERROR(S704)</formula>
    </cfRule>
    <cfRule type="cellIs" dxfId="118" priority="142" stopIfTrue="1" operator="equal">
      <formula>FALSE</formula>
    </cfRule>
    <cfRule type="expression" dxfId="117" priority="143" stopIfTrue="1">
      <formula>OR(S705=0,S706=0)</formula>
    </cfRule>
    <cfRule type="cellIs" dxfId="116" priority="144" stopIfTrue="1" operator="equal">
      <formula>TRUE</formula>
    </cfRule>
    <cfRule type="containsText" dxfId="115" priority="145" stopIfTrue="1" operator="containsText" text="N/A">
      <formula>NOT(ISERROR(SEARCH("N/A",S704)))</formula>
    </cfRule>
  </conditionalFormatting>
  <conditionalFormatting sqref="S707:W707">
    <cfRule type="containsErrors" dxfId="114" priority="136" stopIfTrue="1">
      <formula>ISERROR(S707)</formula>
    </cfRule>
    <cfRule type="cellIs" dxfId="113" priority="137" stopIfTrue="1" operator="equal">
      <formula>FALSE</formula>
    </cfRule>
    <cfRule type="expression" dxfId="112" priority="138" stopIfTrue="1">
      <formula>OR(S708=0,S709=0)</formula>
    </cfRule>
    <cfRule type="cellIs" dxfId="111" priority="139" stopIfTrue="1" operator="equal">
      <formula>TRUE</formula>
    </cfRule>
    <cfRule type="containsText" dxfId="110" priority="140" stopIfTrue="1" operator="containsText" text="N/A">
      <formula>NOT(ISERROR(SEARCH("N/A",S707)))</formula>
    </cfRule>
  </conditionalFormatting>
  <conditionalFormatting sqref="S719:W719">
    <cfRule type="containsErrors" dxfId="109" priority="116" stopIfTrue="1">
      <formula>ISERROR(S719)</formula>
    </cfRule>
    <cfRule type="cellIs" dxfId="108" priority="117" stopIfTrue="1" operator="equal">
      <formula>FALSE</formula>
    </cfRule>
    <cfRule type="expression" dxfId="107" priority="118" stopIfTrue="1">
      <formula>OR(S720=0,S721=0)</formula>
    </cfRule>
    <cfRule type="cellIs" dxfId="106" priority="119" stopIfTrue="1" operator="equal">
      <formula>TRUE</formula>
    </cfRule>
    <cfRule type="containsText" dxfId="105" priority="120" stopIfTrue="1" operator="containsText" text="N/A">
      <formula>NOT(ISERROR(SEARCH("N/A",S719)))</formula>
    </cfRule>
  </conditionalFormatting>
  <conditionalFormatting sqref="M44:Q44 S44:U44">
    <cfRule type="containsErrors" dxfId="104" priority="106" stopIfTrue="1">
      <formula>ISERROR(M44)</formula>
    </cfRule>
    <cfRule type="expression" dxfId="103" priority="107" stopIfTrue="1">
      <formula>OR(M45=0,#REF!=0)</formula>
    </cfRule>
    <cfRule type="cellIs" dxfId="102" priority="108" stopIfTrue="1" operator="equal">
      <formula>FALSE</formula>
    </cfRule>
    <cfRule type="cellIs" dxfId="101" priority="109" stopIfTrue="1" operator="equal">
      <formula>TRUE</formula>
    </cfRule>
    <cfRule type="containsText" dxfId="100" priority="110" stopIfTrue="1" operator="containsText" text="N/A">
      <formula>NOT(ISERROR(SEARCH("N/A",M44)))</formula>
    </cfRule>
  </conditionalFormatting>
  <conditionalFormatting sqref="M92:Q92 S92:U92">
    <cfRule type="containsErrors" dxfId="99" priority="101" stopIfTrue="1">
      <formula>ISERROR(M92)</formula>
    </cfRule>
    <cfRule type="expression" dxfId="98" priority="102" stopIfTrue="1">
      <formula>OR(M93=0,#REF!=0)</formula>
    </cfRule>
    <cfRule type="cellIs" dxfId="97" priority="103" stopIfTrue="1" operator="equal">
      <formula>FALSE</formula>
    </cfRule>
    <cfRule type="cellIs" dxfId="96" priority="104" stopIfTrue="1" operator="equal">
      <formula>TRUE</formula>
    </cfRule>
    <cfRule type="containsText" dxfId="95" priority="105" stopIfTrue="1" operator="containsText" text="N/A">
      <formula>NOT(ISERROR(SEARCH("N/A",M92)))</formula>
    </cfRule>
  </conditionalFormatting>
  <conditionalFormatting sqref="S614:W614">
    <cfRule type="containsErrors" dxfId="94" priority="96" stopIfTrue="1">
      <formula>ISERROR(S614)</formula>
    </cfRule>
    <cfRule type="cellIs" dxfId="93" priority="97" stopIfTrue="1" operator="equal">
      <formula>FALSE</formula>
    </cfRule>
    <cfRule type="expression" dxfId="92" priority="98" stopIfTrue="1">
      <formula>OR(S615=0,S616=0)</formula>
    </cfRule>
    <cfRule type="cellIs" dxfId="91" priority="99" stopIfTrue="1" operator="equal">
      <formula>TRUE</formula>
    </cfRule>
    <cfRule type="containsText" dxfId="90" priority="100" stopIfTrue="1" operator="containsText" text="N/A">
      <formula>NOT(ISERROR(SEARCH("N/A",S614)))</formula>
    </cfRule>
  </conditionalFormatting>
  <conditionalFormatting sqref="S686:W686">
    <cfRule type="containsErrors" dxfId="89" priority="91" stopIfTrue="1">
      <formula>ISERROR(S686)</formula>
    </cfRule>
    <cfRule type="cellIs" dxfId="88" priority="92" stopIfTrue="1" operator="equal">
      <formula>FALSE</formula>
    </cfRule>
    <cfRule type="expression" dxfId="87" priority="93" stopIfTrue="1">
      <formula>OR(S687=0,S688=0)</formula>
    </cfRule>
    <cfRule type="cellIs" dxfId="86" priority="94" stopIfTrue="1" operator="equal">
      <formula>TRUE</formula>
    </cfRule>
    <cfRule type="containsText" dxfId="85" priority="95" stopIfTrue="1" operator="containsText" text="N/A">
      <formula>NOT(ISERROR(SEARCH("N/A",S686)))</formula>
    </cfRule>
  </conditionalFormatting>
  <conditionalFormatting sqref="S722:W722">
    <cfRule type="containsErrors" dxfId="84" priority="86" stopIfTrue="1">
      <formula>ISERROR(S722)</formula>
    </cfRule>
    <cfRule type="cellIs" dxfId="83" priority="87" stopIfTrue="1" operator="equal">
      <formula>FALSE</formula>
    </cfRule>
    <cfRule type="expression" dxfId="82" priority="88" stopIfTrue="1">
      <formula>OR(S723=0,S724=0)</formula>
    </cfRule>
    <cfRule type="cellIs" dxfId="81" priority="89" stopIfTrue="1" operator="equal">
      <formula>TRUE</formula>
    </cfRule>
    <cfRule type="containsText" dxfId="80" priority="90" stopIfTrue="1" operator="containsText" text="N/A">
      <formula>NOT(ISERROR(SEARCH("N/A",S722)))</formula>
    </cfRule>
  </conditionalFormatting>
  <conditionalFormatting sqref="S617:W617">
    <cfRule type="containsErrors" dxfId="79" priority="81" stopIfTrue="1">
      <formula>ISERROR(S617)</formula>
    </cfRule>
    <cfRule type="cellIs" dxfId="78" priority="82" stopIfTrue="1" operator="equal">
      <formula>FALSE</formula>
    </cfRule>
    <cfRule type="expression" dxfId="77" priority="83" stopIfTrue="1">
      <formula>OR(S618=0,S619=0)</formula>
    </cfRule>
    <cfRule type="cellIs" dxfId="76" priority="84" stopIfTrue="1" operator="equal">
      <formula>TRUE</formula>
    </cfRule>
    <cfRule type="containsText" dxfId="75" priority="85" stopIfTrue="1" operator="containsText" text="N/A">
      <formula>NOT(ISERROR(SEARCH("N/A",S617)))</formula>
    </cfRule>
  </conditionalFormatting>
  <conditionalFormatting sqref="S689:W689">
    <cfRule type="containsErrors" dxfId="74" priority="76" stopIfTrue="1">
      <formula>ISERROR(S689)</formula>
    </cfRule>
    <cfRule type="cellIs" dxfId="73" priority="77" stopIfTrue="1" operator="equal">
      <formula>FALSE</formula>
    </cfRule>
    <cfRule type="expression" dxfId="72" priority="78" stopIfTrue="1">
      <formula>OR(S690=0,S691=0)</formula>
    </cfRule>
    <cfRule type="cellIs" dxfId="71" priority="79" stopIfTrue="1" operator="equal">
      <formula>TRUE</formula>
    </cfRule>
    <cfRule type="containsText" dxfId="70" priority="80" stopIfTrue="1" operator="containsText" text="N/A">
      <formula>NOT(ISERROR(SEARCH("N/A",S689)))</formula>
    </cfRule>
  </conditionalFormatting>
  <conditionalFormatting sqref="S725:W725">
    <cfRule type="containsErrors" dxfId="69" priority="71" stopIfTrue="1">
      <formula>ISERROR(S725)</formula>
    </cfRule>
    <cfRule type="cellIs" dxfId="68" priority="72" stopIfTrue="1" operator="equal">
      <formula>FALSE</formula>
    </cfRule>
    <cfRule type="expression" dxfId="67" priority="73" stopIfTrue="1">
      <formula>OR(S726=0,S727=0)</formula>
    </cfRule>
    <cfRule type="cellIs" dxfId="66" priority="74" stopIfTrue="1" operator="equal">
      <formula>TRUE</formula>
    </cfRule>
    <cfRule type="containsText" dxfId="65" priority="75" stopIfTrue="1" operator="containsText" text="N/A">
      <formula>NOT(ISERROR(SEARCH("N/A",S725)))</formula>
    </cfRule>
  </conditionalFormatting>
  <conditionalFormatting sqref="S623:W623">
    <cfRule type="containsErrors" dxfId="64" priority="61" stopIfTrue="1">
      <formula>ISERROR(S623)</formula>
    </cfRule>
    <cfRule type="cellIs" dxfId="63" priority="62" stopIfTrue="1" operator="equal">
      <formula>FALSE</formula>
    </cfRule>
    <cfRule type="expression" dxfId="62" priority="63" stopIfTrue="1">
      <formula>OR(S624=0,S625=0)</formula>
    </cfRule>
    <cfRule type="cellIs" dxfId="61" priority="64" stopIfTrue="1" operator="equal">
      <formula>TRUE</formula>
    </cfRule>
    <cfRule type="containsText" dxfId="60" priority="65" stopIfTrue="1" operator="containsText" text="N/A">
      <formula>NOT(ISERROR(SEARCH("N/A",S623)))</formula>
    </cfRule>
  </conditionalFormatting>
  <conditionalFormatting sqref="S655">
    <cfRule type="containsErrors" dxfId="59" priority="11" stopIfTrue="1">
      <formula>ISERROR(S655)</formula>
    </cfRule>
    <cfRule type="cellIs" dxfId="58" priority="12" stopIfTrue="1" operator="equal">
      <formula>FALSE</formula>
    </cfRule>
    <cfRule type="expression" dxfId="57" priority="13" stopIfTrue="1">
      <formula>OR(S656=0,S657=0)</formula>
    </cfRule>
    <cfRule type="cellIs" dxfId="56" priority="14" stopIfTrue="1" operator="equal">
      <formula>TRUE</formula>
    </cfRule>
    <cfRule type="containsText" dxfId="55" priority="15" stopIfTrue="1" operator="containsText" text="N/A">
      <formula>NOT(ISERROR(SEARCH("N/A",S655)))</formula>
    </cfRule>
  </conditionalFormatting>
  <conditionalFormatting sqref="T623:W623">
    <cfRule type="containsErrors" dxfId="54" priority="66" stopIfTrue="1">
      <formula>ISERROR(T623)</formula>
    </cfRule>
    <cfRule type="cellIs" dxfId="53" priority="67" stopIfTrue="1" operator="equal">
      <formula>FALSE</formula>
    </cfRule>
    <cfRule type="expression" dxfId="52" priority="68" stopIfTrue="1">
      <formula>OR(T624=0,#REF!=0)</formula>
    </cfRule>
    <cfRule type="cellIs" dxfId="51" priority="69" stopIfTrue="1" operator="equal">
      <formula>TRUE</formula>
    </cfRule>
    <cfRule type="containsText" dxfId="50" priority="70" stopIfTrue="1" operator="containsText" text="N/A">
      <formula>NOT(ISERROR(SEARCH("N/A",T623)))</formula>
    </cfRule>
  </conditionalFormatting>
  <conditionalFormatting sqref="S626:W626">
    <cfRule type="containsErrors" dxfId="49" priority="56" stopIfTrue="1">
      <formula>ISERROR(S626)</formula>
    </cfRule>
    <cfRule type="cellIs" dxfId="48" priority="57" stopIfTrue="1" operator="equal">
      <formula>FALSE</formula>
    </cfRule>
    <cfRule type="expression" dxfId="47" priority="58" stopIfTrue="1">
      <formula>OR(S627=0,S628=0)</formula>
    </cfRule>
    <cfRule type="cellIs" dxfId="46" priority="59" stopIfTrue="1" operator="equal">
      <formula>TRUE</formula>
    </cfRule>
    <cfRule type="containsText" dxfId="45" priority="60" stopIfTrue="1" operator="containsText" text="N/A">
      <formula>NOT(ISERROR(SEARCH("N/A",S626)))</formula>
    </cfRule>
  </conditionalFormatting>
  <conditionalFormatting sqref="S629:W629">
    <cfRule type="containsErrors" dxfId="44" priority="51" stopIfTrue="1">
      <formula>ISERROR(S629)</formula>
    </cfRule>
    <cfRule type="cellIs" dxfId="43" priority="52" stopIfTrue="1" operator="equal">
      <formula>FALSE</formula>
    </cfRule>
    <cfRule type="expression" dxfId="42" priority="53" stopIfTrue="1">
      <formula>OR(S630=0,S631=0)</formula>
    </cfRule>
    <cfRule type="cellIs" dxfId="41" priority="54" stopIfTrue="1" operator="equal">
      <formula>TRUE</formula>
    </cfRule>
    <cfRule type="containsText" dxfId="40" priority="55" stopIfTrue="1" operator="containsText" text="N/A">
      <formula>NOT(ISERROR(SEARCH("N/A",S629)))</formula>
    </cfRule>
  </conditionalFormatting>
  <conditionalFormatting sqref="S632:W632">
    <cfRule type="containsErrors" dxfId="39" priority="46" stopIfTrue="1">
      <formula>ISERROR(S632)</formula>
    </cfRule>
    <cfRule type="cellIs" dxfId="38" priority="47" stopIfTrue="1" operator="equal">
      <formula>FALSE</formula>
    </cfRule>
    <cfRule type="expression" dxfId="37" priority="48" stopIfTrue="1">
      <formula>OR(S633=0,S634=0)</formula>
    </cfRule>
    <cfRule type="cellIs" dxfId="36" priority="49" stopIfTrue="1" operator="equal">
      <formula>TRUE</formula>
    </cfRule>
    <cfRule type="containsText" dxfId="35" priority="50" stopIfTrue="1" operator="containsText" text="N/A">
      <formula>NOT(ISERROR(SEARCH("N/A",S632)))</formula>
    </cfRule>
  </conditionalFormatting>
  <conditionalFormatting sqref="S635:W635">
    <cfRule type="containsErrors" dxfId="34" priority="41" stopIfTrue="1">
      <formula>ISERROR(S635)</formula>
    </cfRule>
    <cfRule type="cellIs" dxfId="33" priority="42" stopIfTrue="1" operator="equal">
      <formula>FALSE</formula>
    </cfRule>
    <cfRule type="expression" dxfId="32" priority="43" stopIfTrue="1">
      <formula>OR(S636=0,S637=0)</formula>
    </cfRule>
    <cfRule type="cellIs" dxfId="31" priority="44" stopIfTrue="1" operator="equal">
      <formula>TRUE</formula>
    </cfRule>
    <cfRule type="containsText" dxfId="30" priority="45" stopIfTrue="1" operator="containsText" text="N/A">
      <formula>NOT(ISERROR(SEARCH("N/A",S635)))</formula>
    </cfRule>
  </conditionalFormatting>
  <conditionalFormatting sqref="S638:W638">
    <cfRule type="containsErrors" dxfId="29" priority="36" stopIfTrue="1">
      <formula>ISERROR(S638)</formula>
    </cfRule>
    <cfRule type="cellIs" dxfId="28" priority="37" stopIfTrue="1" operator="equal">
      <formula>FALSE</formula>
    </cfRule>
    <cfRule type="expression" dxfId="27" priority="38" stopIfTrue="1">
      <formula>OR(S639=0,S640=0)</formula>
    </cfRule>
    <cfRule type="cellIs" dxfId="26" priority="39" stopIfTrue="1" operator="equal">
      <formula>TRUE</formula>
    </cfRule>
    <cfRule type="containsText" dxfId="25" priority="40" stopIfTrue="1" operator="containsText" text="N/A">
      <formula>NOT(ISERROR(SEARCH("N/A",S638)))</formula>
    </cfRule>
  </conditionalFormatting>
  <conditionalFormatting sqref="S641:W641">
    <cfRule type="containsErrors" dxfId="24" priority="31" stopIfTrue="1">
      <formula>ISERROR(S641)</formula>
    </cfRule>
    <cfRule type="cellIs" dxfId="23" priority="32" stopIfTrue="1" operator="equal">
      <formula>FALSE</formula>
    </cfRule>
    <cfRule type="expression" dxfId="22" priority="33" stopIfTrue="1">
      <formula>OR(S642=0,S643=0)</formula>
    </cfRule>
    <cfRule type="cellIs" dxfId="21" priority="34" stopIfTrue="1" operator="equal">
      <formula>TRUE</formula>
    </cfRule>
    <cfRule type="containsText" dxfId="20" priority="35" stopIfTrue="1" operator="containsText" text="N/A">
      <formula>NOT(ISERROR(SEARCH("N/A",S641)))</formula>
    </cfRule>
  </conditionalFormatting>
  <conditionalFormatting sqref="S644:W644">
    <cfRule type="containsErrors" dxfId="19" priority="26" stopIfTrue="1">
      <formula>ISERROR(S644)</formula>
    </cfRule>
    <cfRule type="cellIs" dxfId="18" priority="27" stopIfTrue="1" operator="equal">
      <formula>FALSE</formula>
    </cfRule>
    <cfRule type="expression" dxfId="17" priority="28" stopIfTrue="1">
      <formula>OR(S645=0,S646=0)</formula>
    </cfRule>
    <cfRule type="cellIs" dxfId="16" priority="29" stopIfTrue="1" operator="equal">
      <formula>TRUE</formula>
    </cfRule>
    <cfRule type="containsText" dxfId="15" priority="30" stopIfTrue="1" operator="containsText" text="N/A">
      <formula>NOT(ISERROR(SEARCH("N/A",S644)))</formula>
    </cfRule>
  </conditionalFormatting>
  <conditionalFormatting sqref="S647:W647">
    <cfRule type="containsErrors" dxfId="14" priority="21" stopIfTrue="1">
      <formula>ISERROR(S647)</formula>
    </cfRule>
    <cfRule type="cellIs" dxfId="13" priority="22" stopIfTrue="1" operator="equal">
      <formula>FALSE</formula>
    </cfRule>
    <cfRule type="expression" dxfId="12" priority="23" stopIfTrue="1">
      <formula>OR(S648=0,S649=0)</formula>
    </cfRule>
    <cfRule type="cellIs" dxfId="11" priority="24" stopIfTrue="1" operator="equal">
      <formula>TRUE</formula>
    </cfRule>
    <cfRule type="containsText" dxfId="10" priority="25" stopIfTrue="1" operator="containsText" text="N/A">
      <formula>NOT(ISERROR(SEARCH("N/A",S647)))</formula>
    </cfRule>
  </conditionalFormatting>
  <conditionalFormatting sqref="S650:W650">
    <cfRule type="containsErrors" dxfId="9" priority="16" stopIfTrue="1">
      <formula>ISERROR(S650)</formula>
    </cfRule>
    <cfRule type="cellIs" dxfId="8" priority="17" stopIfTrue="1" operator="equal">
      <formula>FALSE</formula>
    </cfRule>
    <cfRule type="expression" dxfId="7" priority="18" stopIfTrue="1">
      <formula>OR(S651=0,S652=0)</formula>
    </cfRule>
    <cfRule type="cellIs" dxfId="6" priority="19" stopIfTrue="1" operator="equal">
      <formula>TRUE</formula>
    </cfRule>
    <cfRule type="containsText" dxfId="5" priority="20" stopIfTrue="1" operator="containsText" text="N/A">
      <formula>NOT(ISERROR(SEARCH("N/A",S650)))</formula>
    </cfRule>
  </conditionalFormatting>
  <conditionalFormatting sqref="S653:W653">
    <cfRule type="containsErrors" dxfId="4" priority="6" stopIfTrue="1">
      <formula>ISERROR(S653)</formula>
    </cfRule>
    <cfRule type="cellIs" dxfId="3" priority="7" stopIfTrue="1" operator="equal">
      <formula>FALSE</formula>
    </cfRule>
    <cfRule type="expression" dxfId="2" priority="8" stopIfTrue="1">
      <formula>OR(S654=0,S655=0)</formula>
    </cfRule>
    <cfRule type="cellIs" dxfId="1" priority="9" stopIfTrue="1" operator="equal">
      <formula>TRUE</formula>
    </cfRule>
    <cfRule type="containsText" dxfId="0" priority="10" stopIfTrue="1" operator="containsText" text="N/A">
      <formula>NOT(ISERROR(SEARCH("N/A",S653)))</formula>
    </cfRule>
  </conditionalFormatting>
  <pageMargins left="0.70866141732283472" right="0.70866141732283472" top="0.43307086614173229" bottom="0.74803149606299213" header="0.31496062992125984" footer="0.31496062992125984"/>
  <pageSetup paperSize="8" scale="49" fitToHeight="10"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W251"/>
  <sheetViews>
    <sheetView workbookViewId="0">
      <selection activeCell="F17" sqref="F17"/>
    </sheetView>
  </sheetViews>
  <sheetFormatPr defaultColWidth="2.33203125" defaultRowHeight="14.4"/>
  <cols>
    <col min="1" max="1" width="12.5546875" style="454" customWidth="1"/>
    <col min="2" max="2" width="2.33203125" style="385" customWidth="1"/>
    <col min="3" max="3" width="52.5546875" style="385" customWidth="1"/>
    <col min="4" max="4" width="7.6640625" style="385" customWidth="1"/>
    <col min="5" max="5" width="6.33203125" style="385" bestFit="1" customWidth="1"/>
    <col min="6" max="6" width="6.33203125" style="218" bestFit="1" customWidth="1"/>
    <col min="7" max="9" width="6.33203125" style="385" bestFit="1" customWidth="1"/>
    <col min="10" max="12" width="6.5546875" style="385" bestFit="1" customWidth="1"/>
    <col min="13" max="13" width="6.6640625" style="385" bestFit="1" customWidth="1"/>
    <col min="14" max="14" width="3.44140625" style="385" customWidth="1"/>
    <col min="15" max="18" width="2.33203125" style="385"/>
    <col min="19" max="19" width="5.6640625" style="385" bestFit="1" customWidth="1"/>
    <col min="20" max="16384" width="2.33203125" style="385"/>
  </cols>
  <sheetData>
    <row r="1" spans="1:23" ht="12" customHeight="1">
      <c r="C1" s="1568" t="s">
        <v>456</v>
      </c>
      <c r="D1" s="1568"/>
      <c r="E1" s="1568"/>
      <c r="F1" s="1568"/>
      <c r="G1" s="1568"/>
      <c r="H1" s="1568"/>
      <c r="I1" s="1568"/>
      <c r="J1" s="1568"/>
      <c r="K1" s="1568"/>
      <c r="L1" s="1568"/>
      <c r="M1" s="1568"/>
      <c r="N1" s="386"/>
      <c r="O1" s="386"/>
      <c r="P1" s="386"/>
      <c r="Q1" s="386"/>
      <c r="R1" s="386"/>
      <c r="S1" s="386"/>
      <c r="T1" s="386"/>
      <c r="U1" s="386"/>
      <c r="V1" s="386"/>
      <c r="W1" s="386"/>
    </row>
    <row r="2" spans="1:23" ht="12" customHeight="1">
      <c r="C2" s="781"/>
      <c r="D2" s="387"/>
      <c r="E2" s="387"/>
      <c r="G2" s="387"/>
      <c r="H2" s="387"/>
      <c r="I2" s="387"/>
      <c r="J2" s="387"/>
      <c r="K2" s="387"/>
      <c r="L2" s="387"/>
      <c r="M2" s="387"/>
      <c r="N2" s="387"/>
    </row>
    <row r="3" spans="1:23" ht="12" customHeight="1">
      <c r="C3" s="674" t="str">
        <f>'T2'!A3</f>
        <v>United Kingdom</v>
      </c>
      <c r="D3" s="387"/>
      <c r="E3" s="387"/>
      <c r="G3" s="387"/>
      <c r="H3" s="387"/>
      <c r="I3" s="387"/>
      <c r="J3" s="387"/>
      <c r="K3" s="387"/>
      <c r="L3" s="387"/>
      <c r="M3" s="387"/>
      <c r="N3" s="387"/>
    </row>
    <row r="4" spans="1:23" ht="12" customHeight="1">
      <c r="C4" s="83" t="str">
        <f>'T2'!A4</f>
        <v>Currency : GBP £</v>
      </c>
      <c r="D4" s="387"/>
      <c r="E4" s="781"/>
      <c r="G4" s="387"/>
      <c r="H4" s="387"/>
      <c r="I4" s="387"/>
      <c r="J4" s="387"/>
      <c r="K4" s="387"/>
      <c r="L4" s="387"/>
      <c r="M4" s="387"/>
      <c r="N4" s="387"/>
    </row>
    <row r="5" spans="1:23" ht="12" customHeight="1">
      <c r="C5" s="146" t="str">
        <f>'T2'!A5</f>
        <v>All Entities</v>
      </c>
      <c r="D5" s="387"/>
      <c r="E5" s="389"/>
      <c r="G5" s="389"/>
      <c r="H5" s="387"/>
      <c r="I5" s="387"/>
      <c r="J5" s="387"/>
      <c r="K5" s="387"/>
      <c r="L5" s="387"/>
      <c r="M5" s="387"/>
      <c r="N5" s="387"/>
    </row>
    <row r="6" spans="1:23" ht="12" customHeight="1">
      <c r="C6" s="389"/>
      <c r="D6" s="389"/>
      <c r="E6" s="389"/>
      <c r="F6" s="389"/>
      <c r="G6" s="389"/>
      <c r="H6" s="389"/>
      <c r="I6" s="389"/>
      <c r="J6" s="389"/>
      <c r="K6" s="389"/>
      <c r="L6" s="389"/>
      <c r="M6" s="389"/>
      <c r="N6" s="389"/>
    </row>
    <row r="7" spans="1:23" ht="12" customHeight="1">
      <c r="A7" s="454" t="s">
        <v>457</v>
      </c>
      <c r="C7" s="390" t="s">
        <v>458</v>
      </c>
      <c r="D7" s="391" t="s">
        <v>459</v>
      </c>
      <c r="E7" s="392">
        <v>2020</v>
      </c>
      <c r="F7" s="393">
        <v>2021</v>
      </c>
      <c r="G7" s="393">
        <v>2022</v>
      </c>
      <c r="H7" s="393">
        <v>2023</v>
      </c>
      <c r="I7" s="1037">
        <v>2024</v>
      </c>
      <c r="J7" s="393">
        <v>2025</v>
      </c>
      <c r="K7" s="1037">
        <v>2026</v>
      </c>
      <c r="L7" s="393">
        <v>2027</v>
      </c>
      <c r="M7" s="1028" t="s">
        <v>460</v>
      </c>
      <c r="N7" s="387"/>
    </row>
    <row r="8" spans="1:23" ht="11.1" customHeight="1">
      <c r="B8" s="395"/>
      <c r="C8" s="396"/>
      <c r="D8" s="396"/>
      <c r="E8" s="396"/>
      <c r="F8" s="396"/>
      <c r="G8" s="396"/>
      <c r="H8" s="396"/>
      <c r="I8" s="396"/>
      <c r="M8" s="396"/>
      <c r="N8" s="387"/>
    </row>
    <row r="9" spans="1:23">
      <c r="A9" s="454">
        <v>2018</v>
      </c>
      <c r="B9" s="395"/>
      <c r="C9" s="397" t="s">
        <v>461</v>
      </c>
      <c r="D9" s="474">
        <f>'T3 ANSP'!D9+'T3 MET'!D9+'T3 NSA'!D9</f>
        <v>-15141.644230018122</v>
      </c>
      <c r="E9" s="437">
        <f>'T3 ANSP'!E9+'T3 MET'!E9+'T3 NSA'!E9</f>
        <v>-15141.944372610684</v>
      </c>
      <c r="F9" s="420">
        <f>'T3 ANSP'!F9+'T3 MET'!F9+'T3 NSA'!F9</f>
        <v>0</v>
      </c>
      <c r="G9" s="420">
        <f>'T3 ANSP'!G9+'T3 MET'!G9+'T3 NSA'!G9</f>
        <v>0</v>
      </c>
      <c r="H9" s="420">
        <f>'T3 ANSP'!H9+'T3 MET'!H9+'T3 NSA'!H9</f>
        <v>0</v>
      </c>
      <c r="I9" s="1315">
        <f>'T3 ANSP'!I9+'T3 MET'!I9+'T3 NSA'!I9</f>
        <v>0</v>
      </c>
      <c r="J9" s="1315">
        <f>'T3 ANSP'!J9+'T3 MET'!J9+'T3 NSA'!J9</f>
        <v>0</v>
      </c>
      <c r="K9" s="1315">
        <f>'T3 ANSP'!K9+'T3 MET'!K9+'T3 NSA'!K9</f>
        <v>0</v>
      </c>
      <c r="L9" s="1315">
        <f>'T3 ANSP'!L9+'T3 MET'!L9+'T3 NSA'!L9</f>
        <v>0</v>
      </c>
      <c r="M9" s="1315">
        <f>'T3 ANSP'!M9+'T3 MET'!M9+'T3 NSA'!M9</f>
        <v>0</v>
      </c>
      <c r="O9" s="404"/>
    </row>
    <row r="10" spans="1:23">
      <c r="A10" s="454">
        <v>2019</v>
      </c>
      <c r="B10" s="395"/>
      <c r="C10" s="405" t="s">
        <v>462</v>
      </c>
      <c r="D10" s="476">
        <f>'T3 ANSP'!D10+'T3 MET'!D10+'T3 NSA'!D10</f>
        <v>-16221.846440620513</v>
      </c>
      <c r="E10" s="440">
        <f>'T3 ANSP'!E10+'T3 MET'!E10+'T3 NSA'!E10</f>
        <v>0</v>
      </c>
      <c r="F10" s="422">
        <f>'T3 ANSP'!F10+'T3 MET'!F10+'T3 NSA'!F10</f>
        <v>-16221.846440620513</v>
      </c>
      <c r="G10" s="422">
        <f>'T3 ANSP'!G10+'T3 MET'!G10+'T3 NSA'!G10</f>
        <v>0</v>
      </c>
      <c r="H10" s="422">
        <f>'T3 ANSP'!H10+'T3 MET'!H10+'T3 NSA'!H10</f>
        <v>0</v>
      </c>
      <c r="I10" s="1041">
        <f>'T3 ANSP'!I10+'T3 MET'!I10+'T3 NSA'!I10</f>
        <v>0</v>
      </c>
      <c r="J10" s="1041">
        <f>'T3 ANSP'!J10+'T3 MET'!J10+'T3 NSA'!J10</f>
        <v>0</v>
      </c>
      <c r="K10" s="1041">
        <f>'T3 ANSP'!K10+'T3 MET'!K10+'T3 NSA'!K10</f>
        <v>0</v>
      </c>
      <c r="L10" s="1041">
        <f>'T3 ANSP'!L10+'T3 MET'!L10+'T3 NSA'!L10</f>
        <v>0</v>
      </c>
      <c r="M10" s="1041">
        <f>'T3 ANSP'!M10+'T3 MET'!M10+'T3 NSA'!M10</f>
        <v>0</v>
      </c>
      <c r="O10" s="404"/>
    </row>
    <row r="11" spans="1:23">
      <c r="A11" s="454" t="s">
        <v>463</v>
      </c>
      <c r="B11" s="395"/>
      <c r="C11" s="412" t="s">
        <v>464</v>
      </c>
      <c r="D11" s="413">
        <f>'T3 ANSP'!D11+'T3 MET'!D11+'T3 NSA'!D11</f>
        <v>-31363.490670638635</v>
      </c>
      <c r="E11" s="414">
        <f>'T3 ANSP'!E11+'T3 MET'!E11+'T3 NSA'!E11</f>
        <v>-15141.944372610684</v>
      </c>
      <c r="F11" s="415">
        <f>'T3 ANSP'!F11+'T3 MET'!F11+'T3 NSA'!F11</f>
        <v>-16221.846440620513</v>
      </c>
      <c r="G11" s="415">
        <f>'T3 ANSP'!G11+'T3 MET'!G11+'T3 NSA'!G11</f>
        <v>0</v>
      </c>
      <c r="H11" s="415">
        <f>'T3 ANSP'!H11+'T3 MET'!H11+'T3 NSA'!H11</f>
        <v>0</v>
      </c>
      <c r="I11" s="450">
        <f>'T3 ANSP'!I11+'T3 MET'!I11+'T3 NSA'!I11</f>
        <v>0</v>
      </c>
      <c r="J11" s="450">
        <f>'T3 ANSP'!J11+'T3 MET'!J11+'T3 NSA'!J11</f>
        <v>0</v>
      </c>
      <c r="K11" s="450">
        <f>'T3 ANSP'!K11+'T3 MET'!K11+'T3 NSA'!K11</f>
        <v>0</v>
      </c>
      <c r="L11" s="450">
        <f>'T3 ANSP'!L11+'T3 MET'!L11+'T3 NSA'!L11</f>
        <v>0</v>
      </c>
      <c r="M11" s="450">
        <f>'T3 ANSP'!M11+'T3 MET'!M11+'T3 NSA'!M11</f>
        <v>0</v>
      </c>
      <c r="O11" s="404"/>
    </row>
    <row r="12" spans="1:23">
      <c r="A12" s="454">
        <v>2020</v>
      </c>
      <c r="B12" s="395"/>
      <c r="C12" s="397" t="s">
        <v>465</v>
      </c>
      <c r="D12" s="398">
        <f>'T3 ANSP'!D12+'T3 MET'!D12+'T3 NSA'!D12</f>
        <v>-7849.019637515109</v>
      </c>
      <c r="E12" s="437">
        <f>'T3 ANSP'!E12+'T3 MET'!E12+'T3 NSA'!E12</f>
        <v>0</v>
      </c>
      <c r="F12" s="420">
        <f>'T3 ANSP'!F12+'T3 MET'!F12+'T3 NSA'!F12</f>
        <v>0</v>
      </c>
      <c r="G12" s="420">
        <f>'T3 ANSP'!G12+'T3 MET'!G12+'T3 NSA'!G12</f>
        <v>-7849.019637515109</v>
      </c>
      <c r="H12" s="420">
        <f>'T3 ANSP'!H12+'T3 MET'!H12+'T3 NSA'!H12</f>
        <v>0</v>
      </c>
      <c r="I12" s="422">
        <f>'T3 ANSP'!I12+'T3 MET'!I12+'T3 NSA'!I12</f>
        <v>0</v>
      </c>
      <c r="J12" s="422">
        <f>'T3 ANSP'!J12+'T3 MET'!J12+'T3 NSA'!J12</f>
        <v>0</v>
      </c>
      <c r="K12" s="422">
        <f>'T3 ANSP'!K12+'T3 MET'!K12+'T3 NSA'!K12</f>
        <v>0</v>
      </c>
      <c r="L12" s="422">
        <f>'T3 ANSP'!L12+'T3 MET'!L12+'T3 NSA'!L12</f>
        <v>0</v>
      </c>
      <c r="M12" s="436">
        <f>'T3 ANSP'!M12+'T3 MET'!M12+'T3 NSA'!M12</f>
        <v>0</v>
      </c>
      <c r="O12" s="404"/>
    </row>
    <row r="13" spans="1:23">
      <c r="A13" s="454">
        <v>2021</v>
      </c>
      <c r="B13" s="395"/>
      <c r="C13" s="405" t="s">
        <v>466</v>
      </c>
      <c r="D13" s="406">
        <f>'T3 ANSP'!D13+'T3 MET'!D13+'T3 NSA'!D13</f>
        <v>-4122.9370689185844</v>
      </c>
      <c r="E13" s="440">
        <f>'T3 ANSP'!E13+'T3 MET'!E13+'T3 NSA'!E13</f>
        <v>0</v>
      </c>
      <c r="F13" s="422">
        <f>'T3 ANSP'!F13+'T3 MET'!F13+'T3 NSA'!F13</f>
        <v>0</v>
      </c>
      <c r="G13" s="422">
        <f>'T3 ANSP'!G13+'T3 MET'!G13+'T3 NSA'!G13</f>
        <v>0</v>
      </c>
      <c r="H13" s="422">
        <f>'T3 ANSP'!H13+'T3 MET'!H13+'T3 NSA'!H13</f>
        <v>-4122.9370689185844</v>
      </c>
      <c r="I13" s="422">
        <f>'T3 ANSP'!I13+'T3 MET'!I13+'T3 NSA'!I13</f>
        <v>0</v>
      </c>
      <c r="J13" s="422">
        <f>'T3 ANSP'!J13+'T3 MET'!J13+'T3 NSA'!J13</f>
        <v>0</v>
      </c>
      <c r="K13" s="422">
        <f>'T3 ANSP'!K13+'T3 MET'!K13+'T3 NSA'!K13</f>
        <v>0</v>
      </c>
      <c r="L13" s="422">
        <f>'T3 ANSP'!L13+'T3 MET'!L13+'T3 NSA'!L13</f>
        <v>0</v>
      </c>
      <c r="M13" s="439">
        <f>'T3 ANSP'!M13+'T3 MET'!M13+'T3 NSA'!M13</f>
        <v>0</v>
      </c>
      <c r="O13" s="404"/>
    </row>
    <row r="14" spans="1:23">
      <c r="A14" s="454">
        <v>2022</v>
      </c>
      <c r="B14" s="395"/>
      <c r="C14" s="405" t="s">
        <v>467</v>
      </c>
      <c r="D14" s="406">
        <f>'T3 ANSP'!D14+'T3 MET'!D14+'T3 NSA'!D14</f>
        <v>46237.285473169548</v>
      </c>
      <c r="E14" s="440">
        <f>'T3 ANSP'!E14+'T3 MET'!E14+'T3 NSA'!E14</f>
        <v>0</v>
      </c>
      <c r="F14" s="422">
        <f>'T3 ANSP'!F14+'T3 MET'!F14+'T3 NSA'!F14</f>
        <v>0</v>
      </c>
      <c r="G14" s="422">
        <f>'T3 ANSP'!G14+'T3 MET'!G14+'T3 NSA'!G14</f>
        <v>0</v>
      </c>
      <c r="H14" s="422">
        <f>'T3 ANSP'!H14+'T3 MET'!H14+'T3 NSA'!H14</f>
        <v>0</v>
      </c>
      <c r="I14" s="1041">
        <f>'T3 ANSP'!I14+'T3 MET'!I14+'T3 NSA'!I14</f>
        <v>46237.285473169548</v>
      </c>
      <c r="J14" s="422">
        <f>'T3 ANSP'!J14+'T3 MET'!J14+'T3 NSA'!J14</f>
        <v>0</v>
      </c>
      <c r="K14" s="422">
        <f>'T3 ANSP'!K14+'T3 MET'!K14+'T3 NSA'!K14</f>
        <v>0</v>
      </c>
      <c r="L14" s="422">
        <f>'T3 ANSP'!L14+'T3 MET'!L14+'T3 NSA'!L14</f>
        <v>0</v>
      </c>
      <c r="M14" s="439">
        <f>'T3 ANSP'!M14+'T3 MET'!M14+'T3 NSA'!M14</f>
        <v>0</v>
      </c>
      <c r="O14" s="404"/>
    </row>
    <row r="15" spans="1:23">
      <c r="A15" s="454" t="s">
        <v>468</v>
      </c>
      <c r="B15" s="395"/>
      <c r="C15" s="412" t="s">
        <v>469</v>
      </c>
      <c r="D15" s="413">
        <f>'T3 ANSP'!D15+'T3 MET'!D15+'T3 NSA'!D15</f>
        <v>34265.328766735853</v>
      </c>
      <c r="E15" s="414">
        <f>'T3 ANSP'!E15+'T3 MET'!E15+'T3 NSA'!E15</f>
        <v>0</v>
      </c>
      <c r="F15" s="415">
        <f>'T3 ANSP'!F15+'T3 MET'!F15+'T3 NSA'!F15</f>
        <v>0</v>
      </c>
      <c r="G15" s="415">
        <f>'T3 ANSP'!G15+'T3 MET'!G15+'T3 NSA'!G15</f>
        <v>-7849.019637515109</v>
      </c>
      <c r="H15" s="415">
        <f>'T3 ANSP'!H15+'T3 MET'!H15+'T3 NSA'!H15</f>
        <v>-4122.9370689185844</v>
      </c>
      <c r="I15" s="415">
        <f>'T3 ANSP'!I15+'T3 MET'!I15+'T3 NSA'!I15</f>
        <v>46237.285473169548</v>
      </c>
      <c r="J15" s="415">
        <f>'T3 ANSP'!J15+'T3 MET'!J15+'T3 NSA'!J15</f>
        <v>0</v>
      </c>
      <c r="K15" s="415">
        <f>'T3 ANSP'!K15+'T3 MET'!K15+'T3 NSA'!K15</f>
        <v>0</v>
      </c>
      <c r="L15" s="415">
        <f>'T3 ANSP'!L15+'T3 MET'!L15+'T3 NSA'!L15</f>
        <v>0</v>
      </c>
      <c r="M15" s="1031">
        <f>'T3 ANSP'!M15+'T3 MET'!M15+'T3 NSA'!M15</f>
        <v>0</v>
      </c>
      <c r="O15" s="404"/>
    </row>
    <row r="16" spans="1:23">
      <c r="A16" s="454">
        <v>2023</v>
      </c>
      <c r="B16" s="395"/>
      <c r="C16" s="405" t="s">
        <v>470</v>
      </c>
      <c r="D16" s="406">
        <f>'T3 ANSP'!D16+'T3 MET'!D16+'T3 NSA'!D16</f>
        <v>0</v>
      </c>
      <c r="E16" s="440">
        <f>'T3 ANSP'!E16+'T3 MET'!E16+'T3 NSA'!E16</f>
        <v>0</v>
      </c>
      <c r="F16" s="422">
        <f>'T3 ANSP'!F16+'T3 MET'!F16+'T3 NSA'!F16</f>
        <v>0</v>
      </c>
      <c r="G16" s="422">
        <f>'T3 ANSP'!G16+'T3 MET'!G16+'T3 NSA'!G16</f>
        <v>0</v>
      </c>
      <c r="H16" s="422">
        <f>'T3 ANSP'!H16+'T3 MET'!H16+'T3 NSA'!H16</f>
        <v>0</v>
      </c>
      <c r="I16" s="422">
        <f>'T3 ANSP'!I16+'T3 MET'!I16+'T3 NSA'!I16</f>
        <v>0</v>
      </c>
      <c r="J16" s="1041">
        <f>'T3 ANSP'!J16+'T3 MET'!J16+'T3 NSA'!J16</f>
        <v>0</v>
      </c>
      <c r="K16" s="422">
        <f>'T3 ANSP'!K16+'T3 MET'!K16+'T3 NSA'!K16</f>
        <v>0</v>
      </c>
      <c r="L16" s="422">
        <f>'T3 ANSP'!L16+'T3 MET'!L16+'T3 NSA'!L16</f>
        <v>0</v>
      </c>
      <c r="M16" s="439">
        <f>'T3 ANSP'!M16+'T3 MET'!M16+'T3 NSA'!M16</f>
        <v>0</v>
      </c>
      <c r="O16" s="404"/>
    </row>
    <row r="17" spans="1:15">
      <c r="A17" s="454">
        <v>2024</v>
      </c>
      <c r="B17" s="395"/>
      <c r="C17" s="405" t="s">
        <v>471</v>
      </c>
      <c r="D17" s="406">
        <f>'T3 ANSP'!D17+'T3 MET'!D17+'T3 NSA'!D17</f>
        <v>0</v>
      </c>
      <c r="E17" s="440">
        <f>'T3 ANSP'!E17+'T3 MET'!E17+'T3 NSA'!E17</f>
        <v>0</v>
      </c>
      <c r="F17" s="422">
        <f>'T3 ANSP'!F17+'T3 MET'!F17+'T3 NSA'!F17</f>
        <v>0</v>
      </c>
      <c r="G17" s="422">
        <f>'T3 ANSP'!G17+'T3 MET'!G17+'T3 NSA'!G17</f>
        <v>0</v>
      </c>
      <c r="H17" s="422">
        <f>'T3 ANSP'!H17+'T3 MET'!H17+'T3 NSA'!H17</f>
        <v>0</v>
      </c>
      <c r="I17" s="422">
        <f>'T3 ANSP'!I17+'T3 MET'!I17+'T3 NSA'!I17</f>
        <v>0</v>
      </c>
      <c r="J17" s="422">
        <f>'T3 ANSP'!J17+'T3 MET'!J17+'T3 NSA'!J17</f>
        <v>0</v>
      </c>
      <c r="K17" s="1041">
        <f>'T3 ANSP'!K17+'T3 MET'!K17+'T3 NSA'!K17</f>
        <v>0</v>
      </c>
      <c r="L17" s="422">
        <f>'T3 ANSP'!L17+'T3 MET'!L17+'T3 NSA'!L17</f>
        <v>0</v>
      </c>
      <c r="M17" s="439">
        <f>'T3 ANSP'!M17+'T3 MET'!M17+'T3 NSA'!M17</f>
        <v>0</v>
      </c>
      <c r="O17" s="404"/>
    </row>
    <row r="18" spans="1:15">
      <c r="A18" s="454">
        <v>2025</v>
      </c>
      <c r="B18" s="395"/>
      <c r="C18" s="405" t="s">
        <v>472</v>
      </c>
      <c r="D18" s="406">
        <f>'T3 ANSP'!D18+'T3 MET'!D18+'T3 NSA'!D18</f>
        <v>0</v>
      </c>
      <c r="E18" s="440">
        <f>'T3 ANSP'!E18+'T3 MET'!E18+'T3 NSA'!E18</f>
        <v>0</v>
      </c>
      <c r="F18" s="422">
        <f>'T3 ANSP'!F18+'T3 MET'!F18+'T3 NSA'!F18</f>
        <v>0</v>
      </c>
      <c r="G18" s="422">
        <f>'T3 ANSP'!G18+'T3 MET'!G18+'T3 NSA'!G18</f>
        <v>0</v>
      </c>
      <c r="H18" s="422">
        <f>'T3 ANSP'!H18+'T3 MET'!H18+'T3 NSA'!H18</f>
        <v>0</v>
      </c>
      <c r="I18" s="422">
        <f>'T3 ANSP'!I18+'T3 MET'!I18+'T3 NSA'!I18</f>
        <v>0</v>
      </c>
      <c r="J18" s="422">
        <f>'T3 ANSP'!J18+'T3 MET'!J18+'T3 NSA'!J18</f>
        <v>0</v>
      </c>
      <c r="K18" s="422">
        <f>'T3 ANSP'!K18+'T3 MET'!K18+'T3 NSA'!K18</f>
        <v>0</v>
      </c>
      <c r="L18" s="1041">
        <f>'T3 ANSP'!L18+'T3 MET'!L18+'T3 NSA'!L18</f>
        <v>0</v>
      </c>
      <c r="M18" s="439">
        <f>'T3 ANSP'!M18+'T3 MET'!M18+'T3 NSA'!M18</f>
        <v>0</v>
      </c>
      <c r="O18" s="404"/>
    </row>
    <row r="19" spans="1:15">
      <c r="A19" s="454">
        <v>2026</v>
      </c>
      <c r="B19" s="395"/>
      <c r="C19" s="405" t="s">
        <v>473</v>
      </c>
      <c r="D19" s="406">
        <f>'T3 ANSP'!D19+'T3 MET'!D19+'T3 NSA'!D19</f>
        <v>0</v>
      </c>
      <c r="E19" s="440">
        <f>'T3 ANSP'!E19+'T3 MET'!E19+'T3 NSA'!E19</f>
        <v>0</v>
      </c>
      <c r="F19" s="422">
        <f>'T3 ANSP'!F19+'T3 MET'!F19+'T3 NSA'!F19</f>
        <v>0</v>
      </c>
      <c r="G19" s="422">
        <f>'T3 ANSP'!G19+'T3 MET'!G19+'T3 NSA'!G19</f>
        <v>0</v>
      </c>
      <c r="H19" s="422">
        <f>'T3 ANSP'!H19+'T3 MET'!H19+'T3 NSA'!H19</f>
        <v>0</v>
      </c>
      <c r="I19" s="422">
        <f>'T3 ANSP'!I19+'T3 MET'!I19+'T3 NSA'!I19</f>
        <v>0</v>
      </c>
      <c r="J19" s="422">
        <f>'T3 ANSP'!J19+'T3 MET'!J19+'T3 NSA'!J19</f>
        <v>0</v>
      </c>
      <c r="K19" s="422">
        <f>'T3 ANSP'!K19+'T3 MET'!K19+'T3 NSA'!K19</f>
        <v>0</v>
      </c>
      <c r="L19" s="422">
        <f>'T3 ANSP'!L19+'T3 MET'!L19+'T3 NSA'!L19</f>
        <v>0</v>
      </c>
      <c r="M19" s="439">
        <f>'T3 ANSP'!M19+'T3 MET'!M19+'T3 NSA'!M19</f>
        <v>0</v>
      </c>
      <c r="O19" s="404"/>
    </row>
    <row r="20" spans="1:15">
      <c r="A20" s="454">
        <v>2027</v>
      </c>
      <c r="B20" s="395"/>
      <c r="C20" s="425" t="s">
        <v>474</v>
      </c>
      <c r="D20" s="426">
        <f>'T3 ANSP'!D20+'T3 MET'!D20+'T3 NSA'!D20</f>
        <v>0</v>
      </c>
      <c r="E20" s="1318">
        <f>'T3 ANSP'!E20+'T3 MET'!E20+'T3 NSA'!E20</f>
        <v>0</v>
      </c>
      <c r="F20" s="462">
        <f>'T3 ANSP'!F20+'T3 MET'!F20+'T3 NSA'!F20</f>
        <v>0</v>
      </c>
      <c r="G20" s="462">
        <f>'T3 ANSP'!G20+'T3 MET'!G20+'T3 NSA'!G20</f>
        <v>0</v>
      </c>
      <c r="H20" s="462">
        <f>'T3 ANSP'!H20+'T3 MET'!H20+'T3 NSA'!H20</f>
        <v>0</v>
      </c>
      <c r="I20" s="422">
        <f>'T3 ANSP'!I20+'T3 MET'!I20+'T3 NSA'!I20</f>
        <v>0</v>
      </c>
      <c r="J20" s="422">
        <f>'T3 ANSP'!J20+'T3 MET'!J20+'T3 NSA'!J20</f>
        <v>0</v>
      </c>
      <c r="K20" s="422">
        <f>'T3 ANSP'!K20+'T3 MET'!K20+'T3 NSA'!K20</f>
        <v>0</v>
      </c>
      <c r="L20" s="422">
        <f>'T3 ANSP'!L20+'T3 MET'!L20+'T3 NSA'!L20</f>
        <v>0</v>
      </c>
      <c r="M20" s="1056">
        <f>'T3 ANSP'!M20+'T3 MET'!M20+'T3 NSA'!M20</f>
        <v>0</v>
      </c>
      <c r="O20" s="404"/>
    </row>
    <row r="21" spans="1:15">
      <c r="A21" s="454" t="s">
        <v>475</v>
      </c>
      <c r="B21" s="395"/>
      <c r="C21" s="430" t="s">
        <v>912</v>
      </c>
      <c r="D21" s="431">
        <f>'T3 ANSP'!D21+'T3 MET'!D21+'T3 NSA'!D21</f>
        <v>2901.8380960972154</v>
      </c>
      <c r="E21" s="479">
        <f>'T3 ANSP'!E21+'T3 MET'!E21+'T3 NSA'!E21</f>
        <v>-15141.944372610684</v>
      </c>
      <c r="F21" s="433">
        <f>'T3 ANSP'!F21+'T3 MET'!F21+'T3 NSA'!F21</f>
        <v>-16221.846440620513</v>
      </c>
      <c r="G21" s="433">
        <f>'T3 ANSP'!G21+'T3 MET'!G21+'T3 NSA'!G21</f>
        <v>-7849.019637515109</v>
      </c>
      <c r="H21" s="433">
        <f>'T3 ANSP'!H21+'T3 MET'!H21+'T3 NSA'!H21</f>
        <v>-4122.9370689185844</v>
      </c>
      <c r="I21" s="480">
        <f>'T3 ANSP'!I21+'T3 MET'!I21+'T3 NSA'!I21</f>
        <v>46237.285473169548</v>
      </c>
      <c r="J21" s="480">
        <f>'T3 ANSP'!J21+'T3 MET'!J21+'T3 NSA'!J21</f>
        <v>0</v>
      </c>
      <c r="K21" s="480">
        <f>'T3 ANSP'!K21+'T3 MET'!K21+'T3 NSA'!K21</f>
        <v>0</v>
      </c>
      <c r="L21" s="480">
        <f>'T3 ANSP'!L21+'T3 MET'!L21+'T3 NSA'!L21</f>
        <v>0</v>
      </c>
      <c r="M21" s="1055">
        <f>'T3 ANSP'!M21+'T3 MET'!M21+'T3 NSA'!M21</f>
        <v>0</v>
      </c>
      <c r="O21" s="404"/>
    </row>
    <row r="22" spans="1:15">
      <c r="A22" s="748"/>
      <c r="B22" s="395"/>
      <c r="C22" s="481"/>
      <c r="D22" s="1323"/>
      <c r="E22" s="483"/>
      <c r="F22" s="483"/>
      <c r="G22" s="483"/>
      <c r="H22" s="483"/>
      <c r="I22" s="483"/>
      <c r="J22" s="446"/>
      <c r="K22" s="446"/>
      <c r="L22" s="446"/>
      <c r="M22" s="483"/>
      <c r="O22" s="404"/>
    </row>
    <row r="23" spans="1:15">
      <c r="A23" s="454">
        <v>2017</v>
      </c>
      <c r="B23" s="395"/>
      <c r="C23" s="397" t="s">
        <v>477</v>
      </c>
      <c r="D23" s="484">
        <f>'T3 ANSP'!D23+'T3 MET'!D23+'T3 NSA'!D23</f>
        <v>0</v>
      </c>
      <c r="E23" s="485">
        <f>'T3 ANSP'!E23+'T3 MET'!E23+'T3 NSA'!E23</f>
        <v>0</v>
      </c>
      <c r="F23" s="486">
        <f>'T3 ANSP'!F23+'T3 MET'!F23+'T3 NSA'!F23</f>
        <v>0</v>
      </c>
      <c r="G23" s="486">
        <f>'T3 ANSP'!G23+'T3 MET'!G23+'T3 NSA'!G23</f>
        <v>0</v>
      </c>
      <c r="H23" s="486">
        <f>'T3 ANSP'!H23+'T3 MET'!H23+'T3 NSA'!H23</f>
        <v>0</v>
      </c>
      <c r="I23" s="1044">
        <f>'T3 ANSP'!I23+'T3 MET'!I23+'T3 NSA'!I23</f>
        <v>0</v>
      </c>
      <c r="J23" s="1044">
        <f>'T3 ANSP'!J23+'T3 MET'!J23+'T3 NSA'!J23</f>
        <v>0</v>
      </c>
      <c r="K23" s="1044">
        <f>'T3 ANSP'!K23+'T3 MET'!K23+'T3 NSA'!K23</f>
        <v>0</v>
      </c>
      <c r="L23" s="1044">
        <f>'T3 ANSP'!L23+'T3 MET'!L23+'T3 NSA'!L23</f>
        <v>0</v>
      </c>
      <c r="M23" s="436">
        <f>'T3 ANSP'!M23+'T3 MET'!M23+'T3 NSA'!M23</f>
        <v>0</v>
      </c>
      <c r="O23" s="404"/>
    </row>
    <row r="24" spans="1:15">
      <c r="A24" s="454">
        <v>2018</v>
      </c>
      <c r="B24" s="395"/>
      <c r="C24" s="405" t="s">
        <v>478</v>
      </c>
      <c r="D24" s="488">
        <f>'T3 ANSP'!D24+'T3 MET'!D24+'T3 NSA'!D24</f>
        <v>-52765.667477023497</v>
      </c>
      <c r="E24" s="489">
        <f>'T3 ANSP'!E24+'T3 MET'!E24+'T3 NSA'!E24</f>
        <v>-52765.667477023497</v>
      </c>
      <c r="F24" s="490">
        <f>'T3 ANSP'!F24+'T3 MET'!F24+'T3 NSA'!F24</f>
        <v>0</v>
      </c>
      <c r="G24" s="490">
        <f>'T3 ANSP'!G24+'T3 MET'!G24+'T3 NSA'!G24</f>
        <v>0</v>
      </c>
      <c r="H24" s="490">
        <f>'T3 ANSP'!H24+'T3 MET'!H24+'T3 NSA'!H24</f>
        <v>0</v>
      </c>
      <c r="I24" s="1045">
        <f>'T3 ANSP'!I24+'T3 MET'!I24+'T3 NSA'!I24</f>
        <v>0</v>
      </c>
      <c r="J24" s="1045">
        <f>'T3 ANSP'!J24+'T3 MET'!J24+'T3 NSA'!J24</f>
        <v>0</v>
      </c>
      <c r="K24" s="1045">
        <f>'T3 ANSP'!K24+'T3 MET'!K24+'T3 NSA'!K24</f>
        <v>0</v>
      </c>
      <c r="L24" s="1045">
        <f>'T3 ANSP'!L24+'T3 MET'!L24+'T3 NSA'!L24</f>
        <v>0</v>
      </c>
      <c r="M24" s="439">
        <f>'T3 ANSP'!M24+'T3 MET'!M24+'T3 NSA'!M24</f>
        <v>0</v>
      </c>
      <c r="O24" s="404"/>
    </row>
    <row r="25" spans="1:15">
      <c r="A25" s="454">
        <v>2019</v>
      </c>
      <c r="B25" s="395"/>
      <c r="C25" s="405" t="s">
        <v>479</v>
      </c>
      <c r="D25" s="488">
        <f>'T3 ANSP'!D25+'T3 MET'!D25+'T3 NSA'!D25</f>
        <v>-62057.379326415998</v>
      </c>
      <c r="E25" s="440">
        <f>'T3 ANSP'!E25+'T3 MET'!E25+'T3 NSA'!E25</f>
        <v>0</v>
      </c>
      <c r="F25" s="490">
        <f>'T3 ANSP'!F25+'T3 MET'!F25+'T3 NSA'!F25</f>
        <v>-62057.379326415998</v>
      </c>
      <c r="G25" s="490">
        <f>'T3 ANSP'!G25+'T3 MET'!G25+'T3 NSA'!G25</f>
        <v>0</v>
      </c>
      <c r="H25" s="490">
        <f>'T3 ANSP'!H25+'T3 MET'!H25+'T3 NSA'!H25</f>
        <v>0</v>
      </c>
      <c r="I25" s="1045">
        <f>'T3 ANSP'!I25+'T3 MET'!I25+'T3 NSA'!I25</f>
        <v>0</v>
      </c>
      <c r="J25" s="1045">
        <f>'T3 ANSP'!J25+'T3 MET'!J25+'T3 NSA'!J25</f>
        <v>0</v>
      </c>
      <c r="K25" s="1045">
        <f>'T3 ANSP'!K25+'T3 MET'!K25+'T3 NSA'!K25</f>
        <v>0</v>
      </c>
      <c r="L25" s="1045">
        <f>'T3 ANSP'!L25+'T3 MET'!L25+'T3 NSA'!L25</f>
        <v>0</v>
      </c>
      <c r="M25" s="439">
        <f>'T3 ANSP'!M25+'T3 MET'!M25+'T3 NSA'!M25</f>
        <v>0</v>
      </c>
      <c r="O25" s="404"/>
    </row>
    <row r="26" spans="1:15">
      <c r="A26" s="454" t="s">
        <v>463</v>
      </c>
      <c r="B26" s="395"/>
      <c r="C26" s="412" t="s">
        <v>480</v>
      </c>
      <c r="D26" s="413">
        <f>'T3 ANSP'!D26+'T3 MET'!D26+'T3 NSA'!D26</f>
        <v>-114823.0468034395</v>
      </c>
      <c r="E26" s="414">
        <f>'T3 ANSP'!E26+'T3 MET'!E26+'T3 NSA'!E26</f>
        <v>-52765.667477023497</v>
      </c>
      <c r="F26" s="415">
        <f>'T3 ANSP'!F26+'T3 MET'!F26+'T3 NSA'!F26</f>
        <v>-62057.379326415998</v>
      </c>
      <c r="G26" s="415">
        <f>'T3 ANSP'!G26+'T3 MET'!G26+'T3 NSA'!G26</f>
        <v>0</v>
      </c>
      <c r="H26" s="415">
        <f>'T3 ANSP'!H26+'T3 MET'!H26+'T3 NSA'!H26</f>
        <v>0</v>
      </c>
      <c r="I26" s="450">
        <f>'T3 ANSP'!I26+'T3 MET'!I26+'T3 NSA'!I26</f>
        <v>0</v>
      </c>
      <c r="J26" s="450">
        <f>'T3 ANSP'!J26+'T3 MET'!J26+'T3 NSA'!J26</f>
        <v>0</v>
      </c>
      <c r="K26" s="450">
        <f>'T3 ANSP'!K26+'T3 MET'!K26+'T3 NSA'!K26</f>
        <v>0</v>
      </c>
      <c r="L26" s="450">
        <f>'T3 ANSP'!L26+'T3 MET'!L26+'T3 NSA'!L26</f>
        <v>0</v>
      </c>
      <c r="M26" s="1031">
        <f>'T3 ANSP'!M26+'T3 MET'!M26+'T3 NSA'!M26</f>
        <v>0</v>
      </c>
      <c r="O26" s="404"/>
    </row>
    <row r="27" spans="1:15">
      <c r="A27" s="454">
        <v>2020</v>
      </c>
      <c r="B27" s="395"/>
      <c r="C27" s="397" t="s">
        <v>481</v>
      </c>
      <c r="D27" s="406">
        <f>'T3 ANSP'!D27+'T3 MET'!D27+'T3 NSA'!D27</f>
        <v>0</v>
      </c>
      <c r="E27" s="437">
        <f>'T3 ANSP'!E27+'T3 MET'!E27+'T3 NSA'!E27</f>
        <v>0</v>
      </c>
      <c r="F27" s="420">
        <f>'T3 ANSP'!F27+'T3 MET'!F27+'T3 NSA'!F27</f>
        <v>0</v>
      </c>
      <c r="G27" s="420">
        <f>'T3 ANSP'!G27+'T3 MET'!G27+'T3 NSA'!G27</f>
        <v>0</v>
      </c>
      <c r="H27" s="420">
        <f>'T3 ANSP'!H27+'T3 MET'!H27+'T3 NSA'!H27</f>
        <v>0</v>
      </c>
      <c r="I27" s="420">
        <f>'T3 ANSP'!I27+'T3 MET'!I27+'T3 NSA'!I27</f>
        <v>0</v>
      </c>
      <c r="J27" s="420">
        <f>'T3 ANSP'!J27+'T3 MET'!J27+'T3 NSA'!J27</f>
        <v>0</v>
      </c>
      <c r="K27" s="420">
        <f>'T3 ANSP'!K27+'T3 MET'!K27+'T3 NSA'!K27</f>
        <v>0</v>
      </c>
      <c r="L27" s="420">
        <f>'T3 ANSP'!L27+'T3 MET'!L27+'T3 NSA'!L27</f>
        <v>0</v>
      </c>
      <c r="M27" s="436">
        <f>'T3 ANSP'!M27+'T3 MET'!M27+'T3 NSA'!M27</f>
        <v>0</v>
      </c>
      <c r="O27" s="404"/>
    </row>
    <row r="28" spans="1:15">
      <c r="A28" s="454">
        <v>2021</v>
      </c>
      <c r="B28" s="395"/>
      <c r="C28" s="405" t="s">
        <v>482</v>
      </c>
      <c r="D28" s="406">
        <f>'T3 ANSP'!D28+'T3 MET'!D28+'T3 NSA'!D28</f>
        <v>0</v>
      </c>
      <c r="E28" s="440">
        <f>'T3 ANSP'!E28+'T3 MET'!E28+'T3 NSA'!E28</f>
        <v>0</v>
      </c>
      <c r="F28" s="422">
        <f>'T3 ANSP'!F28+'T3 MET'!F28+'T3 NSA'!F28</f>
        <v>0</v>
      </c>
      <c r="G28" s="422">
        <f>'T3 ANSP'!G28+'T3 MET'!G28+'T3 NSA'!G28</f>
        <v>0</v>
      </c>
      <c r="H28" s="422">
        <f>'T3 ANSP'!H28+'T3 MET'!H28+'T3 NSA'!H28</f>
        <v>0</v>
      </c>
      <c r="I28" s="1045">
        <f>'T3 ANSP'!I28+'T3 MET'!I28+'T3 NSA'!I28</f>
        <v>0</v>
      </c>
      <c r="J28" s="422">
        <f>'T3 ANSP'!J28+'T3 MET'!J28+'T3 NSA'!J28</f>
        <v>0</v>
      </c>
      <c r="K28" s="422">
        <f>'T3 ANSP'!K28+'T3 MET'!K28+'T3 NSA'!K28</f>
        <v>0</v>
      </c>
      <c r="L28" s="422">
        <f>'T3 ANSP'!L28+'T3 MET'!L28+'T3 NSA'!L28</f>
        <v>0</v>
      </c>
      <c r="M28" s="439">
        <f>'T3 ANSP'!M28+'T3 MET'!M28+'T3 NSA'!M28</f>
        <v>0</v>
      </c>
      <c r="O28" s="404"/>
    </row>
    <row r="29" spans="1:15">
      <c r="A29" s="454">
        <v>2022</v>
      </c>
      <c r="B29" s="395"/>
      <c r="C29" s="405" t="s">
        <v>483</v>
      </c>
      <c r="D29" s="406">
        <f>'T3 ANSP'!D29+'T3 MET'!D29+'T3 NSA'!D29</f>
        <v>0</v>
      </c>
      <c r="E29" s="440">
        <f>'T3 ANSP'!E29+'T3 MET'!E29+'T3 NSA'!E29</f>
        <v>0</v>
      </c>
      <c r="F29" s="422">
        <f>'T3 ANSP'!F29+'T3 MET'!F29+'T3 NSA'!F29</f>
        <v>0</v>
      </c>
      <c r="G29" s="422">
        <f>'T3 ANSP'!G29+'T3 MET'!G29+'T3 NSA'!G29</f>
        <v>0</v>
      </c>
      <c r="H29" s="422">
        <f>'T3 ANSP'!H29+'T3 MET'!H29+'T3 NSA'!H29</f>
        <v>0</v>
      </c>
      <c r="I29" s="422">
        <f>'T3 ANSP'!I29+'T3 MET'!I29+'T3 NSA'!I29</f>
        <v>0</v>
      </c>
      <c r="J29" s="422">
        <f>'T3 ANSP'!J29+'T3 MET'!J29+'T3 NSA'!J29</f>
        <v>0</v>
      </c>
      <c r="K29" s="422">
        <f>'T3 ANSP'!K29+'T3 MET'!K29+'T3 NSA'!K29</f>
        <v>0</v>
      </c>
      <c r="L29" s="422">
        <f>'T3 ANSP'!L29+'T3 MET'!L29+'T3 NSA'!L29</f>
        <v>0</v>
      </c>
      <c r="M29" s="439">
        <f>'T3 ANSP'!M29+'T3 MET'!M29+'T3 NSA'!M29</f>
        <v>0</v>
      </c>
      <c r="O29" s="404"/>
    </row>
    <row r="30" spans="1:15">
      <c r="A30" s="454" t="s">
        <v>468</v>
      </c>
      <c r="B30" s="395"/>
      <c r="C30" s="412" t="s">
        <v>484</v>
      </c>
      <c r="D30" s="413">
        <f>'T3 ANSP'!D30+'T3 MET'!D30+'T3 NSA'!D30</f>
        <v>0</v>
      </c>
      <c r="E30" s="414">
        <f>'T3 ANSP'!E30+'T3 MET'!E30+'T3 NSA'!E30</f>
        <v>0</v>
      </c>
      <c r="F30" s="415">
        <f>'T3 ANSP'!F30+'T3 MET'!F30+'T3 NSA'!F30</f>
        <v>0</v>
      </c>
      <c r="G30" s="415">
        <f>'T3 ANSP'!G30+'T3 MET'!G30+'T3 NSA'!G30</f>
        <v>0</v>
      </c>
      <c r="H30" s="415">
        <f>'T3 ANSP'!H30+'T3 MET'!H30+'T3 NSA'!H30</f>
        <v>0</v>
      </c>
      <c r="I30" s="415">
        <f>'T3 ANSP'!I30+'T3 MET'!I30+'T3 NSA'!I30</f>
        <v>0</v>
      </c>
      <c r="J30" s="415">
        <f>'T3 ANSP'!J30+'T3 MET'!J30+'T3 NSA'!J30</f>
        <v>0</v>
      </c>
      <c r="K30" s="415">
        <f>'T3 ANSP'!K30+'T3 MET'!K30+'T3 NSA'!K30</f>
        <v>0</v>
      </c>
      <c r="L30" s="415">
        <f>'T3 ANSP'!L30+'T3 MET'!L30+'T3 NSA'!L30</f>
        <v>0</v>
      </c>
      <c r="M30" s="1031">
        <f>'T3 ANSP'!M30+'T3 MET'!M30+'T3 NSA'!M30</f>
        <v>0</v>
      </c>
      <c r="O30" s="404"/>
    </row>
    <row r="31" spans="1:15">
      <c r="A31" s="454">
        <v>2023</v>
      </c>
      <c r="B31" s="395"/>
      <c r="C31" s="405" t="s">
        <v>485</v>
      </c>
      <c r="D31" s="406">
        <f>'T3 ANSP'!D31+'T3 MET'!D31+'T3 NSA'!D31</f>
        <v>0</v>
      </c>
      <c r="E31" s="440">
        <f>'T3 ANSP'!E31+'T3 MET'!E31+'T3 NSA'!E31</f>
        <v>0</v>
      </c>
      <c r="F31" s="422">
        <f>'T3 ANSP'!F31+'T3 MET'!F31+'T3 NSA'!F31</f>
        <v>0</v>
      </c>
      <c r="G31" s="422">
        <f>'T3 ANSP'!G31+'T3 MET'!G31+'T3 NSA'!G31</f>
        <v>0</v>
      </c>
      <c r="H31" s="422">
        <f>'T3 ANSP'!H31+'T3 MET'!H31+'T3 NSA'!H31</f>
        <v>0</v>
      </c>
      <c r="I31" s="422">
        <f>'T3 ANSP'!I31+'T3 MET'!I31+'T3 NSA'!I31</f>
        <v>0</v>
      </c>
      <c r="J31" s="422">
        <f>'T3 ANSP'!J31+'T3 MET'!J31+'T3 NSA'!J31</f>
        <v>0</v>
      </c>
      <c r="K31" s="422">
        <f>'T3 ANSP'!K31+'T3 MET'!K31+'T3 NSA'!K31</f>
        <v>0</v>
      </c>
      <c r="L31" s="422">
        <f>'T3 ANSP'!L31+'T3 MET'!L31+'T3 NSA'!L31</f>
        <v>0</v>
      </c>
      <c r="M31" s="439">
        <f>'T3 ANSP'!M31+'T3 MET'!M31+'T3 NSA'!M31</f>
        <v>0</v>
      </c>
      <c r="O31" s="404"/>
    </row>
    <row r="32" spans="1:15">
      <c r="A32" s="454">
        <v>2024</v>
      </c>
      <c r="B32" s="395"/>
      <c r="C32" s="405" t="s">
        <v>486</v>
      </c>
      <c r="D32" s="406">
        <f>'T3 ANSP'!D32+'T3 MET'!D32+'T3 NSA'!D32</f>
        <v>0</v>
      </c>
      <c r="E32" s="440">
        <f>'T3 ANSP'!E32+'T3 MET'!E32+'T3 NSA'!E32</f>
        <v>0</v>
      </c>
      <c r="F32" s="422">
        <f>'T3 ANSP'!F32+'T3 MET'!F32+'T3 NSA'!F32</f>
        <v>0</v>
      </c>
      <c r="G32" s="422">
        <f>'T3 ANSP'!G32+'T3 MET'!G32+'T3 NSA'!G32</f>
        <v>0</v>
      </c>
      <c r="H32" s="422">
        <f>'T3 ANSP'!H32+'T3 MET'!H32+'T3 NSA'!H32</f>
        <v>0</v>
      </c>
      <c r="I32" s="422">
        <f>'T3 ANSP'!I32+'T3 MET'!I32+'T3 NSA'!I32</f>
        <v>0</v>
      </c>
      <c r="J32" s="422">
        <f>'T3 ANSP'!J32+'T3 MET'!J32+'T3 NSA'!J32</f>
        <v>0</v>
      </c>
      <c r="K32" s="422">
        <f>'T3 ANSP'!K32+'T3 MET'!K32+'T3 NSA'!K32</f>
        <v>0</v>
      </c>
      <c r="L32" s="422">
        <f>'T3 ANSP'!L32+'T3 MET'!L32+'T3 NSA'!L32</f>
        <v>0</v>
      </c>
      <c r="M32" s="439">
        <f>'T3 ANSP'!M32+'T3 MET'!M32+'T3 NSA'!M32</f>
        <v>0</v>
      </c>
      <c r="O32" s="404"/>
    </row>
    <row r="33" spans="1:15">
      <c r="A33" s="454">
        <v>2025</v>
      </c>
      <c r="B33" s="395"/>
      <c r="C33" s="405" t="s">
        <v>487</v>
      </c>
      <c r="D33" s="406">
        <f>'T3 ANSP'!D33+'T3 MET'!D33+'T3 NSA'!D33</f>
        <v>0</v>
      </c>
      <c r="E33" s="440">
        <f>'T3 ANSP'!E33+'T3 MET'!E33+'T3 NSA'!E33</f>
        <v>0</v>
      </c>
      <c r="F33" s="422">
        <f>'T3 ANSP'!F33+'T3 MET'!F33+'T3 NSA'!F33</f>
        <v>0</v>
      </c>
      <c r="G33" s="422">
        <f>'T3 ANSP'!G33+'T3 MET'!G33+'T3 NSA'!G33</f>
        <v>0</v>
      </c>
      <c r="H33" s="422">
        <f>'T3 ANSP'!H33+'T3 MET'!H33+'T3 NSA'!H33</f>
        <v>0</v>
      </c>
      <c r="I33" s="422">
        <f>'T3 ANSP'!I33+'T3 MET'!I33+'T3 NSA'!I33</f>
        <v>0</v>
      </c>
      <c r="J33" s="422">
        <f>'T3 ANSP'!J33+'T3 MET'!J33+'T3 NSA'!J33</f>
        <v>0</v>
      </c>
      <c r="K33" s="422">
        <f>'T3 ANSP'!K33+'T3 MET'!K33+'T3 NSA'!K33</f>
        <v>0</v>
      </c>
      <c r="L33" s="422">
        <f>'T3 ANSP'!L33+'T3 MET'!L33+'T3 NSA'!L33</f>
        <v>0</v>
      </c>
      <c r="M33" s="439">
        <f>'T3 ANSP'!M33+'T3 MET'!M33+'T3 NSA'!M33</f>
        <v>0</v>
      </c>
      <c r="O33" s="404"/>
    </row>
    <row r="34" spans="1:15">
      <c r="A34" s="454">
        <v>2026</v>
      </c>
      <c r="B34" s="395"/>
      <c r="C34" s="405" t="s">
        <v>488</v>
      </c>
      <c r="D34" s="406">
        <f>'T3 ANSP'!D34+'T3 MET'!D34+'T3 NSA'!D34</f>
        <v>0</v>
      </c>
      <c r="E34" s="440">
        <f>'T3 ANSP'!E34+'T3 MET'!E34+'T3 NSA'!E34</f>
        <v>0</v>
      </c>
      <c r="F34" s="422">
        <f>'T3 ANSP'!F34+'T3 MET'!F34+'T3 NSA'!F34</f>
        <v>0</v>
      </c>
      <c r="G34" s="422">
        <f>'T3 ANSP'!G34+'T3 MET'!G34+'T3 NSA'!G34</f>
        <v>0</v>
      </c>
      <c r="H34" s="422">
        <f>'T3 ANSP'!H34+'T3 MET'!H34+'T3 NSA'!H34</f>
        <v>0</v>
      </c>
      <c r="I34" s="422">
        <f>'T3 ANSP'!I34+'T3 MET'!I34+'T3 NSA'!I34</f>
        <v>0</v>
      </c>
      <c r="J34" s="422">
        <f>'T3 ANSP'!J34+'T3 MET'!J34+'T3 NSA'!J34</f>
        <v>0</v>
      </c>
      <c r="K34" s="422">
        <f>'T3 ANSP'!K34+'T3 MET'!K34+'T3 NSA'!K34</f>
        <v>0</v>
      </c>
      <c r="L34" s="422">
        <f>'T3 ANSP'!L34+'T3 MET'!L34+'T3 NSA'!L34</f>
        <v>0</v>
      </c>
      <c r="M34" s="439">
        <f>'T3 ANSP'!M34+'T3 MET'!M34+'T3 NSA'!M34</f>
        <v>0</v>
      </c>
      <c r="O34" s="404"/>
    </row>
    <row r="35" spans="1:15">
      <c r="A35" s="454">
        <v>2027</v>
      </c>
      <c r="B35" s="395"/>
      <c r="C35" s="405" t="s">
        <v>489</v>
      </c>
      <c r="D35" s="426">
        <f>'T3 ANSP'!D35+'T3 MET'!D35+'T3 NSA'!D35</f>
        <v>0</v>
      </c>
      <c r="E35" s="1318">
        <f>'T3 ANSP'!E35+'T3 MET'!E35+'T3 NSA'!E35</f>
        <v>0</v>
      </c>
      <c r="F35" s="462">
        <f>'T3 ANSP'!F35+'T3 MET'!F35+'T3 NSA'!F35</f>
        <v>0</v>
      </c>
      <c r="G35" s="462">
        <f>'T3 ANSP'!G35+'T3 MET'!G35+'T3 NSA'!G35</f>
        <v>0</v>
      </c>
      <c r="H35" s="462">
        <f>'T3 ANSP'!H35+'T3 MET'!H35+'T3 NSA'!H35</f>
        <v>0</v>
      </c>
      <c r="I35" s="462">
        <f>'T3 ANSP'!I35+'T3 MET'!I35+'T3 NSA'!I35</f>
        <v>0</v>
      </c>
      <c r="J35" s="462">
        <f>'T3 ANSP'!J35+'T3 MET'!J35+'T3 NSA'!J35</f>
        <v>0</v>
      </c>
      <c r="K35" s="462">
        <f>'T3 ANSP'!K35+'T3 MET'!K35+'T3 NSA'!K35</f>
        <v>0</v>
      </c>
      <c r="L35" s="462">
        <f>'T3 ANSP'!L35+'T3 MET'!L35+'T3 NSA'!L35</f>
        <v>0</v>
      </c>
      <c r="M35" s="1056">
        <f>'T3 ANSP'!M35+'T3 MET'!M35+'T3 NSA'!M35</f>
        <v>0</v>
      </c>
      <c r="O35" s="404"/>
    </row>
    <row r="36" spans="1:15">
      <c r="A36" s="454" t="s">
        <v>475</v>
      </c>
      <c r="B36" s="395"/>
      <c r="C36" s="430" t="s">
        <v>913</v>
      </c>
      <c r="D36" s="479">
        <f>'T3 ANSP'!D36+'T3 MET'!D36+'T3 NSA'!D36</f>
        <v>862800.06278065313</v>
      </c>
      <c r="E36" s="479">
        <f>'T3 ANSP'!E36+'T3 MET'!E36+'T3 NSA'!E36</f>
        <v>-52765.667477023497</v>
      </c>
      <c r="F36" s="479">
        <f>'T3 ANSP'!F36+'T3 MET'!F36+'T3 NSA'!F36</f>
        <v>-62057.379326415998</v>
      </c>
      <c r="G36" s="479">
        <f>'T3 ANSP'!G36+'T3 MET'!G36+'T3 NSA'!G36</f>
        <v>0</v>
      </c>
      <c r="H36" s="479">
        <f>'T3 ANSP'!H36+'T3 MET'!H36+'T3 NSA'!H36</f>
        <v>24929.271489367136</v>
      </c>
      <c r="I36" s="479">
        <f>'T3 ANSP'!I36+'T3 MET'!I36+'T3 NSA'!I36</f>
        <v>18063.629153141708</v>
      </c>
      <c r="J36" s="479">
        <f>'T3 ANSP'!J36+'T3 MET'!J36+'T3 NSA'!J36</f>
        <v>151854.51401245283</v>
      </c>
      <c r="K36" s="479">
        <f>'T3 ANSP'!K36+'T3 MET'!K36+'T3 NSA'!K36</f>
        <v>141163.67364776251</v>
      </c>
      <c r="L36" s="479">
        <f>'T3 ANSP'!L36+'T3 MET'!L36+'T3 NSA'!L36</f>
        <v>159554.09789316004</v>
      </c>
      <c r="M36" s="1055">
        <f>'T3 ANSP'!M36+'T3 MET'!M36+'T3 NSA'!M36</f>
        <v>482057.92338820838</v>
      </c>
      <c r="O36" s="404"/>
    </row>
    <row r="37" spans="1:15">
      <c r="A37" s="748"/>
      <c r="B37" s="395"/>
      <c r="C37" s="481"/>
      <c r="D37" s="445"/>
      <c r="E37" s="446"/>
      <c r="F37" s="446"/>
      <c r="G37" s="446"/>
      <c r="H37" s="446"/>
      <c r="I37" s="446"/>
      <c r="J37" s="446"/>
      <c r="K37" s="446"/>
      <c r="L37" s="446"/>
      <c r="M37" s="446"/>
      <c r="O37" s="404"/>
    </row>
    <row r="38" spans="1:15">
      <c r="A38" s="454">
        <v>2020</v>
      </c>
      <c r="B38" s="395"/>
      <c r="C38" s="397" t="s">
        <v>491</v>
      </c>
      <c r="D38" s="442">
        <f>'T3 ANSP'!D38+'T3 MET'!D38+'T3 NSA'!D38</f>
        <v>0</v>
      </c>
      <c r="E38" s="437">
        <f>'T3 ANSP'!E38+'T3 MET'!E38+'T3 NSA'!E38</f>
        <v>0</v>
      </c>
      <c r="F38" s="420">
        <f>'T3 ANSP'!F38+'T3 MET'!F38+'T3 NSA'!F38</f>
        <v>0</v>
      </c>
      <c r="G38" s="486">
        <f>'T3 ANSP'!G38+'T3 MET'!G38+'T3 NSA'!G38</f>
        <v>0</v>
      </c>
      <c r="H38" s="420">
        <f>'T3 ANSP'!H38+'T3 MET'!H38+'T3 NSA'!H38</f>
        <v>0</v>
      </c>
      <c r="I38" s="1315">
        <f>'T3 ANSP'!I38+'T3 MET'!I38+'T3 NSA'!I38</f>
        <v>0</v>
      </c>
      <c r="J38" s="420">
        <f>'T3 ANSP'!J38+'T3 MET'!J38+'T3 NSA'!J38</f>
        <v>0</v>
      </c>
      <c r="K38" s="420">
        <f>'T3 ANSP'!K38+'T3 MET'!K38+'T3 NSA'!K38</f>
        <v>0</v>
      </c>
      <c r="L38" s="420">
        <f>'T3 ANSP'!L38+'T3 MET'!L38+'T3 NSA'!L38</f>
        <v>0</v>
      </c>
      <c r="M38" s="436">
        <f>'T3 ANSP'!M38+'T3 MET'!M38+'T3 NSA'!M38</f>
        <v>0</v>
      </c>
      <c r="O38" s="404"/>
    </row>
    <row r="39" spans="1:15">
      <c r="A39" s="454">
        <v>2021</v>
      </c>
      <c r="B39" s="395"/>
      <c r="C39" s="405" t="s">
        <v>492</v>
      </c>
      <c r="D39" s="443">
        <f>'T3 ANSP'!D39+'T3 MET'!D39+'T3 NSA'!D39</f>
        <v>0</v>
      </c>
      <c r="E39" s="440">
        <f>'T3 ANSP'!E39+'T3 MET'!E39+'T3 NSA'!E39</f>
        <v>0</v>
      </c>
      <c r="F39" s="422">
        <f>'T3 ANSP'!F39+'T3 MET'!F39+'T3 NSA'!F39</f>
        <v>0</v>
      </c>
      <c r="G39" s="422">
        <f>'T3 ANSP'!G39+'T3 MET'!G39+'T3 NSA'!G39</f>
        <v>0</v>
      </c>
      <c r="H39" s="490">
        <f>'T3 ANSP'!H39+'T3 MET'!H39+'T3 NSA'!H39</f>
        <v>0</v>
      </c>
      <c r="I39" s="1041">
        <f>'T3 ANSP'!I39+'T3 MET'!I39+'T3 NSA'!I39</f>
        <v>0</v>
      </c>
      <c r="J39" s="422">
        <f>'T3 ANSP'!J39+'T3 MET'!J39+'T3 NSA'!J39</f>
        <v>0</v>
      </c>
      <c r="K39" s="422">
        <f>'T3 ANSP'!K39+'T3 MET'!K39+'T3 NSA'!K39</f>
        <v>0</v>
      </c>
      <c r="L39" s="422">
        <f>'T3 ANSP'!L39+'T3 MET'!L39+'T3 NSA'!L39</f>
        <v>0</v>
      </c>
      <c r="M39" s="439">
        <f>'T3 ANSP'!M39+'T3 MET'!M39+'T3 NSA'!M39</f>
        <v>0</v>
      </c>
      <c r="O39" s="404"/>
    </row>
    <row r="40" spans="1:15">
      <c r="A40" s="454">
        <v>2022</v>
      </c>
      <c r="B40" s="395"/>
      <c r="C40" s="405" t="s">
        <v>493</v>
      </c>
      <c r="D40" s="443">
        <f>'T3 ANSP'!D40+'T3 MET'!D40+'T3 NSA'!D40</f>
        <v>0</v>
      </c>
      <c r="E40" s="440">
        <f>'T3 ANSP'!E40+'T3 MET'!E40+'T3 NSA'!E40</f>
        <v>0</v>
      </c>
      <c r="F40" s="422">
        <f>'T3 ANSP'!F40+'T3 MET'!F40+'T3 NSA'!F40</f>
        <v>0</v>
      </c>
      <c r="G40" s="422">
        <f>'T3 ANSP'!G40+'T3 MET'!G40+'T3 NSA'!G40</f>
        <v>0</v>
      </c>
      <c r="H40" s="422">
        <f>'T3 ANSP'!H40+'T3 MET'!H40+'T3 NSA'!H40</f>
        <v>0</v>
      </c>
      <c r="I40" s="1046">
        <f>'T3 ANSP'!I40+'T3 MET'!I40+'T3 NSA'!I40</f>
        <v>0</v>
      </c>
      <c r="J40" s="422">
        <f>'T3 ANSP'!J40+'T3 MET'!J40+'T3 NSA'!J40</f>
        <v>0</v>
      </c>
      <c r="K40" s="422">
        <f>'T3 ANSP'!K40+'T3 MET'!K40+'T3 NSA'!K40</f>
        <v>0</v>
      </c>
      <c r="L40" s="422">
        <f>'T3 ANSP'!L40+'T3 MET'!L40+'T3 NSA'!L40</f>
        <v>0</v>
      </c>
      <c r="M40" s="439">
        <f>'T3 ANSP'!M40+'T3 MET'!M40+'T3 NSA'!M40</f>
        <v>0</v>
      </c>
      <c r="O40" s="404"/>
    </row>
    <row r="41" spans="1:15">
      <c r="A41" s="454" t="s">
        <v>468</v>
      </c>
      <c r="B41" s="395"/>
      <c r="C41" s="412" t="s">
        <v>494</v>
      </c>
      <c r="D41" s="413">
        <f>'T3 ANSP'!D41+'T3 MET'!D41+'T3 NSA'!D41</f>
        <v>0</v>
      </c>
      <c r="E41" s="414">
        <f>'T3 ANSP'!E41+'T3 MET'!E41+'T3 NSA'!E41</f>
        <v>0</v>
      </c>
      <c r="F41" s="415">
        <f>'T3 ANSP'!F41+'T3 MET'!F41+'T3 NSA'!F41</f>
        <v>0</v>
      </c>
      <c r="G41" s="415">
        <f>'T3 ANSP'!G41+'T3 MET'!G41+'T3 NSA'!G41</f>
        <v>0</v>
      </c>
      <c r="H41" s="415">
        <f>'T3 ANSP'!H41+'T3 MET'!H41+'T3 NSA'!H41</f>
        <v>0</v>
      </c>
      <c r="I41" s="415">
        <f>'T3 ANSP'!I41+'T3 MET'!I41+'T3 NSA'!I41</f>
        <v>0</v>
      </c>
      <c r="J41" s="415">
        <f>'T3 ANSP'!J41+'T3 MET'!J41+'T3 NSA'!J41</f>
        <v>0</v>
      </c>
      <c r="K41" s="415">
        <f>'T3 ANSP'!K41+'T3 MET'!K41+'T3 NSA'!K41</f>
        <v>0</v>
      </c>
      <c r="L41" s="415">
        <f>'T3 ANSP'!L41+'T3 MET'!L41+'T3 NSA'!L41</f>
        <v>0</v>
      </c>
      <c r="M41" s="1031">
        <f>'T3 ANSP'!M41+'T3 MET'!M41+'T3 NSA'!M41</f>
        <v>0</v>
      </c>
      <c r="O41" s="404"/>
    </row>
    <row r="42" spans="1:15">
      <c r="A42" s="454">
        <v>2023</v>
      </c>
      <c r="B42" s="395"/>
      <c r="C42" s="405" t="s">
        <v>495</v>
      </c>
      <c r="D42" s="443">
        <f>'T3 ANSP'!D42+'T3 MET'!D42+'T3 NSA'!D42</f>
        <v>0</v>
      </c>
      <c r="E42" s="440">
        <f>'T3 ANSP'!E42+'T3 MET'!E42+'T3 NSA'!E42</f>
        <v>0</v>
      </c>
      <c r="F42" s="422">
        <f>'T3 ANSP'!F42+'T3 MET'!F42+'T3 NSA'!F42</f>
        <v>0</v>
      </c>
      <c r="G42" s="422">
        <f>'T3 ANSP'!G42+'T3 MET'!G42+'T3 NSA'!G42</f>
        <v>0</v>
      </c>
      <c r="H42" s="422">
        <f>'T3 ANSP'!H42+'T3 MET'!H42+'T3 NSA'!H42</f>
        <v>0</v>
      </c>
      <c r="I42" s="1041">
        <f>'T3 ANSP'!I42+'T3 MET'!I42+'T3 NSA'!I42</f>
        <v>0</v>
      </c>
      <c r="J42" s="446">
        <f>'T3 ANSP'!J42+'T3 MET'!J42+'T3 NSA'!J42</f>
        <v>0</v>
      </c>
      <c r="K42" s="446">
        <f>'T3 ANSP'!K42+'T3 MET'!K42+'T3 NSA'!K42</f>
        <v>0</v>
      </c>
      <c r="L42" s="420">
        <f>'T3 ANSP'!L42+'T3 MET'!L42+'T3 NSA'!L42</f>
        <v>0</v>
      </c>
      <c r="M42" s="436">
        <f>'T3 ANSP'!M42+'T3 MET'!M42+'T3 NSA'!M42</f>
        <v>0</v>
      </c>
      <c r="O42" s="404"/>
    </row>
    <row r="43" spans="1:15">
      <c r="A43" s="454">
        <v>2024</v>
      </c>
      <c r="B43" s="395"/>
      <c r="C43" s="405" t="s">
        <v>496</v>
      </c>
      <c r="D43" s="443">
        <f>'T3 ANSP'!D43+'T3 MET'!D43+'T3 NSA'!D43</f>
        <v>0</v>
      </c>
      <c r="E43" s="440">
        <f>'T3 ANSP'!E43+'T3 MET'!E43+'T3 NSA'!E43</f>
        <v>0</v>
      </c>
      <c r="F43" s="422">
        <f>'T3 ANSP'!F43+'T3 MET'!F43+'T3 NSA'!F43</f>
        <v>0</v>
      </c>
      <c r="G43" s="422">
        <f>'T3 ANSP'!G43+'T3 MET'!G43+'T3 NSA'!G43</f>
        <v>0</v>
      </c>
      <c r="H43" s="422">
        <f>'T3 ANSP'!H43+'T3 MET'!H43+'T3 NSA'!H43</f>
        <v>0</v>
      </c>
      <c r="I43" s="1041">
        <f>'T3 ANSP'!I43+'T3 MET'!I43+'T3 NSA'!I43</f>
        <v>0</v>
      </c>
      <c r="J43" s="446">
        <f>'T3 ANSP'!J43+'T3 MET'!J43+'T3 NSA'!J43</f>
        <v>0</v>
      </c>
      <c r="K43" s="446">
        <f>'T3 ANSP'!K43+'T3 MET'!K43+'T3 NSA'!K43</f>
        <v>0</v>
      </c>
      <c r="L43" s="422">
        <f>'T3 ANSP'!L43+'T3 MET'!L43+'T3 NSA'!L43</f>
        <v>0</v>
      </c>
      <c r="M43" s="439">
        <f>'T3 ANSP'!M43+'T3 MET'!M43+'T3 NSA'!M43</f>
        <v>0</v>
      </c>
      <c r="O43" s="404"/>
    </row>
    <row r="44" spans="1:15">
      <c r="A44" s="454">
        <v>2025</v>
      </c>
      <c r="B44" s="395"/>
      <c r="C44" s="405" t="s">
        <v>497</v>
      </c>
      <c r="D44" s="443">
        <f>'T3 ANSP'!D44+'T3 MET'!D44+'T3 NSA'!D44</f>
        <v>0</v>
      </c>
      <c r="E44" s="440">
        <f>'T3 ANSP'!E44+'T3 MET'!E44+'T3 NSA'!E44</f>
        <v>0</v>
      </c>
      <c r="F44" s="422">
        <f>'T3 ANSP'!F44+'T3 MET'!F44+'T3 NSA'!F44</f>
        <v>0</v>
      </c>
      <c r="G44" s="422">
        <f>'T3 ANSP'!G44+'T3 MET'!G44+'T3 NSA'!G44</f>
        <v>0</v>
      </c>
      <c r="H44" s="422">
        <f>'T3 ANSP'!H44+'T3 MET'!H44+'T3 NSA'!H44</f>
        <v>0</v>
      </c>
      <c r="I44" s="1041">
        <f>'T3 ANSP'!I44+'T3 MET'!I44+'T3 NSA'!I44</f>
        <v>0</v>
      </c>
      <c r="J44" s="446">
        <f>'T3 ANSP'!J44+'T3 MET'!J44+'T3 NSA'!J44</f>
        <v>0</v>
      </c>
      <c r="K44" s="446">
        <f>'T3 ANSP'!K44+'T3 MET'!K44+'T3 NSA'!K44</f>
        <v>0</v>
      </c>
      <c r="L44" s="446">
        <f>'T3 ANSP'!L44+'T3 MET'!L44+'T3 NSA'!L44</f>
        <v>0</v>
      </c>
      <c r="M44" s="439">
        <f>'T3 ANSP'!M44+'T3 MET'!M44+'T3 NSA'!M44</f>
        <v>0</v>
      </c>
      <c r="O44" s="404"/>
    </row>
    <row r="45" spans="1:15">
      <c r="A45" s="454">
        <v>2026</v>
      </c>
      <c r="B45" s="395"/>
      <c r="C45" s="405" t="s">
        <v>498</v>
      </c>
      <c r="D45" s="443">
        <f>'T3 ANSP'!D45+'T3 MET'!D45+'T3 NSA'!D45</f>
        <v>0</v>
      </c>
      <c r="E45" s="440">
        <f>'T3 ANSP'!E45+'T3 MET'!E45+'T3 NSA'!E45</f>
        <v>0</v>
      </c>
      <c r="F45" s="422">
        <f>'T3 ANSP'!F45+'T3 MET'!F45+'T3 NSA'!F45</f>
        <v>0</v>
      </c>
      <c r="G45" s="422">
        <f>'T3 ANSP'!G45+'T3 MET'!G45+'T3 NSA'!G45</f>
        <v>0</v>
      </c>
      <c r="H45" s="422">
        <f>'T3 ANSP'!H45+'T3 MET'!H45+'T3 NSA'!H45</f>
        <v>0</v>
      </c>
      <c r="I45" s="1041">
        <f>'T3 ANSP'!I45+'T3 MET'!I45+'T3 NSA'!I45</f>
        <v>0</v>
      </c>
      <c r="J45" s="446">
        <f>'T3 ANSP'!J45+'T3 MET'!J45+'T3 NSA'!J45</f>
        <v>0</v>
      </c>
      <c r="K45" s="446">
        <f>'T3 ANSP'!K45+'T3 MET'!K45+'T3 NSA'!K45</f>
        <v>0</v>
      </c>
      <c r="L45" s="446">
        <f>'T3 ANSP'!L45+'T3 MET'!L45+'T3 NSA'!L45</f>
        <v>0</v>
      </c>
      <c r="M45" s="439">
        <f>'T3 ANSP'!M45+'T3 MET'!M45+'T3 NSA'!M45</f>
        <v>0</v>
      </c>
      <c r="O45" s="404"/>
    </row>
    <row r="46" spans="1:15">
      <c r="A46" s="454">
        <v>2027</v>
      </c>
      <c r="B46" s="395"/>
      <c r="C46" s="405" t="s">
        <v>499</v>
      </c>
      <c r="D46" s="444">
        <f>'T3 ANSP'!D46+'T3 MET'!D46+'T3 NSA'!D46</f>
        <v>0</v>
      </c>
      <c r="E46" s="1318">
        <f>'T3 ANSP'!E46+'T3 MET'!E46+'T3 NSA'!E46</f>
        <v>0</v>
      </c>
      <c r="F46" s="462">
        <f>'T3 ANSP'!F46+'T3 MET'!F46+'T3 NSA'!F46</f>
        <v>0</v>
      </c>
      <c r="G46" s="462">
        <f>'T3 ANSP'!G46+'T3 MET'!G46+'T3 NSA'!G46</f>
        <v>0</v>
      </c>
      <c r="H46" s="462">
        <f>'T3 ANSP'!H46+'T3 MET'!H46+'T3 NSA'!H46</f>
        <v>0</v>
      </c>
      <c r="I46" s="1322">
        <f>'T3 ANSP'!I46+'T3 MET'!I46+'T3 NSA'!I46</f>
        <v>0</v>
      </c>
      <c r="J46" s="446">
        <f>'T3 ANSP'!J46+'T3 MET'!J46+'T3 NSA'!J46</f>
        <v>0</v>
      </c>
      <c r="K46" s="446">
        <f>'T3 ANSP'!K46+'T3 MET'!K46+'T3 NSA'!K46</f>
        <v>0</v>
      </c>
      <c r="L46" s="446">
        <f>'T3 ANSP'!L46+'T3 MET'!L46+'T3 NSA'!L46</f>
        <v>0</v>
      </c>
      <c r="M46" s="1056">
        <f>'T3 ANSP'!M46+'T3 MET'!M46+'T3 NSA'!M46</f>
        <v>0</v>
      </c>
      <c r="O46" s="404"/>
    </row>
    <row r="47" spans="1:15">
      <c r="A47" s="454" t="s">
        <v>475</v>
      </c>
      <c r="B47" s="395"/>
      <c r="C47" s="430" t="s">
        <v>914</v>
      </c>
      <c r="D47" s="431">
        <f>'T3 ANSP'!D47+'T3 MET'!D47+'T3 NSA'!D47</f>
        <v>0</v>
      </c>
      <c r="E47" s="479">
        <f>'T3 ANSP'!E47+'T3 MET'!E47+'T3 NSA'!E47</f>
        <v>0</v>
      </c>
      <c r="F47" s="433">
        <f>'T3 ANSP'!F47+'T3 MET'!F47+'T3 NSA'!F47</f>
        <v>0</v>
      </c>
      <c r="G47" s="479">
        <f>'T3 ANSP'!G47+'T3 MET'!G47+'T3 NSA'!G47</f>
        <v>0</v>
      </c>
      <c r="H47" s="479">
        <f>'T3 ANSP'!H47+'T3 MET'!H47+'T3 NSA'!H47</f>
        <v>0</v>
      </c>
      <c r="I47" s="479">
        <f>'T3 ANSP'!I47+'T3 MET'!I47+'T3 NSA'!I47</f>
        <v>0</v>
      </c>
      <c r="J47" s="479">
        <f>'T3 ANSP'!J47+'T3 MET'!J47+'T3 NSA'!J47</f>
        <v>0</v>
      </c>
      <c r="K47" s="479">
        <f>'T3 ANSP'!K47+'T3 MET'!K47+'T3 NSA'!K47</f>
        <v>0</v>
      </c>
      <c r="L47" s="479">
        <f>'T3 ANSP'!L47+'T3 MET'!L47+'T3 NSA'!L47</f>
        <v>0</v>
      </c>
      <c r="M47" s="1055">
        <f>'T3 ANSP'!M47+'T3 MET'!M47+'T3 NSA'!M47</f>
        <v>0</v>
      </c>
      <c r="O47" s="404"/>
    </row>
    <row r="48" spans="1:15">
      <c r="A48" s="748"/>
      <c r="B48" s="395"/>
      <c r="C48" s="481"/>
      <c r="D48" s="445"/>
      <c r="E48" s="446"/>
      <c r="F48" s="446"/>
      <c r="G48" s="446"/>
      <c r="H48" s="446"/>
      <c r="I48" s="446"/>
      <c r="J48" s="446"/>
      <c r="K48" s="446"/>
      <c r="L48" s="446"/>
      <c r="M48" s="446"/>
      <c r="O48" s="404"/>
    </row>
    <row r="49" spans="1:15">
      <c r="A49" s="454">
        <v>2020</v>
      </c>
      <c r="B49" s="395"/>
      <c r="C49" s="397" t="s">
        <v>501</v>
      </c>
      <c r="D49" s="442">
        <f>'T3 ANSP'!D49+'T3 MET'!D49+'T3 NSA'!D49</f>
        <v>-3711.3231999999698</v>
      </c>
      <c r="E49" s="437">
        <f>'T3 ANSP'!E49+'T3 MET'!E49+'T3 NSA'!E49</f>
        <v>0</v>
      </c>
      <c r="F49" s="420">
        <f>'T3 ANSP'!F49+'T3 MET'!F49+'T3 NSA'!F49</f>
        <v>0</v>
      </c>
      <c r="G49" s="420">
        <f>'T3 ANSP'!G49+'T3 MET'!G49+'T3 NSA'!G49</f>
        <v>-3711.3231999999698</v>
      </c>
      <c r="H49" s="420">
        <f>'T3 ANSP'!H49+'T3 MET'!H49+'T3 NSA'!H49</f>
        <v>0</v>
      </c>
      <c r="I49" s="420">
        <f>'T3 ANSP'!I49+'T3 MET'!I49+'T3 NSA'!I49</f>
        <v>0</v>
      </c>
      <c r="J49" s="420">
        <f>'T3 ANSP'!J49+'T3 MET'!J49+'T3 NSA'!J49</f>
        <v>0</v>
      </c>
      <c r="K49" s="420">
        <f>'T3 ANSP'!K49+'T3 MET'!K49+'T3 NSA'!K49</f>
        <v>0</v>
      </c>
      <c r="L49" s="420">
        <f>'T3 ANSP'!L49+'T3 MET'!L49+'T3 NSA'!L49</f>
        <v>0</v>
      </c>
      <c r="M49" s="436">
        <f>'T3 ANSP'!M49+'T3 MET'!M49+'T3 NSA'!M49</f>
        <v>0</v>
      </c>
      <c r="O49" s="404"/>
    </row>
    <row r="50" spans="1:15">
      <c r="A50" s="454">
        <v>2021</v>
      </c>
      <c r="B50" s="395"/>
      <c r="C50" s="405" t="s">
        <v>502</v>
      </c>
      <c r="D50" s="443">
        <f>'T3 ANSP'!D50+'T3 MET'!D50+'T3 NSA'!D50</f>
        <v>0.26560000000608852</v>
      </c>
      <c r="E50" s="440">
        <f>'T3 ANSP'!E50+'T3 MET'!E50+'T3 NSA'!E50</f>
        <v>0</v>
      </c>
      <c r="F50" s="422">
        <f>'T3 ANSP'!F50+'T3 MET'!F50+'T3 NSA'!F50</f>
        <v>0</v>
      </c>
      <c r="G50" s="422">
        <f>'T3 ANSP'!G50+'T3 MET'!G50+'T3 NSA'!G50</f>
        <v>0</v>
      </c>
      <c r="H50" s="422">
        <f>'T3 ANSP'!H50+'T3 MET'!H50+'T3 NSA'!H50</f>
        <v>0.26560000000608852</v>
      </c>
      <c r="I50" s="422">
        <f>'T3 ANSP'!I50+'T3 MET'!I50+'T3 NSA'!I50</f>
        <v>0</v>
      </c>
      <c r="J50" s="422">
        <f>'T3 ANSP'!J50+'T3 MET'!J50+'T3 NSA'!J50</f>
        <v>0</v>
      </c>
      <c r="K50" s="422">
        <f>'T3 ANSP'!K50+'T3 MET'!K50+'T3 NSA'!K50</f>
        <v>0</v>
      </c>
      <c r="L50" s="422">
        <f>'T3 ANSP'!L50+'T3 MET'!L50+'T3 NSA'!L50</f>
        <v>0</v>
      </c>
      <c r="M50" s="439">
        <f>'T3 ANSP'!M50+'T3 MET'!M50+'T3 NSA'!M50</f>
        <v>0</v>
      </c>
      <c r="O50" s="404"/>
    </row>
    <row r="51" spans="1:15">
      <c r="A51" s="454">
        <v>2022</v>
      </c>
      <c r="B51" s="395"/>
      <c r="C51" s="405" t="s">
        <v>503</v>
      </c>
      <c r="D51" s="443">
        <f>'T3 ANSP'!D51+'T3 MET'!D51+'T3 NSA'!D51</f>
        <v>-85.705767720006406</v>
      </c>
      <c r="E51" s="440">
        <f>'T3 ANSP'!E51+'T3 MET'!E51+'T3 NSA'!E51</f>
        <v>0</v>
      </c>
      <c r="F51" s="422">
        <f>'T3 ANSP'!F51+'T3 MET'!F51+'T3 NSA'!F51</f>
        <v>0</v>
      </c>
      <c r="G51" s="422">
        <f>'T3 ANSP'!G51+'T3 MET'!G51+'T3 NSA'!G51</f>
        <v>0</v>
      </c>
      <c r="H51" s="422">
        <f>'T3 ANSP'!H51+'T3 MET'!H51+'T3 NSA'!H51</f>
        <v>0</v>
      </c>
      <c r="I51" s="422">
        <f>'T3 ANSP'!I51+'T3 MET'!I51+'T3 NSA'!I51</f>
        <v>-85.705767720006406</v>
      </c>
      <c r="J51" s="422">
        <f>'T3 ANSP'!J51+'T3 MET'!J51+'T3 NSA'!J51</f>
        <v>0</v>
      </c>
      <c r="K51" s="422">
        <f>'T3 ANSP'!K51+'T3 MET'!K51+'T3 NSA'!K51</f>
        <v>0</v>
      </c>
      <c r="L51" s="422">
        <f>'T3 ANSP'!L51+'T3 MET'!L51+'T3 NSA'!L51</f>
        <v>0</v>
      </c>
      <c r="M51" s="439">
        <f>'T3 ANSP'!M51+'T3 MET'!M51+'T3 NSA'!M51</f>
        <v>0</v>
      </c>
      <c r="O51" s="404"/>
    </row>
    <row r="52" spans="1:15">
      <c r="A52" s="454" t="s">
        <v>468</v>
      </c>
      <c r="B52" s="395"/>
      <c r="C52" s="412" t="s">
        <v>504</v>
      </c>
      <c r="D52" s="413">
        <f>'T3 ANSP'!D52+'T3 MET'!D52+'T3 NSA'!D52</f>
        <v>-3796.7633677199701</v>
      </c>
      <c r="E52" s="414">
        <f>'T3 ANSP'!E52+'T3 MET'!E52+'T3 NSA'!E52</f>
        <v>0</v>
      </c>
      <c r="F52" s="415">
        <f>'T3 ANSP'!F52+'T3 MET'!F52+'T3 NSA'!F52</f>
        <v>0</v>
      </c>
      <c r="G52" s="415">
        <f>'T3 ANSP'!G52+'T3 MET'!G52+'T3 NSA'!G52</f>
        <v>-3711.3231999999698</v>
      </c>
      <c r="H52" s="415">
        <f>'T3 ANSP'!H52+'T3 MET'!H52+'T3 NSA'!H52</f>
        <v>0.26560000000608852</v>
      </c>
      <c r="I52" s="415">
        <f>'T3 ANSP'!I52+'T3 MET'!I52+'T3 NSA'!I52</f>
        <v>-85.705767720006406</v>
      </c>
      <c r="J52" s="415">
        <f>'T3 ANSP'!J52+'T3 MET'!J52+'T3 NSA'!J52</f>
        <v>0</v>
      </c>
      <c r="K52" s="415">
        <f>'T3 ANSP'!K52+'T3 MET'!K52+'T3 NSA'!K52</f>
        <v>0</v>
      </c>
      <c r="L52" s="415">
        <f>'T3 ANSP'!L52+'T3 MET'!L52+'T3 NSA'!L52</f>
        <v>0</v>
      </c>
      <c r="M52" s="1031">
        <f>'T3 ANSP'!M52+'T3 MET'!M52+'T3 NSA'!M52</f>
        <v>0</v>
      </c>
      <c r="O52" s="404"/>
    </row>
    <row r="53" spans="1:15">
      <c r="A53" s="454">
        <v>2023</v>
      </c>
      <c r="B53" s="395"/>
      <c r="C53" s="405" t="s">
        <v>505</v>
      </c>
      <c r="D53" s="443">
        <f>'T3 ANSP'!D53+'T3 MET'!D53+'T3 NSA'!D53</f>
        <v>0</v>
      </c>
      <c r="E53" s="440">
        <f>'T3 ANSP'!E53+'T3 MET'!E53+'T3 NSA'!E53</f>
        <v>0</v>
      </c>
      <c r="F53" s="422">
        <f>'T3 ANSP'!F53+'T3 MET'!F53+'T3 NSA'!F53</f>
        <v>0</v>
      </c>
      <c r="G53" s="422">
        <f>'T3 ANSP'!G53+'T3 MET'!G53+'T3 NSA'!G53</f>
        <v>0</v>
      </c>
      <c r="H53" s="422">
        <f>'T3 ANSP'!H53+'T3 MET'!H53+'T3 NSA'!H53</f>
        <v>0</v>
      </c>
      <c r="I53" s="422">
        <f>'T3 ANSP'!I53+'T3 MET'!I53+'T3 NSA'!I53</f>
        <v>0</v>
      </c>
      <c r="J53" s="422">
        <f>'T3 ANSP'!J53+'T3 MET'!J53+'T3 NSA'!J53</f>
        <v>0</v>
      </c>
      <c r="K53" s="422">
        <f>'T3 ANSP'!K53+'T3 MET'!K53+'T3 NSA'!K53</f>
        <v>0</v>
      </c>
      <c r="L53" s="422">
        <f>'T3 ANSP'!L53+'T3 MET'!L53+'T3 NSA'!L53</f>
        <v>0</v>
      </c>
      <c r="M53" s="439">
        <f>'T3 ANSP'!M53+'T3 MET'!M53+'T3 NSA'!M53</f>
        <v>0</v>
      </c>
      <c r="O53" s="404"/>
    </row>
    <row r="54" spans="1:15">
      <c r="A54" s="454">
        <v>2024</v>
      </c>
      <c r="B54" s="395"/>
      <c r="C54" s="405" t="s">
        <v>506</v>
      </c>
      <c r="D54" s="443">
        <f>'T3 ANSP'!D54+'T3 MET'!D54+'T3 NSA'!D54</f>
        <v>0</v>
      </c>
      <c r="E54" s="440">
        <f>'T3 ANSP'!E54+'T3 MET'!E54+'T3 NSA'!E54</f>
        <v>0</v>
      </c>
      <c r="F54" s="422">
        <f>'T3 ANSP'!F54+'T3 MET'!F54+'T3 NSA'!F54</f>
        <v>0</v>
      </c>
      <c r="G54" s="422">
        <f>'T3 ANSP'!G54+'T3 MET'!G54+'T3 NSA'!G54</f>
        <v>0</v>
      </c>
      <c r="H54" s="422">
        <f>'T3 ANSP'!H54+'T3 MET'!H54+'T3 NSA'!H54</f>
        <v>0</v>
      </c>
      <c r="I54" s="422">
        <f>'T3 ANSP'!I54+'T3 MET'!I54+'T3 NSA'!I54</f>
        <v>0</v>
      </c>
      <c r="J54" s="422">
        <f>'T3 ANSP'!J54+'T3 MET'!J54+'T3 NSA'!J54</f>
        <v>0</v>
      </c>
      <c r="K54" s="422">
        <f>'T3 ANSP'!K54+'T3 MET'!K54+'T3 NSA'!K54</f>
        <v>0</v>
      </c>
      <c r="L54" s="422">
        <f>'T3 ANSP'!L54+'T3 MET'!L54+'T3 NSA'!L54</f>
        <v>0</v>
      </c>
      <c r="M54" s="439">
        <f>'T3 ANSP'!M54+'T3 MET'!M54+'T3 NSA'!M54</f>
        <v>0</v>
      </c>
      <c r="O54" s="404"/>
    </row>
    <row r="55" spans="1:15">
      <c r="A55" s="454">
        <v>2025</v>
      </c>
      <c r="B55" s="395"/>
      <c r="C55" s="405" t="s">
        <v>507</v>
      </c>
      <c r="D55" s="443">
        <f>'T3 ANSP'!D55+'T3 MET'!D55+'T3 NSA'!D55</f>
        <v>0</v>
      </c>
      <c r="E55" s="440">
        <f>'T3 ANSP'!E55+'T3 MET'!E55+'T3 NSA'!E55</f>
        <v>0</v>
      </c>
      <c r="F55" s="422">
        <f>'T3 ANSP'!F55+'T3 MET'!F55+'T3 NSA'!F55</f>
        <v>0</v>
      </c>
      <c r="G55" s="422">
        <f>'T3 ANSP'!G55+'T3 MET'!G55+'T3 NSA'!G55</f>
        <v>0</v>
      </c>
      <c r="H55" s="422">
        <f>'T3 ANSP'!H55+'T3 MET'!H55+'T3 NSA'!H55</f>
        <v>0</v>
      </c>
      <c r="I55" s="422">
        <f>'T3 ANSP'!I55+'T3 MET'!I55+'T3 NSA'!I55</f>
        <v>0</v>
      </c>
      <c r="J55" s="422">
        <f>'T3 ANSP'!J55+'T3 MET'!J55+'T3 NSA'!J55</f>
        <v>0</v>
      </c>
      <c r="K55" s="422">
        <f>'T3 ANSP'!K55+'T3 MET'!K55+'T3 NSA'!K55</f>
        <v>0</v>
      </c>
      <c r="L55" s="422">
        <f>'T3 ANSP'!L55+'T3 MET'!L55+'T3 NSA'!L55</f>
        <v>0</v>
      </c>
      <c r="M55" s="439">
        <f>'T3 ANSP'!M55+'T3 MET'!M55+'T3 NSA'!M55</f>
        <v>0</v>
      </c>
      <c r="O55" s="404"/>
    </row>
    <row r="56" spans="1:15">
      <c r="A56" s="454">
        <v>2026</v>
      </c>
      <c r="B56" s="395"/>
      <c r="C56" s="405" t="s">
        <v>508</v>
      </c>
      <c r="D56" s="443">
        <f>'T3 ANSP'!D56+'T3 MET'!D56+'T3 NSA'!D56</f>
        <v>0</v>
      </c>
      <c r="E56" s="440">
        <f>'T3 ANSP'!E56+'T3 MET'!E56+'T3 NSA'!E56</f>
        <v>0</v>
      </c>
      <c r="F56" s="422">
        <f>'T3 ANSP'!F56+'T3 MET'!F56+'T3 NSA'!F56</f>
        <v>0</v>
      </c>
      <c r="G56" s="422">
        <f>'T3 ANSP'!G56+'T3 MET'!G56+'T3 NSA'!G56</f>
        <v>0</v>
      </c>
      <c r="H56" s="422">
        <f>'T3 ANSP'!H56+'T3 MET'!H56+'T3 NSA'!H56</f>
        <v>0</v>
      </c>
      <c r="I56" s="422">
        <f>'T3 ANSP'!I56+'T3 MET'!I56+'T3 NSA'!I56</f>
        <v>0</v>
      </c>
      <c r="J56" s="422">
        <f>'T3 ANSP'!J56+'T3 MET'!J56+'T3 NSA'!J56</f>
        <v>0</v>
      </c>
      <c r="K56" s="422">
        <f>'T3 ANSP'!K56+'T3 MET'!K56+'T3 NSA'!K56</f>
        <v>0</v>
      </c>
      <c r="L56" s="422">
        <f>'T3 ANSP'!L56+'T3 MET'!L56+'T3 NSA'!L56</f>
        <v>0</v>
      </c>
      <c r="M56" s="439">
        <f>'T3 ANSP'!M56+'T3 MET'!M56+'T3 NSA'!M56</f>
        <v>0</v>
      </c>
      <c r="O56" s="404"/>
    </row>
    <row r="57" spans="1:15">
      <c r="A57" s="454">
        <v>2027</v>
      </c>
      <c r="B57" s="395"/>
      <c r="C57" s="405" t="s">
        <v>509</v>
      </c>
      <c r="D57" s="444">
        <f>'T3 ANSP'!D57+'T3 MET'!D57+'T3 NSA'!D57</f>
        <v>0</v>
      </c>
      <c r="E57" s="1318">
        <f>'T3 ANSP'!E57+'T3 MET'!E57+'T3 NSA'!E57</f>
        <v>0</v>
      </c>
      <c r="F57" s="462">
        <f>'T3 ANSP'!F57+'T3 MET'!F57+'T3 NSA'!F57</f>
        <v>0</v>
      </c>
      <c r="G57" s="462">
        <f>'T3 ANSP'!G57+'T3 MET'!G57+'T3 NSA'!G57</f>
        <v>0</v>
      </c>
      <c r="H57" s="462">
        <f>'T3 ANSP'!H57+'T3 MET'!H57+'T3 NSA'!H57</f>
        <v>0</v>
      </c>
      <c r="I57" s="462">
        <f>'T3 ANSP'!I57+'T3 MET'!I57+'T3 NSA'!I57</f>
        <v>0</v>
      </c>
      <c r="J57" s="462">
        <f>'T3 ANSP'!J57+'T3 MET'!J57+'T3 NSA'!J57</f>
        <v>0</v>
      </c>
      <c r="K57" s="462">
        <f>'T3 ANSP'!K57+'T3 MET'!K57+'T3 NSA'!K57</f>
        <v>0</v>
      </c>
      <c r="L57" s="462">
        <f>'T3 ANSP'!L57+'T3 MET'!L57+'T3 NSA'!L57</f>
        <v>0</v>
      </c>
      <c r="M57" s="1056">
        <f>'T3 ANSP'!M57+'T3 MET'!M57+'T3 NSA'!M57</f>
        <v>0</v>
      </c>
      <c r="O57" s="404"/>
    </row>
    <row r="58" spans="1:15">
      <c r="A58" s="454" t="s">
        <v>475</v>
      </c>
      <c r="B58" s="395"/>
      <c r="C58" s="430" t="s">
        <v>915</v>
      </c>
      <c r="D58" s="431">
        <f>'T3 ANSP'!D58+'T3 MET'!D58+'T3 NSA'!D58</f>
        <v>-3796.7633677199701</v>
      </c>
      <c r="E58" s="479">
        <f>'T3 ANSP'!E58+'T3 MET'!E58+'T3 NSA'!E58</f>
        <v>0</v>
      </c>
      <c r="F58" s="433">
        <f>'T3 ANSP'!F58+'T3 MET'!F58+'T3 NSA'!F58</f>
        <v>0</v>
      </c>
      <c r="G58" s="433">
        <f>'T3 ANSP'!G58+'T3 MET'!G58+'T3 NSA'!G58</f>
        <v>-3711.3231999999698</v>
      </c>
      <c r="H58" s="433">
        <f>'T3 ANSP'!H58+'T3 MET'!H58+'T3 NSA'!H58</f>
        <v>0.26560000000608852</v>
      </c>
      <c r="I58" s="433">
        <f>'T3 ANSP'!I58+'T3 MET'!I58+'T3 NSA'!I58</f>
        <v>-85.705767720006406</v>
      </c>
      <c r="J58" s="433">
        <f>'T3 ANSP'!J58+'T3 MET'!J58+'T3 NSA'!J58</f>
        <v>0</v>
      </c>
      <c r="K58" s="433">
        <f>'T3 ANSP'!K58+'T3 MET'!K58+'T3 NSA'!K58</f>
        <v>0</v>
      </c>
      <c r="L58" s="433">
        <f>'T3 ANSP'!L58+'T3 MET'!L58+'T3 NSA'!L58</f>
        <v>0</v>
      </c>
      <c r="M58" s="1055">
        <f>'T3 ANSP'!M58+'T3 MET'!M58+'T3 NSA'!M58</f>
        <v>0</v>
      </c>
      <c r="O58" s="404"/>
    </row>
    <row r="59" spans="1:15">
      <c r="A59" s="748"/>
      <c r="B59" s="395"/>
      <c r="C59" s="481"/>
      <c r="D59" s="446"/>
      <c r="E59" s="446"/>
      <c r="F59" s="446"/>
      <c r="G59" s="446"/>
      <c r="H59" s="446"/>
      <c r="I59" s="446"/>
      <c r="J59" s="446"/>
      <c r="K59" s="446"/>
      <c r="L59" s="446"/>
      <c r="M59" s="446"/>
      <c r="O59" s="404"/>
    </row>
    <row r="60" spans="1:15">
      <c r="A60" s="454">
        <v>2020</v>
      </c>
      <c r="B60" s="395"/>
      <c r="C60" s="397" t="s">
        <v>511</v>
      </c>
      <c r="D60" s="442">
        <f>'T3 ANSP'!D60+'T3 MET'!D60+'T3 NSA'!D60</f>
        <v>-3808.3130923808203</v>
      </c>
      <c r="E60" s="437">
        <f>'T3 ANSP'!E60+'T3 MET'!E60+'T3 NSA'!E60</f>
        <v>0</v>
      </c>
      <c r="F60" s="420">
        <f>'T3 ANSP'!F60+'T3 MET'!F60+'T3 NSA'!F60</f>
        <v>0</v>
      </c>
      <c r="G60" s="420">
        <f>'T3 ANSP'!G60+'T3 MET'!G60+'T3 NSA'!G60</f>
        <v>-3808.3130923808203</v>
      </c>
      <c r="H60" s="420">
        <f>'T3 ANSP'!H60+'T3 MET'!H60+'T3 NSA'!H60</f>
        <v>0</v>
      </c>
      <c r="I60" s="420">
        <f>'T3 ANSP'!I60+'T3 MET'!I60+'T3 NSA'!I60</f>
        <v>0</v>
      </c>
      <c r="J60" s="420">
        <f>'T3 ANSP'!J60+'T3 MET'!J60+'T3 NSA'!J60</f>
        <v>0</v>
      </c>
      <c r="K60" s="420">
        <f>'T3 ANSP'!K60+'T3 MET'!K60+'T3 NSA'!K60</f>
        <v>0</v>
      </c>
      <c r="L60" s="420">
        <f>'T3 ANSP'!L60+'T3 MET'!L60+'T3 NSA'!L60</f>
        <v>0</v>
      </c>
      <c r="M60" s="436">
        <f>'T3 ANSP'!M60+'T3 MET'!M60+'T3 NSA'!M60</f>
        <v>0</v>
      </c>
      <c r="O60" s="404"/>
    </row>
    <row r="61" spans="1:15">
      <c r="A61" s="454">
        <v>2021</v>
      </c>
      <c r="B61" s="395"/>
      <c r="C61" s="405" t="s">
        <v>512</v>
      </c>
      <c r="D61" s="443">
        <f>'T3 ANSP'!D61+'T3 MET'!D61+'T3 NSA'!D61</f>
        <v>-6609.2647955020075</v>
      </c>
      <c r="E61" s="440">
        <f>'T3 ANSP'!E61+'T3 MET'!E61+'T3 NSA'!E61</f>
        <v>0</v>
      </c>
      <c r="F61" s="422">
        <f>'T3 ANSP'!F61+'T3 MET'!F61+'T3 NSA'!F61</f>
        <v>0</v>
      </c>
      <c r="G61" s="422">
        <f>'T3 ANSP'!G61+'T3 MET'!G61+'T3 NSA'!G61</f>
        <v>0</v>
      </c>
      <c r="H61" s="422">
        <f>'T3 ANSP'!H61+'T3 MET'!H61+'T3 NSA'!H61</f>
        <v>-6609.2647955020075</v>
      </c>
      <c r="I61" s="422">
        <f>'T3 ANSP'!I61+'T3 MET'!I61+'T3 NSA'!I61</f>
        <v>0</v>
      </c>
      <c r="J61" s="422">
        <f>'T3 ANSP'!J61+'T3 MET'!J61+'T3 NSA'!J61</f>
        <v>0</v>
      </c>
      <c r="K61" s="422">
        <f>'T3 ANSP'!K61+'T3 MET'!K61+'T3 NSA'!K61</f>
        <v>0</v>
      </c>
      <c r="L61" s="422">
        <f>'T3 ANSP'!L61+'T3 MET'!L61+'T3 NSA'!L61</f>
        <v>0</v>
      </c>
      <c r="M61" s="439">
        <f>'T3 ANSP'!M61+'T3 MET'!M61+'T3 NSA'!M61</f>
        <v>0</v>
      </c>
      <c r="O61" s="404"/>
    </row>
    <row r="62" spans="1:15">
      <c r="A62" s="454">
        <v>2022</v>
      </c>
      <c r="B62" s="395"/>
      <c r="C62" s="405" t="s">
        <v>513</v>
      </c>
      <c r="D62" s="443">
        <f>'T3 ANSP'!D62+'T3 MET'!D62+'T3 NSA'!D62</f>
        <v>2137.4447000479995</v>
      </c>
      <c r="E62" s="440">
        <f>'T3 ANSP'!E62+'T3 MET'!E62+'T3 NSA'!E62</f>
        <v>0</v>
      </c>
      <c r="F62" s="422">
        <f>'T3 ANSP'!F62+'T3 MET'!F62+'T3 NSA'!F62</f>
        <v>0</v>
      </c>
      <c r="G62" s="422">
        <f>'T3 ANSP'!G62+'T3 MET'!G62+'T3 NSA'!G62</f>
        <v>0</v>
      </c>
      <c r="H62" s="422">
        <f>'T3 ANSP'!H62+'T3 MET'!H62+'T3 NSA'!H62</f>
        <v>0</v>
      </c>
      <c r="I62" s="422">
        <f>'T3 ANSP'!I62+'T3 MET'!I62+'T3 NSA'!I62</f>
        <v>2137.4447000479995</v>
      </c>
      <c r="J62" s="422">
        <f>'T3 ANSP'!J62+'T3 MET'!J62+'T3 NSA'!J62</f>
        <v>0</v>
      </c>
      <c r="K62" s="422">
        <f>'T3 ANSP'!K62+'T3 MET'!K62+'T3 NSA'!K62</f>
        <v>0</v>
      </c>
      <c r="L62" s="422">
        <f>'T3 ANSP'!L62+'T3 MET'!L62+'T3 NSA'!L62</f>
        <v>0</v>
      </c>
      <c r="M62" s="439">
        <f>'T3 ANSP'!M62+'T3 MET'!M62+'T3 NSA'!M62</f>
        <v>0</v>
      </c>
      <c r="O62" s="404"/>
    </row>
    <row r="63" spans="1:15">
      <c r="A63" s="454" t="s">
        <v>468</v>
      </c>
      <c r="B63" s="395"/>
      <c r="C63" s="412" t="s">
        <v>514</v>
      </c>
      <c r="D63" s="413">
        <f>'T3 ANSP'!D63+'T3 MET'!D63+'T3 NSA'!D63</f>
        <v>-8280.1331878348283</v>
      </c>
      <c r="E63" s="414">
        <f>'T3 ANSP'!E63+'T3 MET'!E63+'T3 NSA'!E63</f>
        <v>0</v>
      </c>
      <c r="F63" s="415">
        <f>'T3 ANSP'!F63+'T3 MET'!F63+'T3 NSA'!F63</f>
        <v>0</v>
      </c>
      <c r="G63" s="415">
        <f>'T3 ANSP'!G63+'T3 MET'!G63+'T3 NSA'!G63</f>
        <v>-3808.3130923808203</v>
      </c>
      <c r="H63" s="415">
        <f>'T3 ANSP'!H63+'T3 MET'!H63+'T3 NSA'!H63</f>
        <v>-6609.2647955020075</v>
      </c>
      <c r="I63" s="415">
        <f>'T3 ANSP'!I63+'T3 MET'!I63+'T3 NSA'!I63</f>
        <v>2137.4447000479995</v>
      </c>
      <c r="J63" s="415">
        <f>'T3 ANSP'!J63+'T3 MET'!J63+'T3 NSA'!J63</f>
        <v>0</v>
      </c>
      <c r="K63" s="415">
        <f>'T3 ANSP'!K63+'T3 MET'!K63+'T3 NSA'!K63</f>
        <v>0</v>
      </c>
      <c r="L63" s="415">
        <f>'T3 ANSP'!L63+'T3 MET'!L63+'T3 NSA'!L63</f>
        <v>0</v>
      </c>
      <c r="M63" s="1031">
        <f>'T3 ANSP'!M63+'T3 MET'!M63+'T3 NSA'!M63</f>
        <v>0</v>
      </c>
      <c r="O63" s="404"/>
    </row>
    <row r="64" spans="1:15">
      <c r="A64" s="454">
        <v>2023</v>
      </c>
      <c r="B64" s="395"/>
      <c r="C64" s="405" t="s">
        <v>515</v>
      </c>
      <c r="D64" s="443">
        <f>'T3 ANSP'!D64+'T3 MET'!D64+'T3 NSA'!D64</f>
        <v>0</v>
      </c>
      <c r="E64" s="440">
        <f>'T3 ANSP'!E64+'T3 MET'!E64+'T3 NSA'!E64</f>
        <v>0</v>
      </c>
      <c r="F64" s="422">
        <f>'T3 ANSP'!F64+'T3 MET'!F64+'T3 NSA'!F64</f>
        <v>0</v>
      </c>
      <c r="G64" s="422">
        <f>'T3 ANSP'!G64+'T3 MET'!G64+'T3 NSA'!G64</f>
        <v>0</v>
      </c>
      <c r="H64" s="422">
        <f>'T3 ANSP'!H64+'T3 MET'!H64+'T3 NSA'!H64</f>
        <v>0</v>
      </c>
      <c r="I64" s="422">
        <f>'T3 ANSP'!I64+'T3 MET'!I64+'T3 NSA'!I64</f>
        <v>0</v>
      </c>
      <c r="J64" s="422">
        <f>'T3 ANSP'!J64+'T3 MET'!J64+'T3 NSA'!J64</f>
        <v>0</v>
      </c>
      <c r="K64" s="422">
        <f>'T3 ANSP'!K64+'T3 MET'!K64+'T3 NSA'!K64</f>
        <v>0</v>
      </c>
      <c r="L64" s="422">
        <f>'T3 ANSP'!L64+'T3 MET'!L64+'T3 NSA'!L64</f>
        <v>0</v>
      </c>
      <c r="M64" s="439">
        <f>'T3 ANSP'!M64+'T3 MET'!M64+'T3 NSA'!M64</f>
        <v>0</v>
      </c>
      <c r="O64" s="404"/>
    </row>
    <row r="65" spans="1:15">
      <c r="A65" s="454">
        <v>2024</v>
      </c>
      <c r="B65" s="395"/>
      <c r="C65" s="405" t="s">
        <v>516</v>
      </c>
      <c r="D65" s="443">
        <f>'T3 ANSP'!D65+'T3 MET'!D65+'T3 NSA'!D65</f>
        <v>0</v>
      </c>
      <c r="E65" s="440">
        <f>'T3 ANSP'!E65+'T3 MET'!E65+'T3 NSA'!E65</f>
        <v>0</v>
      </c>
      <c r="F65" s="422">
        <f>'T3 ANSP'!F65+'T3 MET'!F65+'T3 NSA'!F65</f>
        <v>0</v>
      </c>
      <c r="G65" s="422">
        <f>'T3 ANSP'!G65+'T3 MET'!G65+'T3 NSA'!G65</f>
        <v>0</v>
      </c>
      <c r="H65" s="422">
        <f>'T3 ANSP'!H65+'T3 MET'!H65+'T3 NSA'!H65</f>
        <v>0</v>
      </c>
      <c r="I65" s="422">
        <f>'T3 ANSP'!I65+'T3 MET'!I65+'T3 NSA'!I65</f>
        <v>0</v>
      </c>
      <c r="J65" s="422">
        <f>'T3 ANSP'!J65+'T3 MET'!J65+'T3 NSA'!J65</f>
        <v>0</v>
      </c>
      <c r="K65" s="422">
        <f>'T3 ANSP'!K65+'T3 MET'!K65+'T3 NSA'!K65</f>
        <v>0</v>
      </c>
      <c r="L65" s="422">
        <f>'T3 ANSP'!L65+'T3 MET'!L65+'T3 NSA'!L65</f>
        <v>0</v>
      </c>
      <c r="M65" s="439">
        <f>'T3 ANSP'!M65+'T3 MET'!M65+'T3 NSA'!M65</f>
        <v>0</v>
      </c>
      <c r="O65" s="404"/>
    </row>
    <row r="66" spans="1:15">
      <c r="A66" s="454">
        <v>2025</v>
      </c>
      <c r="B66" s="395"/>
      <c r="C66" s="405" t="s">
        <v>517</v>
      </c>
      <c r="D66" s="443">
        <f>'T3 ANSP'!D66+'T3 MET'!D66+'T3 NSA'!D66</f>
        <v>0</v>
      </c>
      <c r="E66" s="440">
        <f>'T3 ANSP'!E66+'T3 MET'!E66+'T3 NSA'!E66</f>
        <v>0</v>
      </c>
      <c r="F66" s="422">
        <f>'T3 ANSP'!F66+'T3 MET'!F66+'T3 NSA'!F66</f>
        <v>0</v>
      </c>
      <c r="G66" s="422">
        <f>'T3 ANSP'!G66+'T3 MET'!G66+'T3 NSA'!G66</f>
        <v>0</v>
      </c>
      <c r="H66" s="422">
        <f>'T3 ANSP'!H66+'T3 MET'!H66+'T3 NSA'!H66</f>
        <v>0</v>
      </c>
      <c r="I66" s="422">
        <f>'T3 ANSP'!I66+'T3 MET'!I66+'T3 NSA'!I66</f>
        <v>0</v>
      </c>
      <c r="J66" s="422">
        <f>'T3 ANSP'!J66+'T3 MET'!J66+'T3 NSA'!J66</f>
        <v>0</v>
      </c>
      <c r="K66" s="422">
        <f>'T3 ANSP'!K66+'T3 MET'!K66+'T3 NSA'!K66</f>
        <v>0</v>
      </c>
      <c r="L66" s="422">
        <f>'T3 ANSP'!L66+'T3 MET'!L66+'T3 NSA'!L66</f>
        <v>0</v>
      </c>
      <c r="M66" s="439">
        <f>'T3 ANSP'!M66+'T3 MET'!M66+'T3 NSA'!M66</f>
        <v>0</v>
      </c>
      <c r="O66" s="404"/>
    </row>
    <row r="67" spans="1:15">
      <c r="A67" s="454">
        <v>2026</v>
      </c>
      <c r="B67" s="395"/>
      <c r="C67" s="405" t="s">
        <v>518</v>
      </c>
      <c r="D67" s="443">
        <f>'T3 ANSP'!D67+'T3 MET'!D67+'T3 NSA'!D67</f>
        <v>0</v>
      </c>
      <c r="E67" s="440">
        <f>'T3 ANSP'!E67+'T3 MET'!E67+'T3 NSA'!E67</f>
        <v>0</v>
      </c>
      <c r="F67" s="422">
        <f>'T3 ANSP'!F67+'T3 MET'!F67+'T3 NSA'!F67</f>
        <v>0</v>
      </c>
      <c r="G67" s="422">
        <f>'T3 ANSP'!G67+'T3 MET'!G67+'T3 NSA'!G67</f>
        <v>0</v>
      </c>
      <c r="H67" s="422">
        <f>'T3 ANSP'!H67+'T3 MET'!H67+'T3 NSA'!H67</f>
        <v>0</v>
      </c>
      <c r="I67" s="422">
        <f>'T3 ANSP'!I67+'T3 MET'!I67+'T3 NSA'!I67</f>
        <v>0</v>
      </c>
      <c r="J67" s="422">
        <f>'T3 ANSP'!J67+'T3 MET'!J67+'T3 NSA'!J67</f>
        <v>0</v>
      </c>
      <c r="K67" s="422">
        <f>'T3 ANSP'!K67+'T3 MET'!K67+'T3 NSA'!K67</f>
        <v>0</v>
      </c>
      <c r="L67" s="422">
        <f>'T3 ANSP'!L67+'T3 MET'!L67+'T3 NSA'!L67</f>
        <v>0</v>
      </c>
      <c r="M67" s="439">
        <f>'T3 ANSP'!M67+'T3 MET'!M67+'T3 NSA'!M67</f>
        <v>0</v>
      </c>
      <c r="O67" s="404"/>
    </row>
    <row r="68" spans="1:15">
      <c r="A68" s="454">
        <v>2027</v>
      </c>
      <c r="B68" s="395"/>
      <c r="C68" s="405" t="s">
        <v>519</v>
      </c>
      <c r="D68" s="444">
        <f>'T3 ANSP'!D68+'T3 MET'!D68+'T3 NSA'!D68</f>
        <v>0</v>
      </c>
      <c r="E68" s="1318">
        <f>'T3 ANSP'!E68+'T3 MET'!E68+'T3 NSA'!E68</f>
        <v>0</v>
      </c>
      <c r="F68" s="462">
        <f>'T3 ANSP'!F68+'T3 MET'!F68+'T3 NSA'!F68</f>
        <v>0</v>
      </c>
      <c r="G68" s="462">
        <f>'T3 ANSP'!G68+'T3 MET'!G68+'T3 NSA'!G68</f>
        <v>0</v>
      </c>
      <c r="H68" s="462">
        <f>'T3 ANSP'!H68+'T3 MET'!H68+'T3 NSA'!H68</f>
        <v>0</v>
      </c>
      <c r="I68" s="462">
        <f>'T3 ANSP'!I68+'T3 MET'!I68+'T3 NSA'!I68</f>
        <v>0</v>
      </c>
      <c r="J68" s="462">
        <f>'T3 ANSP'!J68+'T3 MET'!J68+'T3 NSA'!J68</f>
        <v>0</v>
      </c>
      <c r="K68" s="462">
        <f>'T3 ANSP'!K68+'T3 MET'!K68+'T3 NSA'!K68</f>
        <v>0</v>
      </c>
      <c r="L68" s="462">
        <f>'T3 ANSP'!L68+'T3 MET'!L68+'T3 NSA'!L68</f>
        <v>0</v>
      </c>
      <c r="M68" s="1056">
        <f>'T3 ANSP'!M68+'T3 MET'!M68+'T3 NSA'!M68</f>
        <v>0</v>
      </c>
      <c r="O68" s="404"/>
    </row>
    <row r="69" spans="1:15">
      <c r="A69" s="454" t="s">
        <v>475</v>
      </c>
      <c r="B69" s="395"/>
      <c r="C69" s="430" t="s">
        <v>916</v>
      </c>
      <c r="D69" s="431">
        <f>'T3 ANSP'!D69+'T3 MET'!D69+'T3 NSA'!D69</f>
        <v>-8280.1331878348283</v>
      </c>
      <c r="E69" s="479">
        <f>'T3 ANSP'!E69+'T3 MET'!E69+'T3 NSA'!E69</f>
        <v>0</v>
      </c>
      <c r="F69" s="433">
        <f>'T3 ANSP'!F69+'T3 MET'!F69+'T3 NSA'!F69</f>
        <v>0</v>
      </c>
      <c r="G69" s="433">
        <f>'T3 ANSP'!G69+'T3 MET'!G69+'T3 NSA'!G69</f>
        <v>-3808.3130923808203</v>
      </c>
      <c r="H69" s="433">
        <f>'T3 ANSP'!H69+'T3 MET'!H69+'T3 NSA'!H69</f>
        <v>-6609.2647955020075</v>
      </c>
      <c r="I69" s="433">
        <f>'T3 ANSP'!I69+'T3 MET'!I69+'T3 NSA'!I69</f>
        <v>2137.4447000479995</v>
      </c>
      <c r="J69" s="433">
        <f>'T3 ANSP'!J69+'T3 MET'!J69+'T3 NSA'!J69</f>
        <v>0</v>
      </c>
      <c r="K69" s="433">
        <f>'T3 ANSP'!K69+'T3 MET'!K69+'T3 NSA'!K69</f>
        <v>0</v>
      </c>
      <c r="L69" s="433">
        <f>'T3 ANSP'!L69+'T3 MET'!L69+'T3 NSA'!L69</f>
        <v>0</v>
      </c>
      <c r="M69" s="1055">
        <f>'T3 ANSP'!M69+'T3 MET'!M69+'T3 NSA'!M69</f>
        <v>0</v>
      </c>
      <c r="O69" s="404"/>
    </row>
    <row r="70" spans="1:15">
      <c r="A70" s="748"/>
      <c r="B70" s="395"/>
      <c r="C70" s="481"/>
      <c r="D70" s="445"/>
      <c r="E70" s="446"/>
      <c r="F70" s="446"/>
      <c r="G70" s="446"/>
      <c r="H70" s="446"/>
      <c r="I70" s="446"/>
      <c r="J70" s="446"/>
      <c r="K70" s="446"/>
      <c r="L70" s="446"/>
      <c r="M70" s="446"/>
      <c r="O70" s="404"/>
    </row>
    <row r="71" spans="1:15">
      <c r="A71" s="454">
        <v>2020</v>
      </c>
      <c r="B71" s="395"/>
      <c r="C71" s="397" t="s">
        <v>521</v>
      </c>
      <c r="D71" s="442">
        <f>'T3 ANSP'!D71+'T3 MET'!D71+'T3 NSA'!D71</f>
        <v>0</v>
      </c>
      <c r="E71" s="437">
        <f>'T3 ANSP'!E71+'T3 MET'!E71+'T3 NSA'!E71</f>
        <v>0</v>
      </c>
      <c r="F71" s="420">
        <f>'T3 ANSP'!F71+'T3 MET'!F71+'T3 NSA'!F71</f>
        <v>0</v>
      </c>
      <c r="G71" s="486">
        <f>'T3 ANSP'!G71+'T3 MET'!G71+'T3 NSA'!G71</f>
        <v>0</v>
      </c>
      <c r="H71" s="420">
        <f>'T3 ANSP'!H71+'T3 MET'!H71+'T3 NSA'!H71</f>
        <v>0</v>
      </c>
      <c r="I71" s="1315">
        <f>'T3 ANSP'!I71+'T3 MET'!I71+'T3 NSA'!I71</f>
        <v>0</v>
      </c>
      <c r="J71" s="1315">
        <f>'T3 ANSP'!J71+'T3 MET'!J71+'T3 NSA'!J71</f>
        <v>0</v>
      </c>
      <c r="K71" s="1315">
        <f>'T3 ANSP'!K71+'T3 MET'!K71+'T3 NSA'!K71</f>
        <v>0</v>
      </c>
      <c r="L71" s="1315">
        <f>'T3 ANSP'!L71+'T3 MET'!L71+'T3 NSA'!L71</f>
        <v>0</v>
      </c>
      <c r="M71" s="436">
        <f>'T3 ANSP'!M71+'T3 MET'!M71+'T3 NSA'!M71</f>
        <v>0</v>
      </c>
      <c r="O71" s="404"/>
    </row>
    <row r="72" spans="1:15">
      <c r="A72" s="454">
        <v>2021</v>
      </c>
      <c r="B72" s="395"/>
      <c r="C72" s="405" t="s">
        <v>522</v>
      </c>
      <c r="D72" s="443">
        <f>'T3 ANSP'!D72+'T3 MET'!D72+'T3 NSA'!D72</f>
        <v>0</v>
      </c>
      <c r="E72" s="440">
        <f>'T3 ANSP'!E72+'T3 MET'!E72+'T3 NSA'!E72</f>
        <v>0</v>
      </c>
      <c r="F72" s="422">
        <f>'T3 ANSP'!F72+'T3 MET'!F72+'T3 NSA'!F72</f>
        <v>0</v>
      </c>
      <c r="G72" s="422">
        <f>'T3 ANSP'!G72+'T3 MET'!G72+'T3 NSA'!G72</f>
        <v>0</v>
      </c>
      <c r="H72" s="490">
        <f>'T3 ANSP'!H72+'T3 MET'!H72+'T3 NSA'!H72</f>
        <v>0</v>
      </c>
      <c r="I72" s="1041">
        <f>'T3 ANSP'!I72+'T3 MET'!I72+'T3 NSA'!I72</f>
        <v>0</v>
      </c>
      <c r="J72" s="1041">
        <f>'T3 ANSP'!J72+'T3 MET'!J72+'T3 NSA'!J72</f>
        <v>0</v>
      </c>
      <c r="K72" s="1041">
        <f>'T3 ANSP'!K72+'T3 MET'!K72+'T3 NSA'!K72</f>
        <v>0</v>
      </c>
      <c r="L72" s="1041">
        <f>'T3 ANSP'!L72+'T3 MET'!L72+'T3 NSA'!L72</f>
        <v>0</v>
      </c>
      <c r="M72" s="439">
        <f>'T3 ANSP'!M72+'T3 MET'!M72+'T3 NSA'!M72</f>
        <v>0</v>
      </c>
      <c r="O72" s="404"/>
    </row>
    <row r="73" spans="1:15">
      <c r="A73" s="454">
        <v>2022</v>
      </c>
      <c r="B73" s="395"/>
      <c r="C73" s="405" t="s">
        <v>523</v>
      </c>
      <c r="D73" s="443">
        <f>'T3 ANSP'!D73+'T3 MET'!D73+'T3 NSA'!D73</f>
        <v>0</v>
      </c>
      <c r="E73" s="440">
        <f>'T3 ANSP'!E73+'T3 MET'!E73+'T3 NSA'!E73</f>
        <v>0</v>
      </c>
      <c r="F73" s="422">
        <f>'T3 ANSP'!F73+'T3 MET'!F73+'T3 NSA'!F73</f>
        <v>0</v>
      </c>
      <c r="G73" s="422">
        <f>'T3 ANSP'!G73+'T3 MET'!G73+'T3 NSA'!G73</f>
        <v>0</v>
      </c>
      <c r="H73" s="422">
        <f>'T3 ANSP'!H73+'T3 MET'!H73+'T3 NSA'!H73</f>
        <v>0</v>
      </c>
      <c r="I73" s="1046">
        <f>'T3 ANSP'!I73+'T3 MET'!I73+'T3 NSA'!I73</f>
        <v>0</v>
      </c>
      <c r="J73" s="1046">
        <f>'T3 ANSP'!J73+'T3 MET'!J73+'T3 NSA'!J73</f>
        <v>0</v>
      </c>
      <c r="K73" s="1046">
        <f>'T3 ANSP'!K73+'T3 MET'!K73+'T3 NSA'!K73</f>
        <v>0</v>
      </c>
      <c r="L73" s="1046">
        <f>'T3 ANSP'!L73+'T3 MET'!L73+'T3 NSA'!L73</f>
        <v>0</v>
      </c>
      <c r="M73" s="439">
        <f>'T3 ANSP'!M73+'T3 MET'!M73+'T3 NSA'!M73</f>
        <v>0</v>
      </c>
      <c r="O73" s="404"/>
    </row>
    <row r="74" spans="1:15">
      <c r="A74" s="454" t="s">
        <v>468</v>
      </c>
      <c r="B74" s="395"/>
      <c r="C74" s="412" t="s">
        <v>524</v>
      </c>
      <c r="D74" s="413">
        <f>'T3 ANSP'!D74+'T3 MET'!D74+'T3 NSA'!D74</f>
        <v>0</v>
      </c>
      <c r="E74" s="414">
        <f>'T3 ANSP'!E74+'T3 MET'!E74+'T3 NSA'!E74</f>
        <v>0</v>
      </c>
      <c r="F74" s="415">
        <f>'T3 ANSP'!F74+'T3 MET'!F74+'T3 NSA'!F74</f>
        <v>0</v>
      </c>
      <c r="G74" s="415">
        <f>'T3 ANSP'!G74+'T3 MET'!G74+'T3 NSA'!G74</f>
        <v>0</v>
      </c>
      <c r="H74" s="415">
        <f>'T3 ANSP'!H74+'T3 MET'!H74+'T3 NSA'!H74</f>
        <v>0</v>
      </c>
      <c r="I74" s="415">
        <f>'T3 ANSP'!I74+'T3 MET'!I74+'T3 NSA'!I74</f>
        <v>0</v>
      </c>
      <c r="J74" s="415">
        <f>'T3 ANSP'!J74+'T3 MET'!J74+'T3 NSA'!J74</f>
        <v>0</v>
      </c>
      <c r="K74" s="415">
        <f>'T3 ANSP'!K74+'T3 MET'!K74+'T3 NSA'!K74</f>
        <v>0</v>
      </c>
      <c r="L74" s="415">
        <f>'T3 ANSP'!L74+'T3 MET'!L74+'T3 NSA'!L74</f>
        <v>0</v>
      </c>
      <c r="M74" s="1031">
        <f>'T3 ANSP'!M74+'T3 MET'!M74+'T3 NSA'!M74</f>
        <v>0</v>
      </c>
      <c r="O74" s="404"/>
    </row>
    <row r="75" spans="1:15">
      <c r="A75" s="454">
        <v>2023</v>
      </c>
      <c r="B75" s="395"/>
      <c r="C75" s="405" t="s">
        <v>525</v>
      </c>
      <c r="D75" s="443">
        <f>'T3 ANSP'!D75+'T3 MET'!D75+'T3 NSA'!D75</f>
        <v>0</v>
      </c>
      <c r="E75" s="440">
        <f>'T3 ANSP'!E75+'T3 MET'!E75+'T3 NSA'!E75</f>
        <v>0</v>
      </c>
      <c r="F75" s="422">
        <f>'T3 ANSP'!F75+'T3 MET'!F75+'T3 NSA'!F75</f>
        <v>0</v>
      </c>
      <c r="G75" s="422">
        <f>'T3 ANSP'!G75+'T3 MET'!G75+'T3 NSA'!G75</f>
        <v>0</v>
      </c>
      <c r="H75" s="422">
        <f>'T3 ANSP'!H75+'T3 MET'!H75+'T3 NSA'!H75</f>
        <v>0</v>
      </c>
      <c r="I75" s="1041">
        <f>'T3 ANSP'!I75+'T3 MET'!I75+'T3 NSA'!I75</f>
        <v>0</v>
      </c>
      <c r="J75" s="422">
        <f>'T3 ANSP'!J75+'T3 MET'!J75+'T3 NSA'!J75</f>
        <v>0</v>
      </c>
      <c r="K75" s="422">
        <f>'T3 ANSP'!K75+'T3 MET'!K75+'T3 NSA'!K75</f>
        <v>0</v>
      </c>
      <c r="L75" s="422">
        <f>'T3 ANSP'!L75+'T3 MET'!L75+'T3 NSA'!L75</f>
        <v>0</v>
      </c>
      <c r="M75" s="439">
        <f>'T3 ANSP'!M75+'T3 MET'!M75+'T3 NSA'!M75</f>
        <v>0</v>
      </c>
      <c r="O75" s="404"/>
    </row>
    <row r="76" spans="1:15">
      <c r="A76" s="454">
        <v>2024</v>
      </c>
      <c r="B76" s="395"/>
      <c r="C76" s="405" t="s">
        <v>526</v>
      </c>
      <c r="D76" s="443">
        <f>'T3 ANSP'!D76+'T3 MET'!D76+'T3 NSA'!D76</f>
        <v>0</v>
      </c>
      <c r="E76" s="440">
        <f>'T3 ANSP'!E76+'T3 MET'!E76+'T3 NSA'!E76</f>
        <v>0</v>
      </c>
      <c r="F76" s="422">
        <f>'T3 ANSP'!F76+'T3 MET'!F76+'T3 NSA'!F76</f>
        <v>0</v>
      </c>
      <c r="G76" s="422">
        <f>'T3 ANSP'!G76+'T3 MET'!G76+'T3 NSA'!G76</f>
        <v>0</v>
      </c>
      <c r="H76" s="422">
        <f>'T3 ANSP'!H76+'T3 MET'!H76+'T3 NSA'!H76</f>
        <v>0</v>
      </c>
      <c r="I76" s="1041">
        <f>'T3 ANSP'!I76+'T3 MET'!I76+'T3 NSA'!I76</f>
        <v>0</v>
      </c>
      <c r="J76" s="422">
        <f>'T3 ANSP'!J76+'T3 MET'!J76+'T3 NSA'!J76</f>
        <v>0</v>
      </c>
      <c r="K76" s="422">
        <f>'T3 ANSP'!K76+'T3 MET'!K76+'T3 NSA'!K76</f>
        <v>0</v>
      </c>
      <c r="L76" s="422">
        <f>'T3 ANSP'!L76+'T3 MET'!L76+'T3 NSA'!L76</f>
        <v>0</v>
      </c>
      <c r="M76" s="439">
        <f>'T3 ANSP'!M76+'T3 MET'!M76+'T3 NSA'!M76</f>
        <v>0</v>
      </c>
      <c r="O76" s="404"/>
    </row>
    <row r="77" spans="1:15">
      <c r="A77" s="454">
        <v>2025</v>
      </c>
      <c r="B77" s="395"/>
      <c r="C77" s="405" t="s">
        <v>527</v>
      </c>
      <c r="D77" s="443">
        <f>'T3 ANSP'!D77+'T3 MET'!D77+'T3 NSA'!D77</f>
        <v>0</v>
      </c>
      <c r="E77" s="440">
        <f>'T3 ANSP'!E77+'T3 MET'!E77+'T3 NSA'!E77</f>
        <v>0</v>
      </c>
      <c r="F77" s="422">
        <f>'T3 ANSP'!F77+'T3 MET'!F77+'T3 NSA'!F77</f>
        <v>0</v>
      </c>
      <c r="G77" s="422">
        <f>'T3 ANSP'!G77+'T3 MET'!G77+'T3 NSA'!G77</f>
        <v>0</v>
      </c>
      <c r="H77" s="422">
        <f>'T3 ANSP'!H77+'T3 MET'!H77+'T3 NSA'!H77</f>
        <v>0</v>
      </c>
      <c r="I77" s="1041">
        <f>'T3 ANSP'!I77+'T3 MET'!I77+'T3 NSA'!I77</f>
        <v>0</v>
      </c>
      <c r="J77" s="422">
        <f>'T3 ANSP'!J77+'T3 MET'!J77+'T3 NSA'!J77</f>
        <v>0</v>
      </c>
      <c r="K77" s="422">
        <f>'T3 ANSP'!K77+'T3 MET'!K77+'T3 NSA'!K77</f>
        <v>0</v>
      </c>
      <c r="L77" s="422">
        <f>'T3 ANSP'!L77+'T3 MET'!L77+'T3 NSA'!L77</f>
        <v>0</v>
      </c>
      <c r="M77" s="439">
        <f>'T3 ANSP'!M77+'T3 MET'!M77+'T3 NSA'!M77</f>
        <v>0</v>
      </c>
      <c r="O77" s="404"/>
    </row>
    <row r="78" spans="1:15">
      <c r="A78" s="454">
        <v>2026</v>
      </c>
      <c r="B78" s="395"/>
      <c r="C78" s="405" t="s">
        <v>528</v>
      </c>
      <c r="D78" s="443">
        <f>'T3 ANSP'!D78+'T3 MET'!D78+'T3 NSA'!D78</f>
        <v>0</v>
      </c>
      <c r="E78" s="440">
        <f>'T3 ANSP'!E78+'T3 MET'!E78+'T3 NSA'!E78</f>
        <v>0</v>
      </c>
      <c r="F78" s="422">
        <f>'T3 ANSP'!F78+'T3 MET'!F78+'T3 NSA'!F78</f>
        <v>0</v>
      </c>
      <c r="G78" s="422">
        <f>'T3 ANSP'!G78+'T3 MET'!G78+'T3 NSA'!G78</f>
        <v>0</v>
      </c>
      <c r="H78" s="422">
        <f>'T3 ANSP'!H78+'T3 MET'!H78+'T3 NSA'!H78</f>
        <v>0</v>
      </c>
      <c r="I78" s="1041">
        <f>'T3 ANSP'!I78+'T3 MET'!I78+'T3 NSA'!I78</f>
        <v>0</v>
      </c>
      <c r="J78" s="422">
        <f>'T3 ANSP'!J78+'T3 MET'!J78+'T3 NSA'!J78</f>
        <v>0</v>
      </c>
      <c r="K78" s="422">
        <f>'T3 ANSP'!K78+'T3 MET'!K78+'T3 NSA'!K78</f>
        <v>0</v>
      </c>
      <c r="L78" s="422">
        <f>'T3 ANSP'!L78+'T3 MET'!L78+'T3 NSA'!L78</f>
        <v>0</v>
      </c>
      <c r="M78" s="439">
        <f>'T3 ANSP'!M78+'T3 MET'!M78+'T3 NSA'!M78</f>
        <v>0</v>
      </c>
      <c r="O78" s="404"/>
    </row>
    <row r="79" spans="1:15">
      <c r="A79" s="454">
        <v>2027</v>
      </c>
      <c r="B79" s="395"/>
      <c r="C79" s="405" t="s">
        <v>529</v>
      </c>
      <c r="D79" s="444">
        <f>'T3 ANSP'!D79+'T3 MET'!D79+'T3 NSA'!D79</f>
        <v>0</v>
      </c>
      <c r="E79" s="1318">
        <f>'T3 ANSP'!E79+'T3 MET'!E79+'T3 NSA'!E79</f>
        <v>0</v>
      </c>
      <c r="F79" s="462">
        <f>'T3 ANSP'!F79+'T3 MET'!F79+'T3 NSA'!F79</f>
        <v>0</v>
      </c>
      <c r="G79" s="462">
        <f>'T3 ANSP'!G79+'T3 MET'!G79+'T3 NSA'!G79</f>
        <v>0</v>
      </c>
      <c r="H79" s="462">
        <f>'T3 ANSP'!H79+'T3 MET'!H79+'T3 NSA'!H79</f>
        <v>0</v>
      </c>
      <c r="I79" s="1322">
        <f>'T3 ANSP'!I79+'T3 MET'!I79+'T3 NSA'!I79</f>
        <v>0</v>
      </c>
      <c r="J79" s="462">
        <f>'T3 ANSP'!J79+'T3 MET'!J79+'T3 NSA'!J79</f>
        <v>0</v>
      </c>
      <c r="K79" s="462">
        <f>'T3 ANSP'!K79+'T3 MET'!K79+'T3 NSA'!K79</f>
        <v>0</v>
      </c>
      <c r="L79" s="462">
        <f>'T3 ANSP'!L79+'T3 MET'!L79+'T3 NSA'!L79</f>
        <v>0</v>
      </c>
      <c r="M79" s="1056">
        <f>'T3 ANSP'!M79+'T3 MET'!M79+'T3 NSA'!M79</f>
        <v>0</v>
      </c>
      <c r="O79" s="404"/>
    </row>
    <row r="80" spans="1:15">
      <c r="A80" s="454" t="s">
        <v>475</v>
      </c>
      <c r="B80" s="395"/>
      <c r="C80" s="430" t="s">
        <v>917</v>
      </c>
      <c r="D80" s="431">
        <f>'T3 ANSP'!D80+'T3 MET'!D80+'T3 NSA'!D80</f>
        <v>0</v>
      </c>
      <c r="E80" s="479">
        <f>'T3 ANSP'!E80+'T3 MET'!E80+'T3 NSA'!E80</f>
        <v>0</v>
      </c>
      <c r="F80" s="433">
        <f>'T3 ANSP'!F80+'T3 MET'!F80+'T3 NSA'!F80</f>
        <v>0</v>
      </c>
      <c r="G80" s="433">
        <f>'T3 ANSP'!G80+'T3 MET'!G80+'T3 NSA'!G80</f>
        <v>0</v>
      </c>
      <c r="H80" s="433">
        <f>'T3 ANSP'!H80+'T3 MET'!H80+'T3 NSA'!H80</f>
        <v>0</v>
      </c>
      <c r="I80" s="433">
        <f>'T3 ANSP'!I80+'T3 MET'!I80+'T3 NSA'!I80</f>
        <v>0</v>
      </c>
      <c r="J80" s="433">
        <f>'T3 ANSP'!J80+'T3 MET'!J80+'T3 NSA'!J80</f>
        <v>0</v>
      </c>
      <c r="K80" s="433">
        <f>'T3 ANSP'!K80+'T3 MET'!K80+'T3 NSA'!K80</f>
        <v>0</v>
      </c>
      <c r="L80" s="433">
        <f>'T3 ANSP'!L80+'T3 MET'!L80+'T3 NSA'!L80</f>
        <v>0</v>
      </c>
      <c r="M80" s="1055">
        <f>'T3 ANSP'!M80+'T3 MET'!M80+'T3 NSA'!M80</f>
        <v>0</v>
      </c>
      <c r="O80" s="404"/>
    </row>
    <row r="81" spans="1:15">
      <c r="A81" s="748"/>
      <c r="B81" s="395"/>
      <c r="C81" s="481"/>
      <c r="D81" s="445"/>
      <c r="E81" s="446"/>
      <c r="F81" s="446"/>
      <c r="G81" s="446"/>
      <c r="H81" s="446"/>
      <c r="I81" s="446"/>
      <c r="J81" s="446"/>
      <c r="K81" s="446"/>
      <c r="L81" s="446"/>
      <c r="M81" s="446"/>
      <c r="O81" s="404"/>
    </row>
    <row r="82" spans="1:15">
      <c r="A82" s="454">
        <v>2020</v>
      </c>
      <c r="B82" s="395"/>
      <c r="C82" s="397" t="s">
        <v>531</v>
      </c>
      <c r="D82" s="442">
        <f>'T3 ANSP'!D82+'T3 MET'!D82+'T3 NSA'!D82</f>
        <v>0</v>
      </c>
      <c r="E82" s="437">
        <f>'T3 ANSP'!E82+'T3 MET'!E82+'T3 NSA'!E82</f>
        <v>0</v>
      </c>
      <c r="F82" s="420">
        <f>'T3 ANSP'!F82+'T3 MET'!F82+'T3 NSA'!F82</f>
        <v>0</v>
      </c>
      <c r="G82" s="486">
        <f>'T3 ANSP'!G82+'T3 MET'!G82+'T3 NSA'!G82</f>
        <v>0</v>
      </c>
      <c r="H82" s="420">
        <f>'T3 ANSP'!H82+'T3 MET'!H82+'T3 NSA'!H82</f>
        <v>0</v>
      </c>
      <c r="I82" s="1315">
        <f>'T3 ANSP'!I82+'T3 MET'!I82+'T3 NSA'!I82</f>
        <v>0</v>
      </c>
      <c r="J82" s="1315">
        <f>'T3 ANSP'!J82+'T3 MET'!J82+'T3 NSA'!J82</f>
        <v>0</v>
      </c>
      <c r="K82" s="1315">
        <f>'T3 ANSP'!K82+'T3 MET'!K82+'T3 NSA'!K82</f>
        <v>0</v>
      </c>
      <c r="L82" s="1315">
        <f>'T3 ANSP'!L82+'T3 MET'!L82+'T3 NSA'!L82</f>
        <v>0</v>
      </c>
      <c r="M82" s="436">
        <f>'T3 ANSP'!M82+'T3 MET'!M82+'T3 NSA'!M82</f>
        <v>0</v>
      </c>
      <c r="O82" s="404"/>
    </row>
    <row r="83" spans="1:15">
      <c r="A83" s="454">
        <v>2021</v>
      </c>
      <c r="B83" s="395"/>
      <c r="C83" s="405" t="s">
        <v>532</v>
      </c>
      <c r="D83" s="443">
        <f>'T3 ANSP'!D83+'T3 MET'!D83+'T3 NSA'!D83</f>
        <v>0</v>
      </c>
      <c r="E83" s="440">
        <f>'T3 ANSP'!E83+'T3 MET'!E83+'T3 NSA'!E83</f>
        <v>0</v>
      </c>
      <c r="F83" s="422">
        <f>'T3 ANSP'!F83+'T3 MET'!F83+'T3 NSA'!F83</f>
        <v>0</v>
      </c>
      <c r="G83" s="422">
        <f>'T3 ANSP'!G83+'T3 MET'!G83+'T3 NSA'!G83</f>
        <v>0</v>
      </c>
      <c r="H83" s="490">
        <f>'T3 ANSP'!H83+'T3 MET'!H83+'T3 NSA'!H83</f>
        <v>0</v>
      </c>
      <c r="I83" s="1041">
        <f>'T3 ANSP'!I83+'T3 MET'!I83+'T3 NSA'!I83</f>
        <v>0</v>
      </c>
      <c r="J83" s="422">
        <f>'T3 ANSP'!J83+'T3 MET'!J83+'T3 NSA'!J83</f>
        <v>0</v>
      </c>
      <c r="K83" s="422">
        <f>'T3 ANSP'!K83+'T3 MET'!K83+'T3 NSA'!K83</f>
        <v>0</v>
      </c>
      <c r="L83" s="422">
        <f>'T3 ANSP'!L83+'T3 MET'!L83+'T3 NSA'!L83</f>
        <v>0</v>
      </c>
      <c r="M83" s="439">
        <f>'T3 ANSP'!M83+'T3 MET'!M83+'T3 NSA'!M83</f>
        <v>0</v>
      </c>
      <c r="O83" s="404"/>
    </row>
    <row r="84" spans="1:15">
      <c r="A84" s="454">
        <v>2022</v>
      </c>
      <c r="B84" s="395"/>
      <c r="C84" s="405" t="s">
        <v>533</v>
      </c>
      <c r="D84" s="443">
        <f>'T3 ANSP'!D84+'T3 MET'!D84+'T3 NSA'!D84</f>
        <v>0</v>
      </c>
      <c r="E84" s="440">
        <f>'T3 ANSP'!E84+'T3 MET'!E84+'T3 NSA'!E84</f>
        <v>0</v>
      </c>
      <c r="F84" s="422">
        <f>'T3 ANSP'!F84+'T3 MET'!F84+'T3 NSA'!F84</f>
        <v>0</v>
      </c>
      <c r="G84" s="422">
        <f>'T3 ANSP'!G84+'T3 MET'!G84+'T3 NSA'!G84</f>
        <v>0</v>
      </c>
      <c r="H84" s="422">
        <f>'T3 ANSP'!H84+'T3 MET'!H84+'T3 NSA'!H84</f>
        <v>0</v>
      </c>
      <c r="I84" s="1046">
        <f>'T3 ANSP'!I84+'T3 MET'!I84+'T3 NSA'!I84</f>
        <v>0</v>
      </c>
      <c r="J84" s="462">
        <f>'T3 ANSP'!J84+'T3 MET'!J84+'T3 NSA'!J84</f>
        <v>0</v>
      </c>
      <c r="K84" s="462">
        <f>'T3 ANSP'!K84+'T3 MET'!K84+'T3 NSA'!K84</f>
        <v>0</v>
      </c>
      <c r="L84" s="462">
        <f>'T3 ANSP'!L84+'T3 MET'!L84+'T3 NSA'!L84</f>
        <v>0</v>
      </c>
      <c r="M84" s="439">
        <f>'T3 ANSP'!M84+'T3 MET'!M84+'T3 NSA'!M84</f>
        <v>0</v>
      </c>
      <c r="O84" s="404"/>
    </row>
    <row r="85" spans="1:15">
      <c r="A85" s="454" t="s">
        <v>468</v>
      </c>
      <c r="B85" s="395"/>
      <c r="C85" s="412" t="s">
        <v>534</v>
      </c>
      <c r="D85" s="413">
        <f>'T3 ANSP'!D85+'T3 MET'!D85+'T3 NSA'!D85</f>
        <v>0</v>
      </c>
      <c r="E85" s="414">
        <f>'T3 ANSP'!E85+'T3 MET'!E85+'T3 NSA'!E85</f>
        <v>0</v>
      </c>
      <c r="F85" s="415">
        <f>'T3 ANSP'!F85+'T3 MET'!F85+'T3 NSA'!F85</f>
        <v>0</v>
      </c>
      <c r="G85" s="415">
        <f>'T3 ANSP'!G85+'T3 MET'!G85+'T3 NSA'!G85</f>
        <v>0</v>
      </c>
      <c r="H85" s="415">
        <f>'T3 ANSP'!H85+'T3 MET'!H85+'T3 NSA'!H85</f>
        <v>0</v>
      </c>
      <c r="I85" s="415">
        <f>'T3 ANSP'!I85+'T3 MET'!I85+'T3 NSA'!I85</f>
        <v>0</v>
      </c>
      <c r="J85" s="415">
        <f>'T3 ANSP'!J85+'T3 MET'!J85+'T3 NSA'!J85</f>
        <v>0</v>
      </c>
      <c r="K85" s="415">
        <f>'T3 ANSP'!K85+'T3 MET'!K85+'T3 NSA'!K85</f>
        <v>0</v>
      </c>
      <c r="L85" s="415">
        <f>'T3 ANSP'!L85+'T3 MET'!L85+'T3 NSA'!L85</f>
        <v>0</v>
      </c>
      <c r="M85" s="1031">
        <f>'T3 ANSP'!M85+'T3 MET'!M85+'T3 NSA'!M85</f>
        <v>0</v>
      </c>
      <c r="O85" s="404"/>
    </row>
    <row r="86" spans="1:15">
      <c r="A86" s="454">
        <v>2023</v>
      </c>
      <c r="B86" s="395"/>
      <c r="C86" s="405" t="s">
        <v>535</v>
      </c>
      <c r="D86" s="442">
        <f>'T3 ANSP'!D86+'T3 MET'!D86+'T3 NSA'!D86</f>
        <v>0</v>
      </c>
      <c r="E86" s="440">
        <f>'T3 ANSP'!E86+'T3 MET'!E86+'T3 NSA'!E86</f>
        <v>0</v>
      </c>
      <c r="F86" s="422">
        <f>'T3 ANSP'!F86+'T3 MET'!F86+'T3 NSA'!F86</f>
        <v>0</v>
      </c>
      <c r="G86" s="422">
        <f>'T3 ANSP'!G86+'T3 MET'!G86+'T3 NSA'!G86</f>
        <v>0</v>
      </c>
      <c r="H86" s="422">
        <f>'T3 ANSP'!H86+'T3 MET'!H86+'T3 NSA'!H86</f>
        <v>0</v>
      </c>
      <c r="I86" s="1041">
        <f>'T3 ANSP'!I86+'T3 MET'!I86+'T3 NSA'!I86</f>
        <v>0</v>
      </c>
      <c r="J86" s="422">
        <f>'T3 ANSP'!J86+'T3 MET'!J86+'T3 NSA'!J86</f>
        <v>0</v>
      </c>
      <c r="K86" s="422">
        <f>'T3 ANSP'!K86+'T3 MET'!K86+'T3 NSA'!K86</f>
        <v>0</v>
      </c>
      <c r="L86" s="422">
        <f>'T3 ANSP'!L86+'T3 MET'!L86+'T3 NSA'!L86</f>
        <v>0</v>
      </c>
      <c r="M86" s="439">
        <f>'T3 ANSP'!M86+'T3 MET'!M86+'T3 NSA'!M86</f>
        <v>0</v>
      </c>
      <c r="O86" s="404"/>
    </row>
    <row r="87" spans="1:15">
      <c r="A87" s="454">
        <v>2024</v>
      </c>
      <c r="B87" s="395"/>
      <c r="C87" s="405" t="s">
        <v>536</v>
      </c>
      <c r="D87" s="443">
        <f>'T3 ANSP'!D87+'T3 MET'!D87+'T3 NSA'!D87</f>
        <v>0</v>
      </c>
      <c r="E87" s="440">
        <f>'T3 ANSP'!E87+'T3 MET'!E87+'T3 NSA'!E87</f>
        <v>0</v>
      </c>
      <c r="F87" s="422">
        <f>'T3 ANSP'!F87+'T3 MET'!F87+'T3 NSA'!F87</f>
        <v>0</v>
      </c>
      <c r="G87" s="422">
        <f>'T3 ANSP'!G87+'T3 MET'!G87+'T3 NSA'!G87</f>
        <v>0</v>
      </c>
      <c r="H87" s="422">
        <f>'T3 ANSP'!H87+'T3 MET'!H87+'T3 NSA'!H87</f>
        <v>0</v>
      </c>
      <c r="I87" s="1041">
        <f>'T3 ANSP'!I87+'T3 MET'!I87+'T3 NSA'!I87</f>
        <v>0</v>
      </c>
      <c r="J87" s="422">
        <f>'T3 ANSP'!J87+'T3 MET'!J87+'T3 NSA'!J87</f>
        <v>0</v>
      </c>
      <c r="K87" s="422">
        <f>'T3 ANSP'!K87+'T3 MET'!K87+'T3 NSA'!K87</f>
        <v>0</v>
      </c>
      <c r="L87" s="422">
        <f>'T3 ANSP'!L87+'T3 MET'!L87+'T3 NSA'!L87</f>
        <v>0</v>
      </c>
      <c r="M87" s="439">
        <f>'T3 ANSP'!M87+'T3 MET'!M87+'T3 NSA'!M87</f>
        <v>0</v>
      </c>
      <c r="O87" s="404"/>
    </row>
    <row r="88" spans="1:15">
      <c r="A88" s="454">
        <v>2025</v>
      </c>
      <c r="B88" s="395"/>
      <c r="C88" s="405" t="s">
        <v>537</v>
      </c>
      <c r="D88" s="443">
        <f>'T3 ANSP'!D88+'T3 MET'!D88+'T3 NSA'!D88</f>
        <v>0</v>
      </c>
      <c r="E88" s="440">
        <f>'T3 ANSP'!E88+'T3 MET'!E88+'T3 NSA'!E88</f>
        <v>0</v>
      </c>
      <c r="F88" s="422">
        <f>'T3 ANSP'!F88+'T3 MET'!F88+'T3 NSA'!F88</f>
        <v>0</v>
      </c>
      <c r="G88" s="422">
        <f>'T3 ANSP'!G88+'T3 MET'!G88+'T3 NSA'!G88</f>
        <v>0</v>
      </c>
      <c r="H88" s="422">
        <f>'T3 ANSP'!H88+'T3 MET'!H88+'T3 NSA'!H88</f>
        <v>0</v>
      </c>
      <c r="I88" s="1041">
        <f>'T3 ANSP'!I88+'T3 MET'!I88+'T3 NSA'!I88</f>
        <v>0</v>
      </c>
      <c r="J88" s="422">
        <f>'T3 ANSP'!J88+'T3 MET'!J88+'T3 NSA'!J88</f>
        <v>0</v>
      </c>
      <c r="K88" s="422">
        <f>'T3 ANSP'!K88+'T3 MET'!K88+'T3 NSA'!K88</f>
        <v>0</v>
      </c>
      <c r="L88" s="422">
        <f>'T3 ANSP'!L88+'T3 MET'!L88+'T3 NSA'!L88</f>
        <v>0</v>
      </c>
      <c r="M88" s="439">
        <f>'T3 ANSP'!M88+'T3 MET'!M88+'T3 NSA'!M88</f>
        <v>0</v>
      </c>
      <c r="O88" s="404"/>
    </row>
    <row r="89" spans="1:15">
      <c r="A89" s="454">
        <v>2026</v>
      </c>
      <c r="B89" s="395"/>
      <c r="C89" s="405" t="s">
        <v>538</v>
      </c>
      <c r="D89" s="443">
        <f>'T3 ANSP'!D89+'T3 MET'!D89+'T3 NSA'!D89</f>
        <v>0</v>
      </c>
      <c r="E89" s="440">
        <f>'T3 ANSP'!E89+'T3 MET'!E89+'T3 NSA'!E89</f>
        <v>0</v>
      </c>
      <c r="F89" s="422">
        <f>'T3 ANSP'!F89+'T3 MET'!F89+'T3 NSA'!F89</f>
        <v>0</v>
      </c>
      <c r="G89" s="422">
        <f>'T3 ANSP'!G89+'T3 MET'!G89+'T3 NSA'!G89</f>
        <v>0</v>
      </c>
      <c r="H89" s="422">
        <f>'T3 ANSP'!H89+'T3 MET'!H89+'T3 NSA'!H89</f>
        <v>0</v>
      </c>
      <c r="I89" s="1041">
        <f>'T3 ANSP'!I89+'T3 MET'!I89+'T3 NSA'!I89</f>
        <v>0</v>
      </c>
      <c r="J89" s="422">
        <f>'T3 ANSP'!J89+'T3 MET'!J89+'T3 NSA'!J89</f>
        <v>0</v>
      </c>
      <c r="K89" s="422">
        <f>'T3 ANSP'!K89+'T3 MET'!K89+'T3 NSA'!K89</f>
        <v>0</v>
      </c>
      <c r="L89" s="422">
        <f>'T3 ANSP'!L89+'T3 MET'!L89+'T3 NSA'!L89</f>
        <v>0</v>
      </c>
      <c r="M89" s="439">
        <f>'T3 ANSP'!M89+'T3 MET'!M89+'T3 NSA'!M89</f>
        <v>0</v>
      </c>
      <c r="O89" s="404"/>
    </row>
    <row r="90" spans="1:15">
      <c r="A90" s="454">
        <v>2027</v>
      </c>
      <c r="B90" s="395"/>
      <c r="C90" s="405" t="s">
        <v>539</v>
      </c>
      <c r="D90" s="444">
        <f>'T3 ANSP'!D90+'T3 MET'!D90+'T3 NSA'!D90</f>
        <v>0</v>
      </c>
      <c r="E90" s="1318">
        <f>'T3 ANSP'!E90+'T3 MET'!E90+'T3 NSA'!E90</f>
        <v>0</v>
      </c>
      <c r="F90" s="462">
        <f>'T3 ANSP'!F90+'T3 MET'!F90+'T3 NSA'!F90</f>
        <v>0</v>
      </c>
      <c r="G90" s="462">
        <f>'T3 ANSP'!G90+'T3 MET'!G90+'T3 NSA'!G90</f>
        <v>0</v>
      </c>
      <c r="H90" s="462">
        <f>'T3 ANSP'!H90+'T3 MET'!H90+'T3 NSA'!H90</f>
        <v>0</v>
      </c>
      <c r="I90" s="1322">
        <f>'T3 ANSP'!I90+'T3 MET'!I90+'T3 NSA'!I90</f>
        <v>0</v>
      </c>
      <c r="J90" s="462">
        <f>'T3 ANSP'!J90+'T3 MET'!J90+'T3 NSA'!J90</f>
        <v>0</v>
      </c>
      <c r="K90" s="462">
        <f>'T3 ANSP'!K90+'T3 MET'!K90+'T3 NSA'!K90</f>
        <v>0</v>
      </c>
      <c r="L90" s="462">
        <f>'T3 ANSP'!L90+'T3 MET'!L90+'T3 NSA'!L90</f>
        <v>0</v>
      </c>
      <c r="M90" s="1056">
        <f>'T3 ANSP'!M90+'T3 MET'!M90+'T3 NSA'!M90</f>
        <v>0</v>
      </c>
      <c r="O90" s="404"/>
    </row>
    <row r="91" spans="1:15">
      <c r="A91" s="454" t="s">
        <v>475</v>
      </c>
      <c r="B91" s="395"/>
      <c r="C91" s="430" t="s">
        <v>918</v>
      </c>
      <c r="D91" s="431">
        <f>'T3 ANSP'!D91+'T3 MET'!D91+'T3 NSA'!D91</f>
        <v>0</v>
      </c>
      <c r="E91" s="479">
        <f>'T3 ANSP'!E91+'T3 MET'!E91+'T3 NSA'!E91</f>
        <v>0</v>
      </c>
      <c r="F91" s="433">
        <f>'T3 ANSP'!F91+'T3 MET'!F91+'T3 NSA'!F91</f>
        <v>0</v>
      </c>
      <c r="G91" s="433">
        <f>'T3 ANSP'!G91+'T3 MET'!G91+'T3 NSA'!G91</f>
        <v>0</v>
      </c>
      <c r="H91" s="433">
        <f>'T3 ANSP'!H91+'T3 MET'!H91+'T3 NSA'!H91</f>
        <v>0</v>
      </c>
      <c r="I91" s="433">
        <f>'T3 ANSP'!I91+'T3 MET'!I91+'T3 NSA'!I91</f>
        <v>0</v>
      </c>
      <c r="J91" s="433">
        <f>'T3 ANSP'!J91+'T3 MET'!J91+'T3 NSA'!J91</f>
        <v>0</v>
      </c>
      <c r="K91" s="433">
        <f>'T3 ANSP'!K91+'T3 MET'!K91+'T3 NSA'!K91</f>
        <v>0</v>
      </c>
      <c r="L91" s="433">
        <f>'T3 ANSP'!L91+'T3 MET'!L91+'T3 NSA'!L91</f>
        <v>0</v>
      </c>
      <c r="M91" s="1055">
        <f>'T3 ANSP'!M91+'T3 MET'!M91+'T3 NSA'!M91</f>
        <v>0</v>
      </c>
      <c r="O91" s="404"/>
    </row>
    <row r="92" spans="1:15">
      <c r="A92" s="748"/>
      <c r="B92" s="395"/>
      <c r="C92" s="481"/>
      <c r="D92" s="445"/>
      <c r="E92" s="446"/>
      <c r="F92" s="446"/>
      <c r="G92" s="446"/>
      <c r="H92" s="446"/>
      <c r="I92" s="446"/>
      <c r="J92" s="446"/>
      <c r="K92" s="446"/>
      <c r="L92" s="446"/>
      <c r="M92" s="446"/>
      <c r="O92" s="404"/>
    </row>
    <row r="93" spans="1:15">
      <c r="A93" s="454">
        <v>2020</v>
      </c>
      <c r="B93" s="395"/>
      <c r="C93" s="397" t="s">
        <v>541</v>
      </c>
      <c r="D93" s="442">
        <f>'T3 ANSP'!D93+'T3 MET'!D93+'T3 NSA'!D93</f>
        <v>0</v>
      </c>
      <c r="E93" s="437">
        <f>'T3 ANSP'!E93+'T3 MET'!E93+'T3 NSA'!E93</f>
        <v>0</v>
      </c>
      <c r="F93" s="420">
        <f>'T3 ANSP'!F93+'T3 MET'!F93+'T3 NSA'!F93</f>
        <v>0</v>
      </c>
      <c r="G93" s="486">
        <f>'T3 ANSP'!G93+'T3 MET'!G93+'T3 NSA'!G93</f>
        <v>0</v>
      </c>
      <c r="H93" s="420">
        <f>'T3 ANSP'!H93+'T3 MET'!H93+'T3 NSA'!H93</f>
        <v>0</v>
      </c>
      <c r="I93" s="1315">
        <f>'T3 ANSP'!I93+'T3 MET'!I93+'T3 NSA'!I93</f>
        <v>0</v>
      </c>
      <c r="J93" s="1315">
        <f>'T3 ANSP'!J93+'T3 MET'!J93+'T3 NSA'!J93</f>
        <v>0</v>
      </c>
      <c r="K93" s="1315">
        <f>'T3 ANSP'!K93+'T3 MET'!K93+'T3 NSA'!K93</f>
        <v>0</v>
      </c>
      <c r="L93" s="1315">
        <f>'T3 ANSP'!L93+'T3 MET'!L93+'T3 NSA'!L93</f>
        <v>0</v>
      </c>
      <c r="M93" s="436">
        <f>'T3 ANSP'!M93+'T3 MET'!M93+'T3 NSA'!M93</f>
        <v>0</v>
      </c>
      <c r="O93" s="404"/>
    </row>
    <row r="94" spans="1:15">
      <c r="A94" s="454">
        <v>2021</v>
      </c>
      <c r="B94" s="395"/>
      <c r="C94" s="405" t="s">
        <v>542</v>
      </c>
      <c r="D94" s="443">
        <f>'T3 ANSP'!D94+'T3 MET'!D94+'T3 NSA'!D94</f>
        <v>0</v>
      </c>
      <c r="E94" s="440">
        <f>'T3 ANSP'!E94+'T3 MET'!E94+'T3 NSA'!E94</f>
        <v>0</v>
      </c>
      <c r="F94" s="422">
        <f>'T3 ANSP'!F94+'T3 MET'!F94+'T3 NSA'!F94</f>
        <v>0</v>
      </c>
      <c r="G94" s="422">
        <f>'T3 ANSP'!G94+'T3 MET'!G94+'T3 NSA'!G94</f>
        <v>0</v>
      </c>
      <c r="H94" s="490">
        <f>'T3 ANSP'!H94+'T3 MET'!H94+'T3 NSA'!H94</f>
        <v>0</v>
      </c>
      <c r="I94" s="1041">
        <f>'T3 ANSP'!I94+'T3 MET'!I94+'T3 NSA'!I94</f>
        <v>0</v>
      </c>
      <c r="J94" s="1041">
        <f>'T3 ANSP'!J94+'T3 MET'!J94+'T3 NSA'!J94</f>
        <v>0</v>
      </c>
      <c r="K94" s="1041">
        <f>'T3 ANSP'!K94+'T3 MET'!K94+'T3 NSA'!K94</f>
        <v>0</v>
      </c>
      <c r="L94" s="1041">
        <f>'T3 ANSP'!L94+'T3 MET'!L94+'T3 NSA'!L94</f>
        <v>0</v>
      </c>
      <c r="M94" s="439">
        <f>'T3 ANSP'!M94+'T3 MET'!M94+'T3 NSA'!M94</f>
        <v>0</v>
      </c>
      <c r="O94" s="404"/>
    </row>
    <row r="95" spans="1:15">
      <c r="A95" s="454">
        <v>2022</v>
      </c>
      <c r="B95" s="395"/>
      <c r="C95" s="405" t="s">
        <v>543</v>
      </c>
      <c r="D95" s="443">
        <f>'T3 ANSP'!D95+'T3 MET'!D95+'T3 NSA'!D95</f>
        <v>0</v>
      </c>
      <c r="E95" s="440">
        <f>'T3 ANSP'!E95+'T3 MET'!E95+'T3 NSA'!E95</f>
        <v>0</v>
      </c>
      <c r="F95" s="422">
        <f>'T3 ANSP'!F95+'T3 MET'!F95+'T3 NSA'!F95</f>
        <v>0</v>
      </c>
      <c r="G95" s="422">
        <f>'T3 ANSP'!G95+'T3 MET'!G95+'T3 NSA'!G95</f>
        <v>0</v>
      </c>
      <c r="H95" s="422">
        <f>'T3 ANSP'!H95+'T3 MET'!H95+'T3 NSA'!H95</f>
        <v>0</v>
      </c>
      <c r="I95" s="1046">
        <f>'T3 ANSP'!I95+'T3 MET'!I95+'T3 NSA'!I95</f>
        <v>0</v>
      </c>
      <c r="J95" s="462">
        <f>'T3 ANSP'!J95+'T3 MET'!J95+'T3 NSA'!J95</f>
        <v>0</v>
      </c>
      <c r="K95" s="462">
        <f>'T3 ANSP'!K95+'T3 MET'!K95+'T3 NSA'!K95</f>
        <v>0</v>
      </c>
      <c r="L95" s="462">
        <f>'T3 ANSP'!L95+'T3 MET'!L95+'T3 NSA'!L95</f>
        <v>0</v>
      </c>
      <c r="M95" s="439">
        <f>'T3 ANSP'!M95+'T3 MET'!M95+'T3 NSA'!M95</f>
        <v>0</v>
      </c>
      <c r="O95" s="404"/>
    </row>
    <row r="96" spans="1:15">
      <c r="A96" s="454" t="s">
        <v>468</v>
      </c>
      <c r="B96" s="395"/>
      <c r="C96" s="412" t="s">
        <v>928</v>
      </c>
      <c r="D96" s="413">
        <f>'T3 ANSP'!D96+'T3 MET'!D96+'T3 NSA'!D96</f>
        <v>0</v>
      </c>
      <c r="E96" s="414">
        <f>'T3 ANSP'!E96+'T3 MET'!E96+'T3 NSA'!E96</f>
        <v>0</v>
      </c>
      <c r="F96" s="415">
        <f>'T3 ANSP'!F96+'T3 MET'!F96+'T3 NSA'!F96</f>
        <v>0</v>
      </c>
      <c r="G96" s="415">
        <f>'T3 ANSP'!G96+'T3 MET'!G96+'T3 NSA'!G96</f>
        <v>0</v>
      </c>
      <c r="H96" s="415">
        <f>'T3 ANSP'!H96+'T3 MET'!H96+'T3 NSA'!H96</f>
        <v>0</v>
      </c>
      <c r="I96" s="415">
        <f>'T3 ANSP'!I96+'T3 MET'!I96+'T3 NSA'!I96</f>
        <v>0</v>
      </c>
      <c r="J96" s="415">
        <f>'T3 ANSP'!J96+'T3 MET'!J96+'T3 NSA'!J96</f>
        <v>0</v>
      </c>
      <c r="K96" s="415">
        <f>'T3 ANSP'!K96+'T3 MET'!K96+'T3 NSA'!K96</f>
        <v>0</v>
      </c>
      <c r="L96" s="415">
        <f>'T3 ANSP'!L96+'T3 MET'!L96+'T3 NSA'!L96</f>
        <v>0</v>
      </c>
      <c r="M96" s="1031">
        <f>'T3 ANSP'!M96+'T3 MET'!M96+'T3 NSA'!M96</f>
        <v>0</v>
      </c>
      <c r="O96" s="404"/>
    </row>
    <row r="97" spans="1:15">
      <c r="A97" s="454">
        <v>2023</v>
      </c>
      <c r="B97" s="395"/>
      <c r="C97" s="405" t="s">
        <v>544</v>
      </c>
      <c r="D97" s="443">
        <f>'T3 ANSP'!D97+'T3 MET'!D97+'T3 NSA'!D97</f>
        <v>0</v>
      </c>
      <c r="E97" s="440">
        <f>'T3 ANSP'!E97+'T3 MET'!E97+'T3 NSA'!E97</f>
        <v>0</v>
      </c>
      <c r="F97" s="422">
        <f>'T3 ANSP'!F97+'T3 MET'!F97+'T3 NSA'!F97</f>
        <v>0</v>
      </c>
      <c r="G97" s="422">
        <f>'T3 ANSP'!G97+'T3 MET'!G97+'T3 NSA'!G97</f>
        <v>0</v>
      </c>
      <c r="H97" s="422">
        <f>'T3 ANSP'!H97+'T3 MET'!H97+'T3 NSA'!H97</f>
        <v>0</v>
      </c>
      <c r="I97" s="1041">
        <f>'T3 ANSP'!I97+'T3 MET'!I97+'T3 NSA'!I97</f>
        <v>0</v>
      </c>
      <c r="J97" s="422">
        <f>'T3 ANSP'!J97+'T3 MET'!J97+'T3 NSA'!J97</f>
        <v>0</v>
      </c>
      <c r="K97" s="422">
        <f>'T3 ANSP'!K97+'T3 MET'!K97+'T3 NSA'!K97</f>
        <v>0</v>
      </c>
      <c r="L97" s="422">
        <f>'T3 ANSP'!L97+'T3 MET'!L97+'T3 NSA'!L97</f>
        <v>0</v>
      </c>
      <c r="M97" s="439">
        <f>'T3 ANSP'!M97+'T3 MET'!M97+'T3 NSA'!M97</f>
        <v>0</v>
      </c>
      <c r="O97" s="404"/>
    </row>
    <row r="98" spans="1:15">
      <c r="A98" s="454">
        <v>2024</v>
      </c>
      <c r="B98" s="395"/>
      <c r="C98" s="405" t="s">
        <v>545</v>
      </c>
      <c r="D98" s="443">
        <f>'T3 ANSP'!D98+'T3 MET'!D98+'T3 NSA'!D98</f>
        <v>0</v>
      </c>
      <c r="E98" s="440">
        <f>'T3 ANSP'!E98+'T3 MET'!E98+'T3 NSA'!E98</f>
        <v>0</v>
      </c>
      <c r="F98" s="422">
        <f>'T3 ANSP'!F98+'T3 MET'!F98+'T3 NSA'!F98</f>
        <v>0</v>
      </c>
      <c r="G98" s="422">
        <f>'T3 ANSP'!G98+'T3 MET'!G98+'T3 NSA'!G98</f>
        <v>0</v>
      </c>
      <c r="H98" s="422">
        <f>'T3 ANSP'!H98+'T3 MET'!H98+'T3 NSA'!H98</f>
        <v>0</v>
      </c>
      <c r="I98" s="1041">
        <f>'T3 ANSP'!I98+'T3 MET'!I98+'T3 NSA'!I98</f>
        <v>0</v>
      </c>
      <c r="J98" s="422">
        <f>'T3 ANSP'!J98+'T3 MET'!J98+'T3 NSA'!J98</f>
        <v>0</v>
      </c>
      <c r="K98" s="422">
        <f>'T3 ANSP'!K98+'T3 MET'!K98+'T3 NSA'!K98</f>
        <v>0</v>
      </c>
      <c r="L98" s="422">
        <f>'T3 ANSP'!L98+'T3 MET'!L98+'T3 NSA'!L98</f>
        <v>0</v>
      </c>
      <c r="M98" s="439">
        <f>'T3 ANSP'!M98+'T3 MET'!M98+'T3 NSA'!M98</f>
        <v>0</v>
      </c>
      <c r="O98" s="404"/>
    </row>
    <row r="99" spans="1:15">
      <c r="A99" s="454">
        <v>2025</v>
      </c>
      <c r="B99" s="395"/>
      <c r="C99" s="405" t="s">
        <v>546</v>
      </c>
      <c r="D99" s="443">
        <f>'T3 ANSP'!D99+'T3 MET'!D99+'T3 NSA'!D99</f>
        <v>0</v>
      </c>
      <c r="E99" s="440">
        <f>'T3 ANSP'!E99+'T3 MET'!E99+'T3 NSA'!E99</f>
        <v>0</v>
      </c>
      <c r="F99" s="422">
        <f>'T3 ANSP'!F99+'T3 MET'!F99+'T3 NSA'!F99</f>
        <v>0</v>
      </c>
      <c r="G99" s="422">
        <f>'T3 ANSP'!G99+'T3 MET'!G99+'T3 NSA'!G99</f>
        <v>0</v>
      </c>
      <c r="H99" s="422">
        <f>'T3 ANSP'!H99+'T3 MET'!H99+'T3 NSA'!H99</f>
        <v>0</v>
      </c>
      <c r="I99" s="1041">
        <f>'T3 ANSP'!I99+'T3 MET'!I99+'T3 NSA'!I99</f>
        <v>0</v>
      </c>
      <c r="J99" s="422">
        <f>'T3 ANSP'!J99+'T3 MET'!J99+'T3 NSA'!J99</f>
        <v>0</v>
      </c>
      <c r="K99" s="422">
        <f>'T3 ANSP'!K99+'T3 MET'!K99+'T3 NSA'!K99</f>
        <v>0</v>
      </c>
      <c r="L99" s="422">
        <f>'T3 ANSP'!L99+'T3 MET'!L99+'T3 NSA'!L99</f>
        <v>0</v>
      </c>
      <c r="M99" s="439">
        <f>'T3 ANSP'!M99+'T3 MET'!M99+'T3 NSA'!M99</f>
        <v>0</v>
      </c>
      <c r="O99" s="404"/>
    </row>
    <row r="100" spans="1:15">
      <c r="A100" s="454">
        <v>2026</v>
      </c>
      <c r="B100" s="395"/>
      <c r="C100" s="405" t="s">
        <v>547</v>
      </c>
      <c r="D100" s="443">
        <f>'T3 ANSP'!D100+'T3 MET'!D100+'T3 NSA'!D100</f>
        <v>0</v>
      </c>
      <c r="E100" s="440">
        <f>'T3 ANSP'!E100+'T3 MET'!E100+'T3 NSA'!E100</f>
        <v>0</v>
      </c>
      <c r="F100" s="422">
        <f>'T3 ANSP'!F100+'T3 MET'!F100+'T3 NSA'!F100</f>
        <v>0</v>
      </c>
      <c r="G100" s="422">
        <f>'T3 ANSP'!G100+'T3 MET'!G100+'T3 NSA'!G100</f>
        <v>0</v>
      </c>
      <c r="H100" s="422">
        <f>'T3 ANSP'!H100+'T3 MET'!H100+'T3 NSA'!H100</f>
        <v>0</v>
      </c>
      <c r="I100" s="1041">
        <f>'T3 ANSP'!I100+'T3 MET'!I100+'T3 NSA'!I100</f>
        <v>0</v>
      </c>
      <c r="J100" s="422">
        <f>'T3 ANSP'!J100+'T3 MET'!J100+'T3 NSA'!J100</f>
        <v>0</v>
      </c>
      <c r="K100" s="422">
        <f>'T3 ANSP'!K100+'T3 MET'!K100+'T3 NSA'!K100</f>
        <v>0</v>
      </c>
      <c r="L100" s="422">
        <f>'T3 ANSP'!L100+'T3 MET'!L100+'T3 NSA'!L100</f>
        <v>0</v>
      </c>
      <c r="M100" s="439">
        <f>'T3 ANSP'!M100+'T3 MET'!M100+'T3 NSA'!M100</f>
        <v>0</v>
      </c>
      <c r="O100" s="404"/>
    </row>
    <row r="101" spans="1:15">
      <c r="A101" s="454">
        <v>2027</v>
      </c>
      <c r="B101" s="395"/>
      <c r="C101" s="405" t="s">
        <v>548</v>
      </c>
      <c r="D101" s="444">
        <f>'T3 ANSP'!D101+'T3 MET'!D101+'T3 NSA'!D101</f>
        <v>0</v>
      </c>
      <c r="E101" s="1318">
        <f>'T3 ANSP'!E101+'T3 MET'!E101+'T3 NSA'!E101</f>
        <v>0</v>
      </c>
      <c r="F101" s="462">
        <f>'T3 ANSP'!F101+'T3 MET'!F101+'T3 NSA'!F101</f>
        <v>0</v>
      </c>
      <c r="G101" s="462">
        <f>'T3 ANSP'!G101+'T3 MET'!G101+'T3 NSA'!G101</f>
        <v>0</v>
      </c>
      <c r="H101" s="462">
        <f>'T3 ANSP'!H101+'T3 MET'!H101+'T3 NSA'!H101</f>
        <v>0</v>
      </c>
      <c r="I101" s="1322">
        <f>'T3 ANSP'!I101+'T3 MET'!I101+'T3 NSA'!I101</f>
        <v>0</v>
      </c>
      <c r="J101" s="462">
        <f>'T3 ANSP'!J101+'T3 MET'!J101+'T3 NSA'!J101</f>
        <v>0</v>
      </c>
      <c r="K101" s="462">
        <f>'T3 ANSP'!K101+'T3 MET'!K101+'T3 NSA'!K101</f>
        <v>0</v>
      </c>
      <c r="L101" s="462">
        <f>'T3 ANSP'!L101+'T3 MET'!L101+'T3 NSA'!L101</f>
        <v>0</v>
      </c>
      <c r="M101" s="1056">
        <f>'T3 ANSP'!M101+'T3 MET'!M101+'T3 NSA'!M101</f>
        <v>0</v>
      </c>
      <c r="O101" s="404"/>
    </row>
    <row r="102" spans="1:15">
      <c r="A102" s="454" t="s">
        <v>475</v>
      </c>
      <c r="B102" s="395"/>
      <c r="C102" s="430" t="s">
        <v>919</v>
      </c>
      <c r="D102" s="431">
        <f>'T3 ANSP'!D102+'T3 MET'!D102+'T3 NSA'!D102</f>
        <v>0</v>
      </c>
      <c r="E102" s="479">
        <f>'T3 ANSP'!E102+'T3 MET'!E102+'T3 NSA'!E102</f>
        <v>0</v>
      </c>
      <c r="F102" s="433">
        <f>'T3 ANSP'!F102+'T3 MET'!F102+'T3 NSA'!F102</f>
        <v>0</v>
      </c>
      <c r="G102" s="433">
        <f>'T3 ANSP'!G102+'T3 MET'!G102+'T3 NSA'!G102</f>
        <v>0</v>
      </c>
      <c r="H102" s="433">
        <f>'T3 ANSP'!H102+'T3 MET'!H102+'T3 NSA'!H102</f>
        <v>0</v>
      </c>
      <c r="I102" s="433">
        <f>'T3 ANSP'!I102+'T3 MET'!I102+'T3 NSA'!I102</f>
        <v>0</v>
      </c>
      <c r="J102" s="433">
        <f>'T3 ANSP'!J102+'T3 MET'!J102+'T3 NSA'!J102</f>
        <v>0</v>
      </c>
      <c r="K102" s="433">
        <f>'T3 ANSP'!K102+'T3 MET'!K102+'T3 NSA'!K102</f>
        <v>0</v>
      </c>
      <c r="L102" s="433">
        <f>'T3 ANSP'!L102+'T3 MET'!L102+'T3 NSA'!L102</f>
        <v>0</v>
      </c>
      <c r="M102" s="1055">
        <f>'T3 ANSP'!M102+'T3 MET'!M102+'T3 NSA'!M102</f>
        <v>0</v>
      </c>
      <c r="O102" s="404"/>
    </row>
    <row r="103" spans="1:15">
      <c r="A103" s="748"/>
      <c r="B103" s="395"/>
      <c r="C103" s="481"/>
      <c r="D103" s="445"/>
      <c r="E103" s="446"/>
      <c r="F103" s="446"/>
      <c r="G103" s="446"/>
      <c r="H103" s="446"/>
      <c r="I103" s="446"/>
      <c r="J103" s="446"/>
      <c r="K103" s="446"/>
      <c r="L103" s="446"/>
      <c r="M103" s="446"/>
      <c r="O103" s="404"/>
    </row>
    <row r="104" spans="1:15">
      <c r="A104" s="454">
        <v>2017</v>
      </c>
      <c r="B104" s="395"/>
      <c r="C104" s="435" t="s">
        <v>550</v>
      </c>
      <c r="D104" s="437">
        <f>'T3 ANSP'!D104+'T3 MET'!D104+'T3 NSA'!D104</f>
        <v>10910.537548196535</v>
      </c>
      <c r="E104" s="420">
        <f>'T3 ANSP'!E104+'T3 MET'!E104+'T3 NSA'!E104</f>
        <v>0</v>
      </c>
      <c r="F104" s="420">
        <f>'T3 ANSP'!F104+'T3 MET'!F104+'T3 NSA'!F104</f>
        <v>-1152.8989713724077</v>
      </c>
      <c r="G104" s="420">
        <f>'T3 ANSP'!G104+'T3 MET'!G104+'T3 NSA'!G104</f>
        <v>8029.8140000000003</v>
      </c>
      <c r="H104" s="420">
        <f>'T3 ANSP'!H104+'T3 MET'!H104+'T3 NSA'!H104</f>
        <v>0</v>
      </c>
      <c r="I104" s="1315">
        <f>'T3 ANSP'!I104+'T3 MET'!I104+'T3 NSA'!I104</f>
        <v>0</v>
      </c>
      <c r="J104" s="1315">
        <f>'T3 ANSP'!J104+'T3 MET'!J104+'T3 NSA'!J104</f>
        <v>0</v>
      </c>
      <c r="K104" s="1315">
        <f>'T3 ANSP'!K104+'T3 MET'!K104+'T3 NSA'!K104</f>
        <v>0</v>
      </c>
      <c r="L104" s="1315">
        <f>'T3 ANSP'!L104+'T3 MET'!L104+'T3 NSA'!L104</f>
        <v>0</v>
      </c>
      <c r="M104" s="436">
        <f>'T3 ANSP'!M104+'T3 MET'!M104+'T3 NSA'!M104</f>
        <v>4033.6225195689422</v>
      </c>
      <c r="O104" s="404"/>
    </row>
    <row r="105" spans="1:15">
      <c r="A105" s="454">
        <v>2018</v>
      </c>
      <c r="B105" s="395"/>
      <c r="C105" s="438" t="s">
        <v>551</v>
      </c>
      <c r="D105" s="440">
        <f>'T3 ANSP'!D105+'T3 MET'!D105+'T3 NSA'!D105</f>
        <v>12399.833498370524</v>
      </c>
      <c r="E105" s="422">
        <f>'T3 ANSP'!E105+'T3 MET'!E105+'T3 NSA'!E105</f>
        <v>1590.6636098454458</v>
      </c>
      <c r="F105" s="422">
        <f>'T3 ANSP'!F105+'T3 MET'!F105+'T3 NSA'!F105</f>
        <v>7573.8027350097973</v>
      </c>
      <c r="G105" s="422">
        <f>'T3 ANSP'!G105+'T3 MET'!G105+'T3 NSA'!G105</f>
        <v>0</v>
      </c>
      <c r="H105" s="422">
        <f>'T3 ANSP'!H105+'T3 MET'!H105+'T3 NSA'!H105</f>
        <v>0</v>
      </c>
      <c r="I105" s="1041">
        <f>'T3 ANSP'!I105+'T3 MET'!I105+'T3 NSA'!I105</f>
        <v>0</v>
      </c>
      <c r="J105" s="1041">
        <f>'T3 ANSP'!J105+'T3 MET'!J105+'T3 NSA'!J105</f>
        <v>0</v>
      </c>
      <c r="K105" s="1041">
        <f>'T3 ANSP'!K105+'T3 MET'!K105+'T3 NSA'!K105</f>
        <v>0</v>
      </c>
      <c r="L105" s="1041">
        <f>'T3 ANSP'!L105+'T3 MET'!L105+'T3 NSA'!L105</f>
        <v>0</v>
      </c>
      <c r="M105" s="439">
        <f>'T3 ANSP'!M105+'T3 MET'!M105+'T3 NSA'!M105</f>
        <v>3235.3671535152807</v>
      </c>
      <c r="O105" s="404"/>
    </row>
    <row r="106" spans="1:15">
      <c r="A106" s="454">
        <v>2019</v>
      </c>
      <c r="B106" s="395"/>
      <c r="C106" s="438" t="s">
        <v>552</v>
      </c>
      <c r="D106" s="37">
        <f>'T3 ANSP'!D106+'T3 MET'!D106+'T3 NSA'!D106</f>
        <v>11669.632893107553</v>
      </c>
      <c r="E106" s="422">
        <f>'T3 ANSP'!E106+'T3 MET'!E106+'T3 NSA'!E106</f>
        <v>0</v>
      </c>
      <c r="F106" s="422">
        <f>'T3 ANSP'!F106+'T3 MET'!F106+'T3 NSA'!F106</f>
        <v>-4006.19</v>
      </c>
      <c r="G106" s="422">
        <f>'T3 ANSP'!G106+'T3 MET'!G106+'T3 NSA'!G106</f>
        <v>0</v>
      </c>
      <c r="H106" s="422">
        <f>'T3 ANSP'!H106+'T3 MET'!H106+'T3 NSA'!H106</f>
        <v>0</v>
      </c>
      <c r="I106" s="1041">
        <f>'T3 ANSP'!I106+'T3 MET'!I106+'T3 NSA'!I106</f>
        <v>0</v>
      </c>
      <c r="J106" s="1041">
        <f>'T3 ANSP'!J106+'T3 MET'!J106+'T3 NSA'!J106</f>
        <v>0</v>
      </c>
      <c r="K106" s="1041">
        <f>'T3 ANSP'!K106+'T3 MET'!K106+'T3 NSA'!K106</f>
        <v>0</v>
      </c>
      <c r="L106" s="1041">
        <f>'T3 ANSP'!L106+'T3 MET'!L106+'T3 NSA'!L106</f>
        <v>0</v>
      </c>
      <c r="M106" s="439">
        <f>'T3 ANSP'!M106+'T3 MET'!M106+'T3 NSA'!M106</f>
        <v>15675.822893107554</v>
      </c>
      <c r="O106" s="404"/>
    </row>
    <row r="107" spans="1:15">
      <c r="A107" s="454" t="s">
        <v>463</v>
      </c>
      <c r="B107" s="395"/>
      <c r="C107" s="430" t="s">
        <v>553</v>
      </c>
      <c r="D107" s="431">
        <f>'T3 ANSP'!D107+'T3 MET'!D107+'T3 NSA'!D107</f>
        <v>85144.003939674614</v>
      </c>
      <c r="E107" s="432">
        <f>'T3 ANSP'!E107+'T3 MET'!E107+'T3 NSA'!E107</f>
        <v>1590.6636098454458</v>
      </c>
      <c r="F107" s="479">
        <f>'T3 ANSP'!F107+'T3 MET'!F107+'T3 NSA'!F107</f>
        <v>2414.7137636373891</v>
      </c>
      <c r="G107" s="479">
        <f>'T3 ANSP'!G107+'T3 MET'!G107+'T3 NSA'!G107</f>
        <v>8029.8140000000003</v>
      </c>
      <c r="H107" s="479">
        <f>'T3 ANSP'!H107+'T3 MET'!H107+'T3 NSA'!H107</f>
        <v>0</v>
      </c>
      <c r="I107" s="1314">
        <f>'T3 ANSP'!I107+'T3 MET'!I107+'T3 NSA'!I107</f>
        <v>0</v>
      </c>
      <c r="J107" s="1314">
        <f>'T3 ANSP'!J107+'T3 MET'!J107+'T3 NSA'!J107</f>
        <v>0</v>
      </c>
      <c r="K107" s="1314">
        <f>'T3 ANSP'!K107+'T3 MET'!K107+'T3 NSA'!K107</f>
        <v>0</v>
      </c>
      <c r="L107" s="1314">
        <f>'T3 ANSP'!L107+'T3 MET'!L107+'T3 NSA'!L107</f>
        <v>0</v>
      </c>
      <c r="M107" s="1055">
        <f>'T3 ANSP'!M107+'T3 MET'!M107+'T3 NSA'!M107</f>
        <v>42060.464791408114</v>
      </c>
      <c r="O107" s="404"/>
    </row>
    <row r="108" spans="1:15">
      <c r="A108" s="454">
        <v>2020</v>
      </c>
      <c r="B108" s="395"/>
      <c r="C108" s="435" t="s">
        <v>554</v>
      </c>
      <c r="D108" s="437">
        <f>'T3 ANSP'!D108+'T3 MET'!D108+'T3 NSA'!D108</f>
        <v>73108.812566191773</v>
      </c>
      <c r="E108" s="420">
        <f>'T3 ANSP'!E108+'T3 MET'!E108+'T3 NSA'!E108</f>
        <v>0</v>
      </c>
      <c r="F108" s="420">
        <f>'T3 ANSP'!F108+'T3 MET'!F108+'T3 NSA'!F108</f>
        <v>0</v>
      </c>
      <c r="G108" s="420">
        <f>'T3 ANSP'!G108+'T3 MET'!G108+'T3 NSA'!G108</f>
        <v>0</v>
      </c>
      <c r="H108" s="420">
        <f>'T3 ANSP'!H108+'T3 MET'!H108+'T3 NSA'!H108</f>
        <v>9151.5062925344555</v>
      </c>
      <c r="I108" s="420">
        <f>'T3 ANSP'!I108+'T3 MET'!I108+'T3 NSA'!I108</f>
        <v>7789.8393842788555</v>
      </c>
      <c r="J108" s="420">
        <f>'T3 ANSP'!J108+'T3 MET'!J108+'T3 NSA'!J108</f>
        <v>4736.3740133098581</v>
      </c>
      <c r="K108" s="420">
        <f>'T3 ANSP'!K108+'T3 MET'!K108+'T3 NSA'!K108</f>
        <v>4687.164318203284</v>
      </c>
      <c r="L108" s="420">
        <f>'T3 ANSP'!L108+'T3 MET'!L108+'T3 NSA'!L108</f>
        <v>4683.4637664572128</v>
      </c>
      <c r="M108" s="436">
        <f>'T3 ANSP'!M108+'T3 MET'!M108+'T3 NSA'!M108</f>
        <v>56167.466889378462</v>
      </c>
      <c r="O108" s="404"/>
    </row>
    <row r="109" spans="1:15">
      <c r="A109" s="454">
        <v>2021</v>
      </c>
      <c r="B109" s="395"/>
      <c r="C109" s="438" t="s">
        <v>555</v>
      </c>
      <c r="D109" s="440">
        <f>'T3 ANSP'!D109+'T3 MET'!D109+'T3 NSA'!D109</f>
        <v>0</v>
      </c>
      <c r="E109" s="422">
        <f>'T3 ANSP'!E109+'T3 MET'!E109+'T3 NSA'!E109</f>
        <v>0</v>
      </c>
      <c r="F109" s="422">
        <f>'T3 ANSP'!F109+'T3 MET'!F109+'T3 NSA'!F109</f>
        <v>0</v>
      </c>
      <c r="G109" s="422">
        <f>'T3 ANSP'!G109+'T3 MET'!G109+'T3 NSA'!G109</f>
        <v>0</v>
      </c>
      <c r="H109" s="422">
        <f>'T3 ANSP'!H109+'T3 MET'!H109+'T3 NSA'!H109</f>
        <v>0</v>
      </c>
      <c r="I109" s="422">
        <f>'T3 ANSP'!I109+'T3 MET'!I109+'T3 NSA'!I109</f>
        <v>0</v>
      </c>
      <c r="J109" s="422">
        <f>'T3 ANSP'!J109+'T3 MET'!J109+'T3 NSA'!J109</f>
        <v>0</v>
      </c>
      <c r="K109" s="422">
        <f>'T3 ANSP'!K109+'T3 MET'!K109+'T3 NSA'!K109</f>
        <v>0</v>
      </c>
      <c r="L109" s="422">
        <f>'T3 ANSP'!L109+'T3 MET'!L109+'T3 NSA'!L109</f>
        <v>0</v>
      </c>
      <c r="M109" s="439">
        <f>'T3 ANSP'!M109+'T3 MET'!M109+'T3 NSA'!M109</f>
        <v>0</v>
      </c>
      <c r="O109" s="404"/>
    </row>
    <row r="110" spans="1:15">
      <c r="A110" s="454">
        <v>2022</v>
      </c>
      <c r="B110" s="395"/>
      <c r="C110" s="438" t="s">
        <v>556</v>
      </c>
      <c r="D110" s="37">
        <f>'T3 ANSP'!D110+'T3 MET'!D110+'T3 NSA'!D110</f>
        <v>0</v>
      </c>
      <c r="E110" s="422">
        <f>'T3 ANSP'!E110+'T3 MET'!E110+'T3 NSA'!E110</f>
        <v>0</v>
      </c>
      <c r="F110" s="422">
        <f>'T3 ANSP'!F110+'T3 MET'!F110+'T3 NSA'!F110</f>
        <v>0</v>
      </c>
      <c r="G110" s="422">
        <f>'T3 ANSP'!G110+'T3 MET'!G110+'T3 NSA'!G110</f>
        <v>0</v>
      </c>
      <c r="H110" s="422">
        <f>'T3 ANSP'!H110+'T3 MET'!H110+'T3 NSA'!H110</f>
        <v>0</v>
      </c>
      <c r="I110" s="422">
        <f>'T3 ANSP'!I110+'T3 MET'!I110+'T3 NSA'!I110</f>
        <v>0</v>
      </c>
      <c r="J110" s="422">
        <f>'T3 ANSP'!J110+'T3 MET'!J110+'T3 NSA'!J110</f>
        <v>0</v>
      </c>
      <c r="K110" s="422">
        <f>'T3 ANSP'!K110+'T3 MET'!K110+'T3 NSA'!K110</f>
        <v>0</v>
      </c>
      <c r="L110" s="422">
        <f>'T3 ANSP'!L110+'T3 MET'!L110+'T3 NSA'!L110</f>
        <v>0</v>
      </c>
      <c r="M110" s="439">
        <f>'T3 ANSP'!M110+'T3 MET'!M110+'T3 NSA'!M110</f>
        <v>0</v>
      </c>
      <c r="O110" s="404"/>
    </row>
    <row r="111" spans="1:15">
      <c r="A111" s="454" t="s">
        <v>475</v>
      </c>
      <c r="B111" s="395"/>
      <c r="C111" s="430" t="s">
        <v>557</v>
      </c>
      <c r="D111" s="431">
        <f>'T3 ANSP'!D111+'T3 MET'!D111+'T3 NSA'!D111</f>
        <v>73108.812566191773</v>
      </c>
      <c r="E111" s="432">
        <f>'T3 ANSP'!E111+'T3 MET'!E111+'T3 NSA'!E111</f>
        <v>0</v>
      </c>
      <c r="F111" s="479">
        <f>'T3 ANSP'!F111+'T3 MET'!F111+'T3 NSA'!F111</f>
        <v>0</v>
      </c>
      <c r="G111" s="479">
        <f>'T3 ANSP'!G111+'T3 MET'!G111+'T3 NSA'!G111</f>
        <v>0</v>
      </c>
      <c r="H111" s="479">
        <f>'T3 ANSP'!H111+'T3 MET'!H111+'T3 NSA'!H111</f>
        <v>9151.5062925344555</v>
      </c>
      <c r="I111" s="1314">
        <f>'T3 ANSP'!I111+'T3 MET'!I111+'T3 NSA'!I111</f>
        <v>7789.8393842788555</v>
      </c>
      <c r="J111" s="1314">
        <f>'T3 ANSP'!J111+'T3 MET'!J111+'T3 NSA'!J111</f>
        <v>4736.3740133098581</v>
      </c>
      <c r="K111" s="1314">
        <f>'T3 ANSP'!K111+'T3 MET'!K111+'T3 NSA'!K111</f>
        <v>4687.164318203284</v>
      </c>
      <c r="L111" s="1314">
        <f>'T3 ANSP'!L111+'T3 MET'!L111+'T3 NSA'!L111</f>
        <v>4683.4637664572128</v>
      </c>
      <c r="M111" s="1055">
        <f>'T3 ANSP'!M111+'T3 MET'!M111+'T3 NSA'!M111</f>
        <v>56167.466889378462</v>
      </c>
      <c r="O111" s="404"/>
    </row>
    <row r="112" spans="1:15">
      <c r="A112" s="748"/>
      <c r="B112" s="395"/>
      <c r="C112" s="481"/>
      <c r="D112" s="445"/>
      <c r="E112" s="446"/>
      <c r="F112" s="446"/>
      <c r="G112" s="446"/>
      <c r="H112" s="446"/>
      <c r="I112" s="446"/>
      <c r="J112" s="446"/>
      <c r="K112" s="446"/>
      <c r="L112" s="446"/>
      <c r="M112" s="446"/>
      <c r="O112" s="404"/>
    </row>
    <row r="113" spans="1:15">
      <c r="A113" s="454">
        <v>2017</v>
      </c>
      <c r="B113" s="395"/>
      <c r="C113" s="435" t="s">
        <v>558</v>
      </c>
      <c r="D113" s="474">
        <f>'T3 ANSP'!D113+'T3 MET'!D113+'T3 NSA'!D113</f>
        <v>0</v>
      </c>
      <c r="E113" s="485">
        <f>'T3 ANSP'!E113+'T3 MET'!E113+'T3 NSA'!E113</f>
        <v>0</v>
      </c>
      <c r="F113" s="486">
        <f>'T3 ANSP'!F113+'T3 MET'!F113+'T3 NSA'!F113</f>
        <v>0</v>
      </c>
      <c r="G113" s="486">
        <f>'T3 ANSP'!G113+'T3 MET'!G113+'T3 NSA'!G113</f>
        <v>0</v>
      </c>
      <c r="H113" s="486">
        <f>'T3 ANSP'!H113+'T3 MET'!H113+'T3 NSA'!H113</f>
        <v>0</v>
      </c>
      <c r="I113" s="1044">
        <f>'T3 ANSP'!I113+'T3 MET'!I113+'T3 NSA'!I113</f>
        <v>0</v>
      </c>
      <c r="J113" s="1044">
        <f>'T3 ANSP'!J113+'T3 MET'!J113+'T3 NSA'!J113</f>
        <v>0</v>
      </c>
      <c r="K113" s="1044">
        <f>'T3 ANSP'!K113+'T3 MET'!K113+'T3 NSA'!K113</f>
        <v>0</v>
      </c>
      <c r="L113" s="1044">
        <f>'T3 ANSP'!L113+'T3 MET'!L113+'T3 NSA'!L113</f>
        <v>0</v>
      </c>
      <c r="M113" s="436">
        <f>'T3 ANSP'!M113+'T3 MET'!M113+'T3 NSA'!M113</f>
        <v>0</v>
      </c>
      <c r="O113" s="404"/>
    </row>
    <row r="114" spans="1:15">
      <c r="A114" s="454">
        <v>2018</v>
      </c>
      <c r="B114" s="395"/>
      <c r="C114" s="438" t="s">
        <v>559</v>
      </c>
      <c r="D114" s="476">
        <f>'T3 ANSP'!D114+'T3 MET'!D114+'T3 NSA'!D114</f>
        <v>-264.10899999999998</v>
      </c>
      <c r="E114" s="440">
        <f>'T3 ANSP'!E114+'T3 MET'!E114+'T3 NSA'!E114</f>
        <v>-264.10899999999998</v>
      </c>
      <c r="F114" s="422">
        <f>'T3 ANSP'!F114+'T3 MET'!F114+'T3 NSA'!F114</f>
        <v>0</v>
      </c>
      <c r="G114" s="422">
        <f>'T3 ANSP'!G114+'T3 MET'!G114+'T3 NSA'!G114</f>
        <v>0</v>
      </c>
      <c r="H114" s="422">
        <f>'T3 ANSP'!H114+'T3 MET'!H114+'T3 NSA'!H114</f>
        <v>0</v>
      </c>
      <c r="I114" s="1041">
        <f>'T3 ANSP'!I114+'T3 MET'!I114+'T3 NSA'!I114</f>
        <v>0</v>
      </c>
      <c r="J114" s="1041">
        <f>'T3 ANSP'!J114+'T3 MET'!J114+'T3 NSA'!J114</f>
        <v>0</v>
      </c>
      <c r="K114" s="1041">
        <f>'T3 ANSP'!K114+'T3 MET'!K114+'T3 NSA'!K114</f>
        <v>0</v>
      </c>
      <c r="L114" s="1041">
        <f>'T3 ANSP'!L114+'T3 MET'!L114+'T3 NSA'!L114</f>
        <v>0</v>
      </c>
      <c r="M114" s="439">
        <f>'T3 ANSP'!M114+'T3 MET'!M114+'T3 NSA'!M114</f>
        <v>0</v>
      </c>
      <c r="O114" s="404"/>
    </row>
    <row r="115" spans="1:15">
      <c r="A115" s="454">
        <v>2019</v>
      </c>
      <c r="B115" s="395"/>
      <c r="C115" s="438" t="s">
        <v>560</v>
      </c>
      <c r="D115" s="476">
        <f>'T3 ANSP'!D115+'T3 MET'!D115+'T3 NSA'!D115</f>
        <v>228.011</v>
      </c>
      <c r="E115" s="440">
        <f>'T3 ANSP'!E115+'T3 MET'!E115+'T3 NSA'!E115</f>
        <v>0</v>
      </c>
      <c r="F115" s="422">
        <f>'T3 ANSP'!F115+'T3 MET'!F115+'T3 NSA'!F115</f>
        <v>228.011</v>
      </c>
      <c r="G115" s="422">
        <f>'T3 ANSP'!G115+'T3 MET'!G115+'T3 NSA'!G115</f>
        <v>0</v>
      </c>
      <c r="H115" s="422">
        <f>'T3 ANSP'!H115+'T3 MET'!H115+'T3 NSA'!H115</f>
        <v>0</v>
      </c>
      <c r="I115" s="1041">
        <f>'T3 ANSP'!I115+'T3 MET'!I115+'T3 NSA'!I115</f>
        <v>0</v>
      </c>
      <c r="J115" s="1041">
        <f>'T3 ANSP'!J115+'T3 MET'!J115+'T3 NSA'!J115</f>
        <v>0</v>
      </c>
      <c r="K115" s="1041">
        <f>'T3 ANSP'!K115+'T3 MET'!K115+'T3 NSA'!K115</f>
        <v>0</v>
      </c>
      <c r="L115" s="1041">
        <f>'T3 ANSP'!L115+'T3 MET'!L115+'T3 NSA'!L115</f>
        <v>0</v>
      </c>
      <c r="M115" s="439">
        <f>'T3 ANSP'!M115+'T3 MET'!M115+'T3 NSA'!M115</f>
        <v>0</v>
      </c>
      <c r="O115" s="404"/>
    </row>
    <row r="116" spans="1:15">
      <c r="A116" s="454" t="s">
        <v>463</v>
      </c>
      <c r="B116" s="395"/>
      <c r="C116" s="412" t="s">
        <v>561</v>
      </c>
      <c r="D116" s="413">
        <f>'T3 ANSP'!D116+'T3 MET'!D116+'T3 NSA'!D116</f>
        <v>-36.097999999999985</v>
      </c>
      <c r="E116" s="414">
        <f>'T3 ANSP'!E116+'T3 MET'!E116+'T3 NSA'!E116</f>
        <v>-264.10899999999998</v>
      </c>
      <c r="F116" s="415">
        <f>'T3 ANSP'!F116+'T3 MET'!F116+'T3 NSA'!F116</f>
        <v>228.011</v>
      </c>
      <c r="G116" s="415">
        <f>'T3 ANSP'!G116+'T3 MET'!G116+'T3 NSA'!G116</f>
        <v>0</v>
      </c>
      <c r="H116" s="415">
        <f>'T3 ANSP'!H116+'T3 MET'!H116+'T3 NSA'!H116</f>
        <v>0</v>
      </c>
      <c r="I116" s="450">
        <f>'T3 ANSP'!I116+'T3 MET'!I116+'T3 NSA'!I116</f>
        <v>0</v>
      </c>
      <c r="J116" s="450">
        <f>'T3 ANSP'!J116+'T3 MET'!J116+'T3 NSA'!J116</f>
        <v>0</v>
      </c>
      <c r="K116" s="450">
        <f>'T3 ANSP'!K116+'T3 MET'!K116+'T3 NSA'!K116</f>
        <v>0</v>
      </c>
      <c r="L116" s="450">
        <f>'T3 ANSP'!L116+'T3 MET'!L116+'T3 NSA'!L116</f>
        <v>0</v>
      </c>
      <c r="M116" s="1031">
        <f>'T3 ANSP'!M116+'T3 MET'!M116+'T3 NSA'!M116</f>
        <v>0</v>
      </c>
      <c r="O116" s="404"/>
    </row>
    <row r="117" spans="1:15">
      <c r="A117" s="454">
        <v>2020</v>
      </c>
      <c r="B117" s="395"/>
      <c r="C117" s="397" t="s">
        <v>562</v>
      </c>
      <c r="D117" s="447">
        <f>'T3 ANSP'!D117+'T3 MET'!D117+'T3 NSA'!D117</f>
        <v>0</v>
      </c>
      <c r="E117" s="437">
        <f>'T3 ANSP'!E117+'T3 MET'!E117+'T3 NSA'!E117</f>
        <v>0</v>
      </c>
      <c r="F117" s="420">
        <f>'T3 ANSP'!F117+'T3 MET'!F117+'T3 NSA'!F117</f>
        <v>0</v>
      </c>
      <c r="G117" s="420">
        <f>'T3 ANSP'!G117+'T3 MET'!G117+'T3 NSA'!G117</f>
        <v>0</v>
      </c>
      <c r="H117" s="420">
        <f>'T3 ANSP'!H117+'T3 MET'!H117+'T3 NSA'!H117</f>
        <v>0</v>
      </c>
      <c r="I117" s="1315">
        <f>'T3 ANSP'!I117+'T3 MET'!I117+'T3 NSA'!I117</f>
        <v>0</v>
      </c>
      <c r="J117" s="446">
        <f>'T3 ANSP'!J117+'T3 MET'!J117+'T3 NSA'!J117</f>
        <v>0</v>
      </c>
      <c r="K117" s="1315">
        <f>'T3 ANSP'!K117+'T3 MET'!K117+'T3 NSA'!K117</f>
        <v>0</v>
      </c>
      <c r="L117" s="422">
        <f>'T3 ANSP'!L117+'T3 MET'!L117+'T3 NSA'!L117</f>
        <v>0</v>
      </c>
      <c r="M117" s="439">
        <f>'T3 ANSP'!M117+'T3 MET'!M117+'T3 NSA'!M117</f>
        <v>0</v>
      </c>
      <c r="O117" s="404"/>
    </row>
    <row r="118" spans="1:15">
      <c r="A118" s="454">
        <v>2021</v>
      </c>
      <c r="B118" s="395"/>
      <c r="C118" s="405" t="s">
        <v>563</v>
      </c>
      <c r="D118" s="448">
        <f>'T3 ANSP'!D118+'T3 MET'!D118+'T3 NSA'!D118</f>
        <v>0</v>
      </c>
      <c r="E118" s="440">
        <f>'T3 ANSP'!E118+'T3 MET'!E118+'T3 NSA'!E118</f>
        <v>0</v>
      </c>
      <c r="F118" s="422">
        <f>'T3 ANSP'!F118+'T3 MET'!F118+'T3 NSA'!F118</f>
        <v>0</v>
      </c>
      <c r="G118" s="422">
        <f>'T3 ANSP'!G118+'T3 MET'!G118+'T3 NSA'!G118</f>
        <v>0</v>
      </c>
      <c r="H118" s="422">
        <f>'T3 ANSP'!H118+'T3 MET'!H118+'T3 NSA'!H118</f>
        <v>0</v>
      </c>
      <c r="I118" s="1041">
        <f>'T3 ANSP'!I118+'T3 MET'!I118+'T3 NSA'!I118</f>
        <v>0</v>
      </c>
      <c r="J118" s="446">
        <f>'T3 ANSP'!J118+'T3 MET'!J118+'T3 NSA'!J118</f>
        <v>0</v>
      </c>
      <c r="K118" s="1041">
        <f>'T3 ANSP'!K118+'T3 MET'!K118+'T3 NSA'!K118</f>
        <v>0</v>
      </c>
      <c r="L118" s="422">
        <f>'T3 ANSP'!L118+'T3 MET'!L118+'T3 NSA'!L118</f>
        <v>0</v>
      </c>
      <c r="M118" s="439">
        <f>'T3 ANSP'!M118+'T3 MET'!M118+'T3 NSA'!M118</f>
        <v>0</v>
      </c>
      <c r="O118" s="404"/>
    </row>
    <row r="119" spans="1:15">
      <c r="A119" s="454">
        <v>2022</v>
      </c>
      <c r="B119" s="395"/>
      <c r="C119" s="405" t="s">
        <v>564</v>
      </c>
      <c r="D119" s="448">
        <f>'T3 ANSP'!D119+'T3 MET'!D119+'T3 NSA'!D119</f>
        <v>0</v>
      </c>
      <c r="E119" s="440">
        <f>'T3 ANSP'!E119+'T3 MET'!E119+'T3 NSA'!E119</f>
        <v>0</v>
      </c>
      <c r="F119" s="422">
        <f>'T3 ANSP'!F119+'T3 MET'!F119+'T3 NSA'!F119</f>
        <v>0</v>
      </c>
      <c r="G119" s="422">
        <f>'T3 ANSP'!G119+'T3 MET'!G119+'T3 NSA'!G119</f>
        <v>0</v>
      </c>
      <c r="H119" s="422">
        <f>'T3 ANSP'!H119+'T3 MET'!H119+'T3 NSA'!H119</f>
        <v>0</v>
      </c>
      <c r="I119" s="1041">
        <f>'T3 ANSP'!I119+'T3 MET'!I119+'T3 NSA'!I119</f>
        <v>0</v>
      </c>
      <c r="J119" s="462">
        <f>'T3 ANSP'!J119+'T3 MET'!J119+'T3 NSA'!J119</f>
        <v>0</v>
      </c>
      <c r="K119" s="462">
        <f>'T3 ANSP'!K119+'T3 MET'!K119+'T3 NSA'!K119</f>
        <v>0</v>
      </c>
      <c r="L119" s="462">
        <f>'T3 ANSP'!L119+'T3 MET'!L119+'T3 NSA'!L119</f>
        <v>0</v>
      </c>
      <c r="M119" s="439">
        <f>'T3 ANSP'!M119+'T3 MET'!M119+'T3 NSA'!M119</f>
        <v>0</v>
      </c>
      <c r="O119" s="404"/>
    </row>
    <row r="120" spans="1:15">
      <c r="A120" s="454" t="s">
        <v>468</v>
      </c>
      <c r="B120" s="395"/>
      <c r="C120" s="412" t="s">
        <v>565</v>
      </c>
      <c r="D120" s="413">
        <f>'T3 ANSP'!D120+'T3 MET'!D120+'T3 NSA'!D120</f>
        <v>0</v>
      </c>
      <c r="E120" s="414">
        <f>'T3 ANSP'!E120+'T3 MET'!E120+'T3 NSA'!E120</f>
        <v>0</v>
      </c>
      <c r="F120" s="415">
        <f>'T3 ANSP'!F120+'T3 MET'!F120+'T3 NSA'!F120</f>
        <v>0</v>
      </c>
      <c r="G120" s="415">
        <f>'T3 ANSP'!G120+'T3 MET'!G120+'T3 NSA'!G120</f>
        <v>0</v>
      </c>
      <c r="H120" s="415">
        <f>'T3 ANSP'!H120+'T3 MET'!H120+'T3 NSA'!H120</f>
        <v>0</v>
      </c>
      <c r="I120" s="415">
        <f>'T3 ANSP'!I120+'T3 MET'!I120+'T3 NSA'!I120</f>
        <v>0</v>
      </c>
      <c r="J120" s="415">
        <f>'T3 ANSP'!J120+'T3 MET'!J120+'T3 NSA'!J120</f>
        <v>0</v>
      </c>
      <c r="K120" s="415">
        <f>'T3 ANSP'!K120+'T3 MET'!K120+'T3 NSA'!K120</f>
        <v>0</v>
      </c>
      <c r="L120" s="415">
        <f>'T3 ANSP'!L120+'T3 MET'!L120+'T3 NSA'!L120</f>
        <v>0</v>
      </c>
      <c r="M120" s="1031">
        <f>'T3 ANSP'!M120+'T3 MET'!M120+'T3 NSA'!M120</f>
        <v>0</v>
      </c>
      <c r="O120" s="404"/>
    </row>
    <row r="121" spans="1:15">
      <c r="A121" s="454">
        <v>2023</v>
      </c>
      <c r="B121" s="395"/>
      <c r="C121" s="405" t="s">
        <v>566</v>
      </c>
      <c r="D121" s="448">
        <f>'T3 ANSP'!D121+'T3 MET'!D121+'T3 NSA'!D121</f>
        <v>0</v>
      </c>
      <c r="E121" s="440">
        <f>'T3 ANSP'!E121+'T3 MET'!E121+'T3 NSA'!E121</f>
        <v>0</v>
      </c>
      <c r="F121" s="422">
        <f>'T3 ANSP'!F121+'T3 MET'!F121+'T3 NSA'!F121</f>
        <v>0</v>
      </c>
      <c r="G121" s="422">
        <f>'T3 ANSP'!G121+'T3 MET'!G121+'T3 NSA'!G121</f>
        <v>0</v>
      </c>
      <c r="H121" s="422">
        <f>'T3 ANSP'!H121+'T3 MET'!H121+'T3 NSA'!H121</f>
        <v>0</v>
      </c>
      <c r="I121" s="422">
        <f>'T3 ANSP'!I121+'T3 MET'!I121+'T3 NSA'!I121</f>
        <v>0</v>
      </c>
      <c r="J121" s="422">
        <f>'T3 ANSP'!J121+'T3 MET'!J121+'T3 NSA'!J121</f>
        <v>0</v>
      </c>
      <c r="K121" s="422">
        <f>'T3 ANSP'!K121+'T3 MET'!K121+'T3 NSA'!K121</f>
        <v>0</v>
      </c>
      <c r="L121" s="422">
        <f>'T3 ANSP'!L121+'T3 MET'!L121+'T3 NSA'!L121</f>
        <v>0</v>
      </c>
      <c r="M121" s="439">
        <f>'T3 ANSP'!M121+'T3 MET'!M121+'T3 NSA'!M121</f>
        <v>0</v>
      </c>
      <c r="O121" s="404"/>
    </row>
    <row r="122" spans="1:15">
      <c r="A122" s="454">
        <v>2024</v>
      </c>
      <c r="B122" s="395"/>
      <c r="C122" s="405" t="s">
        <v>567</v>
      </c>
      <c r="D122" s="448">
        <f>'T3 ANSP'!D122+'T3 MET'!D122+'T3 NSA'!D122</f>
        <v>0</v>
      </c>
      <c r="E122" s="440">
        <f>'T3 ANSP'!E122+'T3 MET'!E122+'T3 NSA'!E122</f>
        <v>0</v>
      </c>
      <c r="F122" s="422">
        <f>'T3 ANSP'!F122+'T3 MET'!F122+'T3 NSA'!F122</f>
        <v>0</v>
      </c>
      <c r="G122" s="422">
        <f>'T3 ANSP'!G122+'T3 MET'!G122+'T3 NSA'!G122</f>
        <v>0</v>
      </c>
      <c r="H122" s="422">
        <f>'T3 ANSP'!H122+'T3 MET'!H122+'T3 NSA'!H122</f>
        <v>0</v>
      </c>
      <c r="I122" s="422">
        <f>'T3 ANSP'!I122+'T3 MET'!I122+'T3 NSA'!I122</f>
        <v>0</v>
      </c>
      <c r="J122" s="422">
        <f>'T3 ANSP'!J122+'T3 MET'!J122+'T3 NSA'!J122</f>
        <v>0</v>
      </c>
      <c r="K122" s="422">
        <f>'T3 ANSP'!K122+'T3 MET'!K122+'T3 NSA'!K122</f>
        <v>0</v>
      </c>
      <c r="L122" s="422">
        <f>'T3 ANSP'!L122+'T3 MET'!L122+'T3 NSA'!L122</f>
        <v>0</v>
      </c>
      <c r="M122" s="439">
        <f>'T3 ANSP'!M122+'T3 MET'!M122+'T3 NSA'!M122</f>
        <v>0</v>
      </c>
      <c r="O122" s="404"/>
    </row>
    <row r="123" spans="1:15">
      <c r="A123" s="454">
        <v>2025</v>
      </c>
      <c r="B123" s="395"/>
      <c r="C123" s="405" t="s">
        <v>568</v>
      </c>
      <c r="D123" s="448">
        <f>'T3 ANSP'!D123+'T3 MET'!D123+'T3 NSA'!D123</f>
        <v>0</v>
      </c>
      <c r="E123" s="440">
        <f>'T3 ANSP'!E123+'T3 MET'!E123+'T3 NSA'!E123</f>
        <v>0</v>
      </c>
      <c r="F123" s="422">
        <f>'T3 ANSP'!F123+'T3 MET'!F123+'T3 NSA'!F123</f>
        <v>0</v>
      </c>
      <c r="G123" s="422">
        <f>'T3 ANSP'!G123+'T3 MET'!G123+'T3 NSA'!G123</f>
        <v>0</v>
      </c>
      <c r="H123" s="422">
        <f>'T3 ANSP'!H123+'T3 MET'!H123+'T3 NSA'!H123</f>
        <v>0</v>
      </c>
      <c r="I123" s="422">
        <f>'T3 ANSP'!I123+'T3 MET'!I123+'T3 NSA'!I123</f>
        <v>0</v>
      </c>
      <c r="J123" s="422">
        <f>'T3 ANSP'!J123+'T3 MET'!J123+'T3 NSA'!J123</f>
        <v>0</v>
      </c>
      <c r="K123" s="422">
        <f>'T3 ANSP'!K123+'T3 MET'!K123+'T3 NSA'!K123</f>
        <v>0</v>
      </c>
      <c r="L123" s="422">
        <f>'T3 ANSP'!L123+'T3 MET'!L123+'T3 NSA'!L123</f>
        <v>0</v>
      </c>
      <c r="M123" s="439">
        <f>'T3 ANSP'!M123+'T3 MET'!M123+'T3 NSA'!M123</f>
        <v>0</v>
      </c>
      <c r="O123" s="404"/>
    </row>
    <row r="124" spans="1:15">
      <c r="A124" s="454">
        <v>2026</v>
      </c>
      <c r="B124" s="395"/>
      <c r="C124" s="405" t="s">
        <v>569</v>
      </c>
      <c r="D124" s="448">
        <f>'T3 ANSP'!D124+'T3 MET'!D124+'T3 NSA'!D124</f>
        <v>0</v>
      </c>
      <c r="E124" s="440">
        <f>'T3 ANSP'!E124+'T3 MET'!E124+'T3 NSA'!E124</f>
        <v>0</v>
      </c>
      <c r="F124" s="422">
        <f>'T3 ANSP'!F124+'T3 MET'!F124+'T3 NSA'!F124</f>
        <v>0</v>
      </c>
      <c r="G124" s="422">
        <f>'T3 ANSP'!G124+'T3 MET'!G124+'T3 NSA'!G124</f>
        <v>0</v>
      </c>
      <c r="H124" s="422">
        <f>'T3 ANSP'!H124+'T3 MET'!H124+'T3 NSA'!H124</f>
        <v>0</v>
      </c>
      <c r="I124" s="422">
        <f>'T3 ANSP'!I124+'T3 MET'!I124+'T3 NSA'!I124</f>
        <v>0</v>
      </c>
      <c r="J124" s="422">
        <f>'T3 ANSP'!J124+'T3 MET'!J124+'T3 NSA'!J124</f>
        <v>0</v>
      </c>
      <c r="K124" s="422">
        <f>'T3 ANSP'!K124+'T3 MET'!K124+'T3 NSA'!K124</f>
        <v>0</v>
      </c>
      <c r="L124" s="422">
        <f>'T3 ANSP'!L124+'T3 MET'!L124+'T3 NSA'!L124</f>
        <v>0</v>
      </c>
      <c r="M124" s="439">
        <f>'T3 ANSP'!M124+'T3 MET'!M124+'T3 NSA'!M124</f>
        <v>0</v>
      </c>
      <c r="O124" s="404"/>
    </row>
    <row r="125" spans="1:15">
      <c r="A125" s="454">
        <v>2027</v>
      </c>
      <c r="B125" s="395"/>
      <c r="C125" s="405" t="s">
        <v>570</v>
      </c>
      <c r="D125" s="449">
        <f>'T3 ANSP'!D125+'T3 MET'!D125+'T3 NSA'!D125</f>
        <v>0</v>
      </c>
      <c r="E125" s="1318">
        <f>'T3 ANSP'!E125+'T3 MET'!E125+'T3 NSA'!E125</f>
        <v>0</v>
      </c>
      <c r="F125" s="462">
        <f>'T3 ANSP'!F125+'T3 MET'!F125+'T3 NSA'!F125</f>
        <v>0</v>
      </c>
      <c r="G125" s="462">
        <f>'T3 ANSP'!G125+'T3 MET'!G125+'T3 NSA'!G125</f>
        <v>0</v>
      </c>
      <c r="H125" s="462">
        <f>'T3 ANSP'!H125+'T3 MET'!H125+'T3 NSA'!H125</f>
        <v>0</v>
      </c>
      <c r="I125" s="462">
        <f>'T3 ANSP'!I125+'T3 MET'!I125+'T3 NSA'!I125</f>
        <v>0</v>
      </c>
      <c r="J125" s="462">
        <f>'T3 ANSP'!J125+'T3 MET'!J125+'T3 NSA'!J125</f>
        <v>0</v>
      </c>
      <c r="K125" s="462">
        <f>'T3 ANSP'!K125+'T3 MET'!K125+'T3 NSA'!K125</f>
        <v>0</v>
      </c>
      <c r="L125" s="462">
        <f>'T3 ANSP'!L125+'T3 MET'!L125+'T3 NSA'!L125</f>
        <v>0</v>
      </c>
      <c r="M125" s="1056">
        <f>'T3 ANSP'!M125+'T3 MET'!M125+'T3 NSA'!M125</f>
        <v>0</v>
      </c>
      <c r="O125" s="404"/>
    </row>
    <row r="126" spans="1:15">
      <c r="A126" s="454" t="s">
        <v>475</v>
      </c>
      <c r="B126" s="395"/>
      <c r="C126" s="430" t="s">
        <v>920</v>
      </c>
      <c r="D126" s="431">
        <f>'T3 ANSP'!D126+'T3 MET'!D126+'T3 NSA'!D126</f>
        <v>-36.097999999999985</v>
      </c>
      <c r="E126" s="479">
        <f>'T3 ANSP'!E126+'T3 MET'!E126+'T3 NSA'!E126</f>
        <v>-264.10899999999998</v>
      </c>
      <c r="F126" s="479">
        <f>'T3 ANSP'!F126+'T3 MET'!F126+'T3 NSA'!F126</f>
        <v>228.011</v>
      </c>
      <c r="G126" s="479">
        <f>'T3 ANSP'!G126+'T3 MET'!G126+'T3 NSA'!G126</f>
        <v>0</v>
      </c>
      <c r="H126" s="479">
        <f>'T3 ANSP'!H126+'T3 MET'!H126+'T3 NSA'!H126</f>
        <v>0</v>
      </c>
      <c r="I126" s="479">
        <f>'T3 ANSP'!I126+'T3 MET'!I126+'T3 NSA'!I126</f>
        <v>0</v>
      </c>
      <c r="J126" s="479">
        <f>'T3 ANSP'!J126+'T3 MET'!J126+'T3 NSA'!J126</f>
        <v>0</v>
      </c>
      <c r="K126" s="479">
        <f>'T3 ANSP'!K126+'T3 MET'!K126+'T3 NSA'!K126</f>
        <v>0</v>
      </c>
      <c r="L126" s="479">
        <f>'T3 ANSP'!L126+'T3 MET'!L126+'T3 NSA'!L126</f>
        <v>0</v>
      </c>
      <c r="M126" s="1055">
        <f>'T3 ANSP'!M126+'T3 MET'!M126+'T3 NSA'!M126</f>
        <v>0</v>
      </c>
      <c r="O126" s="404"/>
    </row>
    <row r="127" spans="1:15">
      <c r="A127" s="748"/>
      <c r="B127" s="395"/>
      <c r="C127" s="481"/>
      <c r="D127" s="445"/>
      <c r="E127" s="445"/>
      <c r="F127" s="445"/>
      <c r="G127" s="445"/>
      <c r="H127" s="445"/>
      <c r="I127" s="445"/>
      <c r="J127" s="445"/>
      <c r="K127" s="445"/>
      <c r="L127" s="445"/>
      <c r="M127" s="445"/>
      <c r="O127" s="404"/>
    </row>
    <row r="128" spans="1:15">
      <c r="A128" s="454">
        <v>2017</v>
      </c>
      <c r="B128" s="395"/>
      <c r="C128" s="397" t="s">
        <v>572</v>
      </c>
      <c r="D128" s="474">
        <f>'T3 ANSP'!D128+'T3 MET'!D128+'T3 NSA'!D128</f>
        <v>0</v>
      </c>
      <c r="E128" s="485">
        <f>'T3 ANSP'!E128+'T3 MET'!E128+'T3 NSA'!E128</f>
        <v>0</v>
      </c>
      <c r="F128" s="486">
        <f>'T3 ANSP'!F128+'T3 MET'!F128+'T3 NSA'!F128</f>
        <v>0</v>
      </c>
      <c r="G128" s="486">
        <f>'T3 ANSP'!G128+'T3 MET'!G128+'T3 NSA'!G128</f>
        <v>0</v>
      </c>
      <c r="H128" s="486">
        <f>'T3 ANSP'!H128+'T3 MET'!H128+'T3 NSA'!H128</f>
        <v>0</v>
      </c>
      <c r="I128" s="1044">
        <f>'T3 ANSP'!I128+'T3 MET'!I128+'T3 NSA'!I128</f>
        <v>0</v>
      </c>
      <c r="J128" s="1044">
        <f>'T3 ANSP'!J128+'T3 MET'!J128+'T3 NSA'!J128</f>
        <v>0</v>
      </c>
      <c r="K128" s="1044">
        <f>'T3 ANSP'!K128+'T3 MET'!K128+'T3 NSA'!K128</f>
        <v>0</v>
      </c>
      <c r="L128" s="1044">
        <f>'T3 ANSP'!L128+'T3 MET'!L128+'T3 NSA'!L128</f>
        <v>0</v>
      </c>
      <c r="M128" s="436">
        <f>'T3 ANSP'!M128+'T3 MET'!M128+'T3 NSA'!M128</f>
        <v>0</v>
      </c>
      <c r="O128" s="404"/>
    </row>
    <row r="129" spans="1:15">
      <c r="A129" s="454">
        <v>2018</v>
      </c>
      <c r="B129" s="395"/>
      <c r="C129" s="405" t="s">
        <v>573</v>
      </c>
      <c r="D129" s="476">
        <f>'T3 ANSP'!D129+'T3 MET'!D129+'T3 NSA'!D129</f>
        <v>0</v>
      </c>
      <c r="E129" s="489">
        <f>'T3 ANSP'!E129+'T3 MET'!E129+'T3 NSA'!E129</f>
        <v>0</v>
      </c>
      <c r="F129" s="490">
        <f>'T3 ANSP'!F129+'T3 MET'!F129+'T3 NSA'!F129</f>
        <v>0</v>
      </c>
      <c r="G129" s="490">
        <f>'T3 ANSP'!G129+'T3 MET'!G129+'T3 NSA'!G129</f>
        <v>0</v>
      </c>
      <c r="H129" s="490">
        <f>'T3 ANSP'!H129+'T3 MET'!H129+'T3 NSA'!H129</f>
        <v>0</v>
      </c>
      <c r="I129" s="1045">
        <f>'T3 ANSP'!I129+'T3 MET'!I129+'T3 NSA'!I129</f>
        <v>0</v>
      </c>
      <c r="J129" s="1045">
        <f>'T3 ANSP'!J129+'T3 MET'!J129+'T3 NSA'!J129</f>
        <v>0</v>
      </c>
      <c r="K129" s="1045">
        <f>'T3 ANSP'!K129+'T3 MET'!K129+'T3 NSA'!K129</f>
        <v>0</v>
      </c>
      <c r="L129" s="1045">
        <f>'T3 ANSP'!L129+'T3 MET'!L129+'T3 NSA'!L129</f>
        <v>0</v>
      </c>
      <c r="M129" s="439">
        <f>'T3 ANSP'!M129+'T3 MET'!M129+'T3 NSA'!M129</f>
        <v>0</v>
      </c>
      <c r="O129" s="404"/>
    </row>
    <row r="130" spans="1:15">
      <c r="A130" s="454">
        <v>2019</v>
      </c>
      <c r="B130" s="395"/>
      <c r="C130" s="405" t="s">
        <v>574</v>
      </c>
      <c r="D130" s="476">
        <f>'T3 ANSP'!D130+'T3 MET'!D130+'T3 NSA'!D130</f>
        <v>0</v>
      </c>
      <c r="E130" s="490">
        <f>'T3 ANSP'!E130+'T3 MET'!E130+'T3 NSA'!E130</f>
        <v>0</v>
      </c>
      <c r="F130" s="490">
        <f>'T3 ANSP'!F130+'T3 MET'!F130+'T3 NSA'!F130</f>
        <v>0</v>
      </c>
      <c r="G130" s="490">
        <f>'T3 ANSP'!G130+'T3 MET'!G130+'T3 NSA'!G130</f>
        <v>0</v>
      </c>
      <c r="H130" s="490">
        <f>'T3 ANSP'!H130+'T3 MET'!H130+'T3 NSA'!H130</f>
        <v>0</v>
      </c>
      <c r="I130" s="1045">
        <f>'T3 ANSP'!I130+'T3 MET'!I130+'T3 NSA'!I130</f>
        <v>0</v>
      </c>
      <c r="J130" s="1045">
        <f>'T3 ANSP'!J130+'T3 MET'!J130+'T3 NSA'!J130</f>
        <v>0</v>
      </c>
      <c r="K130" s="1045">
        <f>'T3 ANSP'!K130+'T3 MET'!K130+'T3 NSA'!K130</f>
        <v>0</v>
      </c>
      <c r="L130" s="1045">
        <f>'T3 ANSP'!L130+'T3 MET'!L130+'T3 NSA'!L130</f>
        <v>0</v>
      </c>
      <c r="M130" s="439">
        <f>'T3 ANSP'!M130+'T3 MET'!M130+'T3 NSA'!M130</f>
        <v>0</v>
      </c>
      <c r="O130" s="404"/>
    </row>
    <row r="131" spans="1:15" s="461" customFormat="1">
      <c r="A131" s="454" t="s">
        <v>463</v>
      </c>
      <c r="B131" s="395"/>
      <c r="C131" s="412" t="s">
        <v>575</v>
      </c>
      <c r="D131" s="413">
        <f>'T3 ANSP'!D131+'T3 MET'!D131+'T3 NSA'!D131</f>
        <v>0</v>
      </c>
      <c r="E131" s="414">
        <f>'T3 ANSP'!E131+'T3 MET'!E131+'T3 NSA'!E131</f>
        <v>0</v>
      </c>
      <c r="F131" s="415">
        <f>'T3 ANSP'!F131+'T3 MET'!F131+'T3 NSA'!F131</f>
        <v>0</v>
      </c>
      <c r="G131" s="415">
        <f>'T3 ANSP'!G131+'T3 MET'!G131+'T3 NSA'!G131</f>
        <v>0</v>
      </c>
      <c r="H131" s="415">
        <f>'T3 ANSP'!H131+'T3 MET'!H131+'T3 NSA'!H131</f>
        <v>0</v>
      </c>
      <c r="I131" s="450">
        <f>'T3 ANSP'!I131+'T3 MET'!I131+'T3 NSA'!I131</f>
        <v>0</v>
      </c>
      <c r="J131" s="450">
        <f>'T3 ANSP'!J131+'T3 MET'!J131+'T3 NSA'!J131</f>
        <v>0</v>
      </c>
      <c r="K131" s="450">
        <f>'T3 ANSP'!K131+'T3 MET'!K131+'T3 NSA'!K131</f>
        <v>0</v>
      </c>
      <c r="L131" s="450">
        <f>'T3 ANSP'!L131+'T3 MET'!L131+'T3 NSA'!L131</f>
        <v>0</v>
      </c>
      <c r="M131" s="1031">
        <f>'T3 ANSP'!M131+'T3 MET'!M131+'T3 NSA'!M131</f>
        <v>0</v>
      </c>
      <c r="O131" s="404"/>
    </row>
    <row r="132" spans="1:15">
      <c r="A132" s="454">
        <v>2020</v>
      </c>
      <c r="B132" s="395"/>
      <c r="C132" s="397" t="s">
        <v>576</v>
      </c>
      <c r="D132" s="451">
        <f>'T3 ANSP'!D132+'T3 MET'!D132+'T3 NSA'!D132</f>
        <v>0</v>
      </c>
      <c r="E132" s="437">
        <f>'T3 ANSP'!E132+'T3 MET'!E132+'T3 NSA'!E132</f>
        <v>0</v>
      </c>
      <c r="F132" s="420">
        <f>'T3 ANSP'!F132+'T3 MET'!F132+'T3 NSA'!F132</f>
        <v>0</v>
      </c>
      <c r="G132" s="420">
        <f>'T3 ANSP'!G132+'T3 MET'!G132+'T3 NSA'!G132</f>
        <v>0</v>
      </c>
      <c r="H132" s="420">
        <f>'T3 ANSP'!H132+'T3 MET'!H132+'T3 NSA'!H132</f>
        <v>0</v>
      </c>
      <c r="I132" s="1315">
        <f>'T3 ANSP'!I132+'T3 MET'!I132+'T3 NSA'!I132</f>
        <v>0</v>
      </c>
      <c r="J132" s="446">
        <f>'T3 ANSP'!J132+'T3 MET'!J132+'T3 NSA'!J132</f>
        <v>0</v>
      </c>
      <c r="K132" s="446">
        <f>'T3 ANSP'!K132+'T3 MET'!K132+'T3 NSA'!K132</f>
        <v>0</v>
      </c>
      <c r="L132" s="446">
        <f>'T3 ANSP'!L132+'T3 MET'!L132+'T3 NSA'!L132</f>
        <v>0</v>
      </c>
      <c r="M132" s="436">
        <f>'T3 ANSP'!M132+'T3 MET'!M132+'T3 NSA'!M132</f>
        <v>0</v>
      </c>
      <c r="O132" s="404"/>
    </row>
    <row r="133" spans="1:15">
      <c r="A133" s="454">
        <v>2021</v>
      </c>
      <c r="B133" s="395"/>
      <c r="C133" s="405" t="s">
        <v>577</v>
      </c>
      <c r="D133" s="452">
        <f>'T3 ANSP'!D133+'T3 MET'!D133+'T3 NSA'!D133</f>
        <v>0</v>
      </c>
      <c r="E133" s="440">
        <f>'T3 ANSP'!E133+'T3 MET'!E133+'T3 NSA'!E133</f>
        <v>0</v>
      </c>
      <c r="F133" s="422">
        <f>'T3 ANSP'!F133+'T3 MET'!F133+'T3 NSA'!F133</f>
        <v>0</v>
      </c>
      <c r="G133" s="422">
        <f>'T3 ANSP'!G133+'T3 MET'!G133+'T3 NSA'!G133</f>
        <v>0</v>
      </c>
      <c r="H133" s="422">
        <f>'T3 ANSP'!H133+'T3 MET'!H133+'T3 NSA'!H133</f>
        <v>0</v>
      </c>
      <c r="I133" s="1041">
        <f>'T3 ANSP'!I133+'T3 MET'!I133+'T3 NSA'!I133</f>
        <v>0</v>
      </c>
      <c r="J133" s="446">
        <f>'T3 ANSP'!J133+'T3 MET'!J133+'T3 NSA'!J133</f>
        <v>0</v>
      </c>
      <c r="K133" s="446">
        <f>'T3 ANSP'!K133+'T3 MET'!K133+'T3 NSA'!K133</f>
        <v>0</v>
      </c>
      <c r="L133" s="446">
        <f>'T3 ANSP'!L133+'T3 MET'!L133+'T3 NSA'!L133</f>
        <v>0</v>
      </c>
      <c r="M133" s="439">
        <f>'T3 ANSP'!M133+'T3 MET'!M133+'T3 NSA'!M133</f>
        <v>0</v>
      </c>
      <c r="O133" s="404"/>
    </row>
    <row r="134" spans="1:15">
      <c r="A134" s="454">
        <v>2022</v>
      </c>
      <c r="B134" s="395"/>
      <c r="C134" s="405" t="s">
        <v>578</v>
      </c>
      <c r="D134" s="452">
        <f>'T3 ANSP'!D134+'T3 MET'!D134+'T3 NSA'!D134</f>
        <v>0</v>
      </c>
      <c r="E134" s="440">
        <f>'T3 ANSP'!E134+'T3 MET'!E134+'T3 NSA'!E134</f>
        <v>0</v>
      </c>
      <c r="F134" s="422">
        <f>'T3 ANSP'!F134+'T3 MET'!F134+'T3 NSA'!F134</f>
        <v>0</v>
      </c>
      <c r="G134" s="422">
        <f>'T3 ANSP'!G134+'T3 MET'!G134+'T3 NSA'!G134</f>
        <v>0</v>
      </c>
      <c r="H134" s="422">
        <f>'T3 ANSP'!H134+'T3 MET'!H134+'T3 NSA'!H134</f>
        <v>0</v>
      </c>
      <c r="I134" s="1041">
        <f>'T3 ANSP'!I134+'T3 MET'!I134+'T3 NSA'!I134</f>
        <v>0</v>
      </c>
      <c r="J134" s="446">
        <f>'T3 ANSP'!J134+'T3 MET'!J134+'T3 NSA'!J134</f>
        <v>0</v>
      </c>
      <c r="K134" s="446">
        <f>'T3 ANSP'!K134+'T3 MET'!K134+'T3 NSA'!K134</f>
        <v>0</v>
      </c>
      <c r="L134" s="446">
        <f>'T3 ANSP'!L134+'T3 MET'!L134+'T3 NSA'!L134</f>
        <v>0</v>
      </c>
      <c r="M134" s="439">
        <f>'T3 ANSP'!M134+'T3 MET'!M134+'T3 NSA'!M134</f>
        <v>0</v>
      </c>
      <c r="O134" s="404"/>
    </row>
    <row r="135" spans="1:15">
      <c r="A135" s="454" t="s">
        <v>468</v>
      </c>
      <c r="B135" s="395"/>
      <c r="C135" s="412" t="s">
        <v>579</v>
      </c>
      <c r="D135" s="413">
        <f>'T3 ANSP'!D135+'T3 MET'!D135+'T3 NSA'!D135</f>
        <v>0</v>
      </c>
      <c r="E135" s="414">
        <f>'T3 ANSP'!E135+'T3 MET'!E135+'T3 NSA'!E135</f>
        <v>0</v>
      </c>
      <c r="F135" s="415">
        <f>'T3 ANSP'!F135+'T3 MET'!F135+'T3 NSA'!F135</f>
        <v>0</v>
      </c>
      <c r="G135" s="415">
        <f>'T3 ANSP'!G135+'T3 MET'!G135+'T3 NSA'!G135</f>
        <v>0</v>
      </c>
      <c r="H135" s="415">
        <f>'T3 ANSP'!H135+'T3 MET'!H135+'T3 NSA'!H135</f>
        <v>0</v>
      </c>
      <c r="I135" s="415">
        <f>'T3 ANSP'!I135+'T3 MET'!I135+'T3 NSA'!I135</f>
        <v>0</v>
      </c>
      <c r="J135" s="415">
        <f>'T3 ANSP'!J135+'T3 MET'!J135+'T3 NSA'!J135</f>
        <v>0</v>
      </c>
      <c r="K135" s="415">
        <f>'T3 ANSP'!K135+'T3 MET'!K135+'T3 NSA'!K135</f>
        <v>0</v>
      </c>
      <c r="L135" s="415">
        <f>'T3 ANSP'!L135+'T3 MET'!L135+'T3 NSA'!L135</f>
        <v>0</v>
      </c>
      <c r="M135" s="1031">
        <f>'T3 ANSP'!M135+'T3 MET'!M135+'T3 NSA'!M135</f>
        <v>0</v>
      </c>
      <c r="O135" s="404"/>
    </row>
    <row r="136" spans="1:15">
      <c r="A136" s="454">
        <v>2023</v>
      </c>
      <c r="B136" s="395"/>
      <c r="C136" s="405" t="s">
        <v>580</v>
      </c>
      <c r="D136" s="452">
        <f>'T3 ANSP'!D136+'T3 MET'!D136+'T3 NSA'!D136</f>
        <v>0</v>
      </c>
      <c r="E136" s="440">
        <f>'T3 ANSP'!E136+'T3 MET'!E136+'T3 NSA'!E136</f>
        <v>0</v>
      </c>
      <c r="F136" s="422">
        <f>'T3 ANSP'!F136+'T3 MET'!F136+'T3 NSA'!F136</f>
        <v>0</v>
      </c>
      <c r="G136" s="422">
        <f>'T3 ANSP'!G136+'T3 MET'!G136+'T3 NSA'!G136</f>
        <v>0</v>
      </c>
      <c r="H136" s="422">
        <f>'T3 ANSP'!H136+'T3 MET'!H136+'T3 NSA'!H136</f>
        <v>0</v>
      </c>
      <c r="I136" s="422">
        <f>'T3 ANSP'!I136+'T3 MET'!I136+'T3 NSA'!I136</f>
        <v>0</v>
      </c>
      <c r="J136" s="422">
        <f>'T3 ANSP'!J136+'T3 MET'!J136+'T3 NSA'!J136</f>
        <v>0</v>
      </c>
      <c r="K136" s="422">
        <f>'T3 ANSP'!K136+'T3 MET'!K136+'T3 NSA'!K136</f>
        <v>0</v>
      </c>
      <c r="L136" s="422">
        <f>'T3 ANSP'!L136+'T3 MET'!L136+'T3 NSA'!L136</f>
        <v>0</v>
      </c>
      <c r="M136" s="439">
        <f>'T3 ANSP'!M136+'T3 MET'!M136+'T3 NSA'!M136</f>
        <v>0</v>
      </c>
      <c r="O136" s="404"/>
    </row>
    <row r="137" spans="1:15">
      <c r="A137" s="454">
        <v>2024</v>
      </c>
      <c r="B137" s="395"/>
      <c r="C137" s="405" t="s">
        <v>581</v>
      </c>
      <c r="D137" s="452">
        <f>'T3 ANSP'!D137+'T3 MET'!D137+'T3 NSA'!D137</f>
        <v>0</v>
      </c>
      <c r="E137" s="440">
        <f>'T3 ANSP'!E137+'T3 MET'!E137+'T3 NSA'!E137</f>
        <v>0</v>
      </c>
      <c r="F137" s="422">
        <f>'T3 ANSP'!F137+'T3 MET'!F137+'T3 NSA'!F137</f>
        <v>0</v>
      </c>
      <c r="G137" s="422">
        <f>'T3 ANSP'!G137+'T3 MET'!G137+'T3 NSA'!G137</f>
        <v>0</v>
      </c>
      <c r="H137" s="422">
        <f>'T3 ANSP'!H137+'T3 MET'!H137+'T3 NSA'!H137</f>
        <v>0</v>
      </c>
      <c r="I137" s="422">
        <f>'T3 ANSP'!I137+'T3 MET'!I137+'T3 NSA'!I137</f>
        <v>0</v>
      </c>
      <c r="J137" s="422">
        <f>'T3 ANSP'!J137+'T3 MET'!J137+'T3 NSA'!J137</f>
        <v>0</v>
      </c>
      <c r="K137" s="422">
        <f>'T3 ANSP'!K137+'T3 MET'!K137+'T3 NSA'!K137</f>
        <v>0</v>
      </c>
      <c r="L137" s="422">
        <f>'T3 ANSP'!L137+'T3 MET'!L137+'T3 NSA'!L137</f>
        <v>0</v>
      </c>
      <c r="M137" s="439">
        <f>'T3 ANSP'!M137+'T3 MET'!M137+'T3 NSA'!M137</f>
        <v>0</v>
      </c>
      <c r="O137" s="404"/>
    </row>
    <row r="138" spans="1:15">
      <c r="A138" s="454">
        <v>2025</v>
      </c>
      <c r="B138" s="395"/>
      <c r="C138" s="405" t="s">
        <v>582</v>
      </c>
      <c r="D138" s="452">
        <f>'T3 ANSP'!D138+'T3 MET'!D138+'T3 NSA'!D138</f>
        <v>0</v>
      </c>
      <c r="E138" s="440">
        <f>'T3 ANSP'!E138+'T3 MET'!E138+'T3 NSA'!E138</f>
        <v>0</v>
      </c>
      <c r="F138" s="422">
        <f>'T3 ANSP'!F138+'T3 MET'!F138+'T3 NSA'!F138</f>
        <v>0</v>
      </c>
      <c r="G138" s="422">
        <f>'T3 ANSP'!G138+'T3 MET'!G138+'T3 NSA'!G138</f>
        <v>0</v>
      </c>
      <c r="H138" s="422">
        <f>'T3 ANSP'!H138+'T3 MET'!H138+'T3 NSA'!H138</f>
        <v>0</v>
      </c>
      <c r="I138" s="422">
        <f>'T3 ANSP'!I138+'T3 MET'!I138+'T3 NSA'!I138</f>
        <v>0</v>
      </c>
      <c r="J138" s="422">
        <f>'T3 ANSP'!J138+'T3 MET'!J138+'T3 NSA'!J138</f>
        <v>0</v>
      </c>
      <c r="K138" s="422">
        <f>'T3 ANSP'!K138+'T3 MET'!K138+'T3 NSA'!K138</f>
        <v>0</v>
      </c>
      <c r="L138" s="422">
        <f>'T3 ANSP'!L138+'T3 MET'!L138+'T3 NSA'!L138</f>
        <v>0</v>
      </c>
      <c r="M138" s="439">
        <f>'T3 ANSP'!M138+'T3 MET'!M138+'T3 NSA'!M138</f>
        <v>0</v>
      </c>
      <c r="O138" s="404"/>
    </row>
    <row r="139" spans="1:15">
      <c r="A139" s="454">
        <v>2026</v>
      </c>
      <c r="B139" s="395"/>
      <c r="C139" s="405" t="s">
        <v>583</v>
      </c>
      <c r="D139" s="452">
        <f>'T3 ANSP'!D139+'T3 MET'!D139+'T3 NSA'!D139</f>
        <v>0</v>
      </c>
      <c r="E139" s="440">
        <f>'T3 ANSP'!E139+'T3 MET'!E139+'T3 NSA'!E139</f>
        <v>0</v>
      </c>
      <c r="F139" s="422">
        <f>'T3 ANSP'!F139+'T3 MET'!F139+'T3 NSA'!F139</f>
        <v>0</v>
      </c>
      <c r="G139" s="422">
        <f>'T3 ANSP'!G139+'T3 MET'!G139+'T3 NSA'!G139</f>
        <v>0</v>
      </c>
      <c r="H139" s="422">
        <f>'T3 ANSP'!H139+'T3 MET'!H139+'T3 NSA'!H139</f>
        <v>0</v>
      </c>
      <c r="I139" s="422">
        <f>'T3 ANSP'!I139+'T3 MET'!I139+'T3 NSA'!I139</f>
        <v>0</v>
      </c>
      <c r="J139" s="422">
        <f>'T3 ANSP'!J139+'T3 MET'!J139+'T3 NSA'!J139</f>
        <v>0</v>
      </c>
      <c r="K139" s="422">
        <f>'T3 ANSP'!K139+'T3 MET'!K139+'T3 NSA'!K139</f>
        <v>0</v>
      </c>
      <c r="L139" s="422">
        <f>'T3 ANSP'!L139+'T3 MET'!L139+'T3 NSA'!L139</f>
        <v>0</v>
      </c>
      <c r="M139" s="439">
        <f>'T3 ANSP'!M139+'T3 MET'!M139+'T3 NSA'!M139</f>
        <v>0</v>
      </c>
      <c r="O139" s="404"/>
    </row>
    <row r="140" spans="1:15">
      <c r="A140" s="454">
        <v>2027</v>
      </c>
      <c r="B140" s="395"/>
      <c r="C140" s="405" t="s">
        <v>584</v>
      </c>
      <c r="D140" s="453">
        <f>'T3 ANSP'!D140+'T3 MET'!D140+'T3 NSA'!D140</f>
        <v>0</v>
      </c>
      <c r="E140" s="1318">
        <f>'T3 ANSP'!E140+'T3 MET'!E140+'T3 NSA'!E140</f>
        <v>0</v>
      </c>
      <c r="F140" s="462">
        <f>'T3 ANSP'!F140+'T3 MET'!F140+'T3 NSA'!F140</f>
        <v>0</v>
      </c>
      <c r="G140" s="462">
        <f>'T3 ANSP'!G140+'T3 MET'!G140+'T3 NSA'!G140</f>
        <v>0</v>
      </c>
      <c r="H140" s="462">
        <f>'T3 ANSP'!H140+'T3 MET'!H140+'T3 NSA'!H140</f>
        <v>0</v>
      </c>
      <c r="I140" s="462">
        <f>'T3 ANSP'!I140+'T3 MET'!I140+'T3 NSA'!I140</f>
        <v>0</v>
      </c>
      <c r="J140" s="462">
        <f>'T3 ANSP'!J140+'T3 MET'!J140+'T3 NSA'!J140</f>
        <v>0</v>
      </c>
      <c r="K140" s="462">
        <f>'T3 ANSP'!K140+'T3 MET'!K140+'T3 NSA'!K140</f>
        <v>0</v>
      </c>
      <c r="L140" s="462">
        <f>'T3 ANSP'!L140+'T3 MET'!L140+'T3 NSA'!L140</f>
        <v>0</v>
      </c>
      <c r="M140" s="1056">
        <f>'T3 ANSP'!M140+'T3 MET'!M140+'T3 NSA'!M140</f>
        <v>0</v>
      </c>
      <c r="O140" s="404"/>
    </row>
    <row r="141" spans="1:15">
      <c r="A141" s="454" t="s">
        <v>475</v>
      </c>
      <c r="B141" s="395"/>
      <c r="C141" s="430" t="s">
        <v>921</v>
      </c>
      <c r="D141" s="431">
        <f>'T3 ANSP'!D141+'T3 MET'!D141+'T3 NSA'!D141</f>
        <v>0</v>
      </c>
      <c r="E141" s="479">
        <f>'T3 ANSP'!E141+'T3 MET'!E141+'T3 NSA'!E141</f>
        <v>0</v>
      </c>
      <c r="F141" s="433">
        <f>'T3 ANSP'!F141+'T3 MET'!F141+'T3 NSA'!F141</f>
        <v>0</v>
      </c>
      <c r="G141" s="433">
        <f>'T3 ANSP'!G141+'T3 MET'!G141+'T3 NSA'!G141</f>
        <v>0</v>
      </c>
      <c r="H141" s="433">
        <f>'T3 ANSP'!H141+'T3 MET'!H141+'T3 NSA'!H141</f>
        <v>0</v>
      </c>
      <c r="I141" s="480">
        <f>'T3 ANSP'!I141+'T3 MET'!I141+'T3 NSA'!I141</f>
        <v>0</v>
      </c>
      <c r="J141" s="480">
        <f>'T3 ANSP'!J141+'T3 MET'!J141+'T3 NSA'!J141</f>
        <v>0</v>
      </c>
      <c r="K141" s="480">
        <f>'T3 ANSP'!K141+'T3 MET'!K141+'T3 NSA'!K141</f>
        <v>0</v>
      </c>
      <c r="L141" s="480">
        <f>'T3 ANSP'!L141+'T3 MET'!L141+'T3 NSA'!L141</f>
        <v>0</v>
      </c>
      <c r="M141" s="1055">
        <f>'T3 ANSP'!M141+'T3 MET'!M141+'T3 NSA'!M141</f>
        <v>0</v>
      </c>
      <c r="O141" s="404"/>
    </row>
    <row r="142" spans="1:15" s="461" customFormat="1">
      <c r="A142" s="748"/>
      <c r="B142" s="395"/>
      <c r="C142" s="481"/>
      <c r="D142" s="445"/>
      <c r="E142" s="446"/>
      <c r="F142" s="446"/>
      <c r="G142" s="446"/>
      <c r="H142" s="446"/>
      <c r="I142" s="446"/>
      <c r="J142" s="446"/>
      <c r="K142" s="446"/>
      <c r="L142" s="446"/>
      <c r="M142" s="446"/>
      <c r="O142" s="404"/>
    </row>
    <row r="143" spans="1:15">
      <c r="A143" s="454">
        <v>2017</v>
      </c>
      <c r="B143" s="395"/>
      <c r="C143" s="397" t="s">
        <v>586</v>
      </c>
      <c r="D143" s="474">
        <f>'T3 ANSP'!D143+'T3 MET'!D143+'T3 NSA'!D143</f>
        <v>0</v>
      </c>
      <c r="E143" s="485">
        <f>'T3 ANSP'!E143+'T3 MET'!E143+'T3 NSA'!E143</f>
        <v>0</v>
      </c>
      <c r="F143" s="486">
        <f>'T3 ANSP'!F143+'T3 MET'!F143+'T3 NSA'!F143</f>
        <v>0</v>
      </c>
      <c r="G143" s="486">
        <f>'T3 ANSP'!G143+'T3 MET'!G143+'T3 NSA'!G143</f>
        <v>0</v>
      </c>
      <c r="H143" s="486">
        <f>'T3 ANSP'!H143+'T3 MET'!H143+'T3 NSA'!H143</f>
        <v>0</v>
      </c>
      <c r="I143" s="1044">
        <f>'T3 ANSP'!I143+'T3 MET'!I143+'T3 NSA'!I143</f>
        <v>0</v>
      </c>
      <c r="J143" s="1044">
        <f>'T3 ANSP'!J143+'T3 MET'!J143+'T3 NSA'!J143</f>
        <v>0</v>
      </c>
      <c r="K143" s="1044">
        <f>'T3 ANSP'!K143+'T3 MET'!K143+'T3 NSA'!K143</f>
        <v>0</v>
      </c>
      <c r="L143" s="1044">
        <f>'T3 ANSP'!L143+'T3 MET'!L143+'T3 NSA'!L143</f>
        <v>0</v>
      </c>
      <c r="M143" s="436">
        <f>'T3 ANSP'!M143+'T3 MET'!M143+'T3 NSA'!M143</f>
        <v>0</v>
      </c>
      <c r="O143" s="404"/>
    </row>
    <row r="144" spans="1:15">
      <c r="A144" s="454">
        <v>2018</v>
      </c>
      <c r="B144" s="395"/>
      <c r="C144" s="405" t="s">
        <v>587</v>
      </c>
      <c r="D144" s="489">
        <f>'T3 ANSP'!D144+'T3 MET'!D144+'T3 NSA'!D144</f>
        <v>-7397.3308496424297</v>
      </c>
      <c r="E144" s="489">
        <f>'T3 ANSP'!E144+'T3 MET'!E144+'T3 NSA'!E144</f>
        <v>-7397.3308496424297</v>
      </c>
      <c r="F144" s="490">
        <f>'T3 ANSP'!F144+'T3 MET'!F144+'T3 NSA'!F144</f>
        <v>0</v>
      </c>
      <c r="G144" s="490">
        <f>'T3 ANSP'!G144+'T3 MET'!G144+'T3 NSA'!G144</f>
        <v>0</v>
      </c>
      <c r="H144" s="490">
        <f>'T3 ANSP'!H144+'T3 MET'!H144+'T3 NSA'!H144</f>
        <v>0</v>
      </c>
      <c r="I144" s="1045">
        <f>'T3 ANSP'!I144+'T3 MET'!I144+'T3 NSA'!I144</f>
        <v>0</v>
      </c>
      <c r="J144" s="1045">
        <f>'T3 ANSP'!J144+'T3 MET'!J144+'T3 NSA'!J144</f>
        <v>0</v>
      </c>
      <c r="K144" s="1045">
        <f>'T3 ANSP'!K144+'T3 MET'!K144+'T3 NSA'!K144</f>
        <v>0</v>
      </c>
      <c r="L144" s="1045">
        <f>'T3 ANSP'!L144+'T3 MET'!L144+'T3 NSA'!L144</f>
        <v>0</v>
      </c>
      <c r="M144" s="439">
        <f>'T3 ANSP'!M144+'T3 MET'!M144+'T3 NSA'!M144</f>
        <v>0</v>
      </c>
      <c r="O144" s="404"/>
    </row>
    <row r="145" spans="1:15">
      <c r="A145" s="454">
        <v>2019</v>
      </c>
      <c r="B145" s="395"/>
      <c r="C145" s="405" t="s">
        <v>588</v>
      </c>
      <c r="D145" s="476">
        <f>'T3 ANSP'!D145+'T3 MET'!D145+'T3 NSA'!D145</f>
        <v>1511.4147979546397</v>
      </c>
      <c r="E145" s="489">
        <f>'T3 ANSP'!E145+'T3 MET'!E145+'T3 NSA'!E145</f>
        <v>0</v>
      </c>
      <c r="F145" s="490">
        <f>'T3 ANSP'!F145+'T3 MET'!F145+'T3 NSA'!F145</f>
        <v>1511.4147979546397</v>
      </c>
      <c r="G145" s="490">
        <f>'T3 ANSP'!G145+'T3 MET'!G145+'T3 NSA'!G145</f>
        <v>0</v>
      </c>
      <c r="H145" s="490">
        <f>'T3 ANSP'!H145+'T3 MET'!H145+'T3 NSA'!H145</f>
        <v>0</v>
      </c>
      <c r="I145" s="1045">
        <f>'T3 ANSP'!I145+'T3 MET'!I145+'T3 NSA'!I145</f>
        <v>0</v>
      </c>
      <c r="J145" s="1045">
        <f>'T3 ANSP'!J145+'T3 MET'!J145+'T3 NSA'!J145</f>
        <v>0</v>
      </c>
      <c r="K145" s="1045">
        <f>'T3 ANSP'!K145+'T3 MET'!K145+'T3 NSA'!K145</f>
        <v>0</v>
      </c>
      <c r="L145" s="1045">
        <f>'T3 ANSP'!L145+'T3 MET'!L145+'T3 NSA'!L145</f>
        <v>0</v>
      </c>
      <c r="M145" s="439">
        <f>'T3 ANSP'!M145+'T3 MET'!M145+'T3 NSA'!M145</f>
        <v>0</v>
      </c>
      <c r="O145" s="404"/>
    </row>
    <row r="146" spans="1:15">
      <c r="A146" s="454" t="s">
        <v>463</v>
      </c>
      <c r="B146" s="395"/>
      <c r="C146" s="412" t="s">
        <v>589</v>
      </c>
      <c r="D146" s="413">
        <f>'T3 ANSP'!D146+'T3 MET'!D146+'T3 NSA'!D146</f>
        <v>-5885.9160516877891</v>
      </c>
      <c r="E146" s="414">
        <f>'T3 ANSP'!E146+'T3 MET'!E146+'T3 NSA'!E146</f>
        <v>-7397.3308496424297</v>
      </c>
      <c r="F146" s="415">
        <f>'T3 ANSP'!F146+'T3 MET'!F146+'T3 NSA'!F146</f>
        <v>1511.4147979546397</v>
      </c>
      <c r="G146" s="415">
        <f>'T3 ANSP'!G146+'T3 MET'!G146+'T3 NSA'!G146</f>
        <v>0</v>
      </c>
      <c r="H146" s="415">
        <f>'T3 ANSP'!H146+'T3 MET'!H146+'T3 NSA'!H146</f>
        <v>0</v>
      </c>
      <c r="I146" s="450">
        <f>'T3 ANSP'!I146+'T3 MET'!I146+'T3 NSA'!I146</f>
        <v>0</v>
      </c>
      <c r="J146" s="450">
        <f>'T3 ANSP'!J146+'T3 MET'!J146+'T3 NSA'!J146</f>
        <v>0</v>
      </c>
      <c r="K146" s="450">
        <f>'T3 ANSP'!K146+'T3 MET'!K146+'T3 NSA'!K146</f>
        <v>0</v>
      </c>
      <c r="L146" s="450">
        <f>'T3 ANSP'!L146+'T3 MET'!L146+'T3 NSA'!L146</f>
        <v>0</v>
      </c>
      <c r="M146" s="1031">
        <f>'T3 ANSP'!M146+'T3 MET'!M146+'T3 NSA'!M146</f>
        <v>0</v>
      </c>
      <c r="O146" s="404"/>
    </row>
    <row r="147" spans="1:15">
      <c r="A147" s="454">
        <v>2020</v>
      </c>
      <c r="B147" s="395"/>
      <c r="C147" s="397" t="s">
        <v>590</v>
      </c>
      <c r="D147" s="398">
        <f>'T3 ANSP'!D147+'T3 MET'!D147+'T3 NSA'!D147</f>
        <v>-44153.065240582786</v>
      </c>
      <c r="E147" s="485">
        <f>'T3 ANSP'!E147+'T3 MET'!E147+'T3 NSA'!E147</f>
        <v>0</v>
      </c>
      <c r="F147" s="486">
        <f>'T3 ANSP'!F147+'T3 MET'!F147+'T3 NSA'!F147</f>
        <v>0</v>
      </c>
      <c r="G147" s="486">
        <f>'T3 ANSP'!G147+'T3 MET'!G147+'T3 NSA'!G147</f>
        <v>-44153.065240582786</v>
      </c>
      <c r="H147" s="486">
        <f>'T3 ANSP'!H147+'T3 MET'!H147+'T3 NSA'!H147</f>
        <v>0</v>
      </c>
      <c r="I147" s="486">
        <f>'T3 ANSP'!I147+'T3 MET'!I147+'T3 NSA'!I147</f>
        <v>0</v>
      </c>
      <c r="J147" s="486">
        <f>'T3 ANSP'!J147+'T3 MET'!J147+'T3 NSA'!J147</f>
        <v>0</v>
      </c>
      <c r="K147" s="486">
        <f>'T3 ANSP'!K147+'T3 MET'!K147+'T3 NSA'!K147</f>
        <v>0</v>
      </c>
      <c r="L147" s="486">
        <f>'T3 ANSP'!L147+'T3 MET'!L147+'T3 NSA'!L147</f>
        <v>0</v>
      </c>
      <c r="M147" s="436">
        <f>'T3 ANSP'!M147+'T3 MET'!M147+'T3 NSA'!M147</f>
        <v>0</v>
      </c>
      <c r="O147" s="404"/>
    </row>
    <row r="148" spans="1:15">
      <c r="A148" s="454">
        <v>2021</v>
      </c>
      <c r="B148" s="395"/>
      <c r="C148" s="405" t="s">
        <v>591</v>
      </c>
      <c r="D148" s="406">
        <f>'T3 ANSP'!D148+'T3 MET'!D148+'T3 NSA'!D148</f>
        <v>-42318.455050670455</v>
      </c>
      <c r="E148" s="489">
        <f>'T3 ANSP'!E148+'T3 MET'!E148+'T3 NSA'!E148</f>
        <v>0</v>
      </c>
      <c r="F148" s="490">
        <f>'T3 ANSP'!F148+'T3 MET'!F148+'T3 NSA'!F148</f>
        <v>0</v>
      </c>
      <c r="G148" s="490">
        <f>'T3 ANSP'!G148+'T3 MET'!G148+'T3 NSA'!G148</f>
        <v>0</v>
      </c>
      <c r="H148" s="490">
        <f>'T3 ANSP'!H148+'T3 MET'!H148+'T3 NSA'!H148</f>
        <v>-42318.455050670455</v>
      </c>
      <c r="I148" s="490">
        <f>'T3 ANSP'!I148+'T3 MET'!I148+'T3 NSA'!I148</f>
        <v>0</v>
      </c>
      <c r="J148" s="490">
        <f>'T3 ANSP'!J148+'T3 MET'!J148+'T3 NSA'!J148</f>
        <v>0</v>
      </c>
      <c r="K148" s="490">
        <f>'T3 ANSP'!K148+'T3 MET'!K148+'T3 NSA'!K148</f>
        <v>0</v>
      </c>
      <c r="L148" s="490">
        <f>'T3 ANSP'!L148+'T3 MET'!L148+'T3 NSA'!L148</f>
        <v>0</v>
      </c>
      <c r="M148" s="439">
        <f>'T3 ANSP'!M148+'T3 MET'!M148+'T3 NSA'!M148</f>
        <v>0</v>
      </c>
      <c r="O148" s="404"/>
    </row>
    <row r="149" spans="1:15">
      <c r="A149" s="454">
        <v>2022</v>
      </c>
      <c r="B149" s="395"/>
      <c r="C149" s="405" t="s">
        <v>592</v>
      </c>
      <c r="D149" s="406">
        <f>'T3 ANSP'!D149+'T3 MET'!D149+'T3 NSA'!D149</f>
        <v>-8008.4002176886534</v>
      </c>
      <c r="E149" s="489">
        <f>'T3 ANSP'!E149+'T3 MET'!E149+'T3 NSA'!E149</f>
        <v>0</v>
      </c>
      <c r="F149" s="490">
        <f>'T3 ANSP'!F149+'T3 MET'!F149+'T3 NSA'!F149</f>
        <v>0</v>
      </c>
      <c r="G149" s="490">
        <f>'T3 ANSP'!G149+'T3 MET'!G149+'T3 NSA'!G149</f>
        <v>0</v>
      </c>
      <c r="H149" s="490">
        <f>'T3 ANSP'!H149+'T3 MET'!H149+'T3 NSA'!H149</f>
        <v>0</v>
      </c>
      <c r="I149" s="490">
        <f>'T3 ANSP'!I149+'T3 MET'!I149+'T3 NSA'!I149</f>
        <v>-8008.4002176886534</v>
      </c>
      <c r="J149" s="490">
        <f>'T3 ANSP'!J149+'T3 MET'!J149+'T3 NSA'!J149</f>
        <v>0</v>
      </c>
      <c r="K149" s="490">
        <f>'T3 ANSP'!K149+'T3 MET'!K149+'T3 NSA'!K149</f>
        <v>0</v>
      </c>
      <c r="L149" s="490">
        <f>'T3 ANSP'!L149+'T3 MET'!L149+'T3 NSA'!L149</f>
        <v>0</v>
      </c>
      <c r="M149" s="439">
        <f>'T3 ANSP'!M149+'T3 MET'!M149+'T3 NSA'!M149</f>
        <v>0</v>
      </c>
      <c r="O149" s="404"/>
    </row>
    <row r="150" spans="1:15">
      <c r="A150" s="454" t="s">
        <v>468</v>
      </c>
      <c r="B150" s="395"/>
      <c r="C150" s="412" t="s">
        <v>593</v>
      </c>
      <c r="D150" s="413">
        <f>'T3 ANSP'!D150+'T3 MET'!D150+'T3 NSA'!D150</f>
        <v>-94479.920508941897</v>
      </c>
      <c r="E150" s="414">
        <f>'T3 ANSP'!E150+'T3 MET'!E150+'T3 NSA'!E150</f>
        <v>0</v>
      </c>
      <c r="F150" s="415">
        <f>'T3 ANSP'!F150+'T3 MET'!F150+'T3 NSA'!F150</f>
        <v>0</v>
      </c>
      <c r="G150" s="415">
        <f>'T3 ANSP'!G150+'T3 MET'!G150+'T3 NSA'!G150</f>
        <v>-44153.065240582786</v>
      </c>
      <c r="H150" s="415">
        <f>'T3 ANSP'!H150+'T3 MET'!H150+'T3 NSA'!H150</f>
        <v>-42318.455050670455</v>
      </c>
      <c r="I150" s="415">
        <f>'T3 ANSP'!I150+'T3 MET'!I150+'T3 NSA'!I150</f>
        <v>-8008.4002176886534</v>
      </c>
      <c r="J150" s="415">
        <f>'T3 ANSP'!J150+'T3 MET'!J150+'T3 NSA'!J150</f>
        <v>0</v>
      </c>
      <c r="K150" s="415">
        <f>'T3 ANSP'!K150+'T3 MET'!K150+'T3 NSA'!K150</f>
        <v>0</v>
      </c>
      <c r="L150" s="415">
        <f>'T3 ANSP'!L150+'T3 MET'!L150+'T3 NSA'!L150</f>
        <v>0</v>
      </c>
      <c r="M150" s="1031">
        <f>'T3 ANSP'!M150+'T3 MET'!M150+'T3 NSA'!M150</f>
        <v>0</v>
      </c>
      <c r="O150" s="404"/>
    </row>
    <row r="151" spans="1:15">
      <c r="A151" s="454">
        <v>2023</v>
      </c>
      <c r="B151" s="395"/>
      <c r="C151" s="405" t="s">
        <v>594</v>
      </c>
      <c r="D151" s="406">
        <f>'T3 ANSP'!D151+'T3 MET'!D151+'T3 NSA'!D151</f>
        <v>0</v>
      </c>
      <c r="E151" s="489">
        <f>'T3 ANSP'!E151+'T3 MET'!E151+'T3 NSA'!E151</f>
        <v>0</v>
      </c>
      <c r="F151" s="490">
        <f>'T3 ANSP'!F151+'T3 MET'!F151+'T3 NSA'!F151</f>
        <v>0</v>
      </c>
      <c r="G151" s="490">
        <f>'T3 ANSP'!G151+'T3 MET'!G151+'T3 NSA'!G151</f>
        <v>0</v>
      </c>
      <c r="H151" s="490">
        <f>'T3 ANSP'!H151+'T3 MET'!H151+'T3 NSA'!H151</f>
        <v>0</v>
      </c>
      <c r="I151" s="490">
        <f>'T3 ANSP'!I151+'T3 MET'!I151+'T3 NSA'!I151</f>
        <v>0</v>
      </c>
      <c r="J151" s="422">
        <f>'T3 ANSP'!J151+'T3 MET'!J151+'T3 NSA'!J151</f>
        <v>0</v>
      </c>
      <c r="K151" s="422">
        <f>'T3 ANSP'!K151+'T3 MET'!K151+'T3 NSA'!K151</f>
        <v>0</v>
      </c>
      <c r="L151" s="422">
        <f>'T3 ANSP'!L151+'T3 MET'!L151+'T3 NSA'!L151</f>
        <v>0</v>
      </c>
      <c r="M151" s="439">
        <f>'T3 ANSP'!M151+'T3 MET'!M151+'T3 NSA'!M151</f>
        <v>0</v>
      </c>
      <c r="O151" s="404"/>
    </row>
    <row r="152" spans="1:15">
      <c r="A152" s="454">
        <v>2024</v>
      </c>
      <c r="B152" s="395"/>
      <c r="C152" s="405" t="s">
        <v>595</v>
      </c>
      <c r="D152" s="406">
        <f>'T3 ANSP'!D152+'T3 MET'!D152+'T3 NSA'!D152</f>
        <v>0</v>
      </c>
      <c r="E152" s="489">
        <f>'T3 ANSP'!E152+'T3 MET'!E152+'T3 NSA'!E152</f>
        <v>0</v>
      </c>
      <c r="F152" s="490">
        <f>'T3 ANSP'!F152+'T3 MET'!F152+'T3 NSA'!F152</f>
        <v>0</v>
      </c>
      <c r="G152" s="490">
        <f>'T3 ANSP'!G152+'T3 MET'!G152+'T3 NSA'!G152</f>
        <v>0</v>
      </c>
      <c r="H152" s="490">
        <f>'T3 ANSP'!H152+'T3 MET'!H152+'T3 NSA'!H152</f>
        <v>0</v>
      </c>
      <c r="I152" s="490">
        <f>'T3 ANSP'!I152+'T3 MET'!I152+'T3 NSA'!I152</f>
        <v>0</v>
      </c>
      <c r="J152" s="422">
        <f>'T3 ANSP'!J152+'T3 MET'!J152+'T3 NSA'!J152</f>
        <v>0</v>
      </c>
      <c r="K152" s="422">
        <f>'T3 ANSP'!K152+'T3 MET'!K152+'T3 NSA'!K152</f>
        <v>0</v>
      </c>
      <c r="L152" s="422">
        <f>'T3 ANSP'!L152+'T3 MET'!L152+'T3 NSA'!L152</f>
        <v>0</v>
      </c>
      <c r="M152" s="439">
        <f>'T3 ANSP'!M152+'T3 MET'!M152+'T3 NSA'!M152</f>
        <v>0</v>
      </c>
      <c r="O152" s="404"/>
    </row>
    <row r="153" spans="1:15" s="461" customFormat="1">
      <c r="A153" s="454">
        <v>2025</v>
      </c>
      <c r="B153" s="395"/>
      <c r="C153" s="405" t="s">
        <v>596</v>
      </c>
      <c r="D153" s="406">
        <f>'T3 ANSP'!D153+'T3 MET'!D153+'T3 NSA'!D153</f>
        <v>0</v>
      </c>
      <c r="E153" s="489">
        <f>'T3 ANSP'!E153+'T3 MET'!E153+'T3 NSA'!E153</f>
        <v>0</v>
      </c>
      <c r="F153" s="490">
        <f>'T3 ANSP'!F153+'T3 MET'!F153+'T3 NSA'!F153</f>
        <v>0</v>
      </c>
      <c r="G153" s="490">
        <f>'T3 ANSP'!G153+'T3 MET'!G153+'T3 NSA'!G153</f>
        <v>0</v>
      </c>
      <c r="H153" s="490">
        <f>'T3 ANSP'!H153+'T3 MET'!H153+'T3 NSA'!H153</f>
        <v>0</v>
      </c>
      <c r="I153" s="490">
        <f>'T3 ANSP'!I153+'T3 MET'!I153+'T3 NSA'!I153</f>
        <v>0</v>
      </c>
      <c r="J153" s="422">
        <f>'T3 ANSP'!J153+'T3 MET'!J153+'T3 NSA'!J153</f>
        <v>0</v>
      </c>
      <c r="K153" s="422">
        <f>'T3 ANSP'!K153+'T3 MET'!K153+'T3 NSA'!K153</f>
        <v>0</v>
      </c>
      <c r="L153" s="422">
        <f>'T3 ANSP'!L153+'T3 MET'!L153+'T3 NSA'!L153</f>
        <v>0</v>
      </c>
      <c r="M153" s="439">
        <f>'T3 ANSP'!M153+'T3 MET'!M153+'T3 NSA'!M153</f>
        <v>0</v>
      </c>
      <c r="O153" s="404"/>
    </row>
    <row r="154" spans="1:15">
      <c r="A154" s="454">
        <v>2026</v>
      </c>
      <c r="B154" s="395"/>
      <c r="C154" s="405" t="s">
        <v>597</v>
      </c>
      <c r="D154" s="406">
        <f>'T3 ANSP'!D154+'T3 MET'!D154+'T3 NSA'!D154</f>
        <v>0</v>
      </c>
      <c r="E154" s="489">
        <f>'T3 ANSP'!E154+'T3 MET'!E154+'T3 NSA'!E154</f>
        <v>0</v>
      </c>
      <c r="F154" s="490">
        <f>'T3 ANSP'!F154+'T3 MET'!F154+'T3 NSA'!F154</f>
        <v>0</v>
      </c>
      <c r="G154" s="490">
        <f>'T3 ANSP'!G154+'T3 MET'!G154+'T3 NSA'!G154</f>
        <v>0</v>
      </c>
      <c r="H154" s="490">
        <f>'T3 ANSP'!H154+'T3 MET'!H154+'T3 NSA'!H154</f>
        <v>0</v>
      </c>
      <c r="I154" s="490">
        <f>'T3 ANSP'!I154+'T3 MET'!I154+'T3 NSA'!I154</f>
        <v>0</v>
      </c>
      <c r="J154" s="490">
        <f>'T3 ANSP'!J154+'T3 MET'!J154+'T3 NSA'!J154</f>
        <v>0</v>
      </c>
      <c r="K154" s="490">
        <f>'T3 ANSP'!K154+'T3 MET'!K154+'T3 NSA'!K154</f>
        <v>0</v>
      </c>
      <c r="L154" s="490">
        <f>'T3 ANSP'!L154+'T3 MET'!L154+'T3 NSA'!L154</f>
        <v>0</v>
      </c>
      <c r="M154" s="439">
        <f>'T3 ANSP'!M154+'T3 MET'!M154+'T3 NSA'!M154</f>
        <v>0</v>
      </c>
      <c r="O154" s="404"/>
    </row>
    <row r="155" spans="1:15">
      <c r="A155" s="454">
        <v>2027</v>
      </c>
      <c r="B155" s="395"/>
      <c r="C155" s="405" t="s">
        <v>598</v>
      </c>
      <c r="D155" s="406">
        <f>'T3 ANSP'!D155+'T3 MET'!D155+'T3 NSA'!D155</f>
        <v>0</v>
      </c>
      <c r="E155" s="489">
        <f>'T3 ANSP'!E155+'T3 MET'!E155+'T3 NSA'!E155</f>
        <v>0</v>
      </c>
      <c r="F155" s="490">
        <f>'T3 ANSP'!F155+'T3 MET'!F155+'T3 NSA'!F155</f>
        <v>0</v>
      </c>
      <c r="G155" s="490">
        <f>'T3 ANSP'!G155+'T3 MET'!G155+'T3 NSA'!G155</f>
        <v>0</v>
      </c>
      <c r="H155" s="490">
        <f>'T3 ANSP'!H155+'T3 MET'!H155+'T3 NSA'!H155</f>
        <v>0</v>
      </c>
      <c r="I155" s="490">
        <f>'T3 ANSP'!I155+'T3 MET'!I155+'T3 NSA'!I155</f>
        <v>0</v>
      </c>
      <c r="J155" s="490">
        <f>'T3 ANSP'!J155+'T3 MET'!J155+'T3 NSA'!J155</f>
        <v>0</v>
      </c>
      <c r="K155" s="490">
        <f>'T3 ANSP'!K155+'T3 MET'!K155+'T3 NSA'!K155</f>
        <v>0</v>
      </c>
      <c r="L155" s="490">
        <f>'T3 ANSP'!L155+'T3 MET'!L155+'T3 NSA'!L155</f>
        <v>0</v>
      </c>
      <c r="M155" s="439">
        <f>'T3 ANSP'!M155+'T3 MET'!M155+'T3 NSA'!M155</f>
        <v>0</v>
      </c>
      <c r="O155" s="404"/>
    </row>
    <row r="156" spans="1:15">
      <c r="A156" s="454" t="s">
        <v>463</v>
      </c>
      <c r="B156" s="395"/>
      <c r="C156" s="412" t="s">
        <v>599</v>
      </c>
      <c r="D156" s="413">
        <f>'T3 ANSP'!D156+'T3 MET'!D156+'T3 NSA'!D156</f>
        <v>-100365.83656062969</v>
      </c>
      <c r="E156" s="414">
        <f>'T3 ANSP'!E156+'T3 MET'!E156+'T3 NSA'!E156</f>
        <v>-7397.3308496424297</v>
      </c>
      <c r="F156" s="415">
        <f>'T3 ANSP'!F156+'T3 MET'!F156+'T3 NSA'!F156</f>
        <v>1511.4147979546397</v>
      </c>
      <c r="G156" s="415">
        <f>'T3 ANSP'!G156+'T3 MET'!G156+'T3 NSA'!G156</f>
        <v>-44153.065240582786</v>
      </c>
      <c r="H156" s="415">
        <f>'T3 ANSP'!H156+'T3 MET'!H156+'T3 NSA'!H156</f>
        <v>-42318.455050670455</v>
      </c>
      <c r="I156" s="450">
        <f>'T3 ANSP'!I156+'T3 MET'!I156+'T3 NSA'!I156</f>
        <v>-8008.4002176886534</v>
      </c>
      <c r="J156" s="450">
        <f>'T3 ANSP'!J156+'T3 MET'!J156+'T3 NSA'!J156</f>
        <v>0</v>
      </c>
      <c r="K156" s="450">
        <f>'T3 ANSP'!K156+'T3 MET'!K156+'T3 NSA'!K156</f>
        <v>0</v>
      </c>
      <c r="L156" s="450">
        <f>'T3 ANSP'!L156+'T3 MET'!L156+'T3 NSA'!L156</f>
        <v>0</v>
      </c>
      <c r="M156" s="1031">
        <f>'T3 ANSP'!M156+'T3 MET'!M156+'T3 NSA'!M156</f>
        <v>0</v>
      </c>
      <c r="O156" s="404"/>
    </row>
    <row r="157" spans="1:15">
      <c r="A157" s="454">
        <v>2020</v>
      </c>
      <c r="B157" s="395"/>
      <c r="C157" s="397" t="s">
        <v>600</v>
      </c>
      <c r="D157" s="451">
        <f>'T3 ANSP'!D157+'T3 MET'!D157+'T3 NSA'!D157</f>
        <v>55500.171584928743</v>
      </c>
      <c r="E157" s="437">
        <f>'T3 ANSP'!E157+'T3 MET'!E157+'T3 NSA'!E157</f>
        <v>0</v>
      </c>
      <c r="F157" s="420">
        <f>'T3 ANSP'!F157+'T3 MET'!F157+'T3 NSA'!F157</f>
        <v>0</v>
      </c>
      <c r="G157" s="1319">
        <f>'T3 ANSP'!G157+'T3 MET'!G157+'T3 NSA'!G157</f>
        <v>55500.171584928743</v>
      </c>
      <c r="H157" s="420">
        <f>'T3 ANSP'!H157+'T3 MET'!H157+'T3 NSA'!H157</f>
        <v>0</v>
      </c>
      <c r="I157" s="1315">
        <f>'T3 ANSP'!I157+'T3 MET'!I157+'T3 NSA'!I157</f>
        <v>0</v>
      </c>
      <c r="J157" s="446">
        <f>'T3 ANSP'!J157+'T3 MET'!J157+'T3 NSA'!J157</f>
        <v>0</v>
      </c>
      <c r="K157" s="446">
        <f>'T3 ANSP'!K157+'T3 MET'!K157+'T3 NSA'!K157</f>
        <v>0</v>
      </c>
      <c r="L157" s="446">
        <f>'T3 ANSP'!L157+'T3 MET'!L157+'T3 NSA'!L157</f>
        <v>0</v>
      </c>
      <c r="M157" s="436">
        <f>'T3 ANSP'!M157+'T3 MET'!M157+'T3 NSA'!M157</f>
        <v>0</v>
      </c>
      <c r="O157" s="404"/>
    </row>
    <row r="158" spans="1:15">
      <c r="A158" s="454">
        <v>2021</v>
      </c>
      <c r="B158" s="395"/>
      <c r="C158" s="405" t="s">
        <v>601</v>
      </c>
      <c r="D158" s="452">
        <f>'T3 ANSP'!D158+'T3 MET'!D158+'T3 NSA'!D158</f>
        <v>50079.167241786708</v>
      </c>
      <c r="E158" s="440">
        <f>'T3 ANSP'!E158+'T3 MET'!E158+'T3 NSA'!E158</f>
        <v>0</v>
      </c>
      <c r="F158" s="422">
        <f>'T3 ANSP'!F158+'T3 MET'!F158+'T3 NSA'!F158</f>
        <v>0</v>
      </c>
      <c r="G158" s="422">
        <f>'T3 ANSP'!G158+'T3 MET'!G158+'T3 NSA'!G158</f>
        <v>0</v>
      </c>
      <c r="H158" s="422">
        <f>'T3 ANSP'!H158+'T3 MET'!H158+'T3 NSA'!H158</f>
        <v>50079.167241786708</v>
      </c>
      <c r="I158" s="1041">
        <f>'T3 ANSP'!I158+'T3 MET'!I158+'T3 NSA'!I158</f>
        <v>0</v>
      </c>
      <c r="J158" s="446">
        <f>'T3 ANSP'!J158+'T3 MET'!J158+'T3 NSA'!J158</f>
        <v>0</v>
      </c>
      <c r="K158" s="446">
        <f>'T3 ANSP'!K158+'T3 MET'!K158+'T3 NSA'!K158</f>
        <v>0</v>
      </c>
      <c r="L158" s="446">
        <f>'T3 ANSP'!L158+'T3 MET'!L158+'T3 NSA'!L158</f>
        <v>0</v>
      </c>
      <c r="M158" s="439">
        <f>'T3 ANSP'!M158+'T3 MET'!M158+'T3 NSA'!M158</f>
        <v>0</v>
      </c>
      <c r="O158" s="404"/>
    </row>
    <row r="159" spans="1:15">
      <c r="A159" s="454">
        <v>2022</v>
      </c>
      <c r="B159" s="395"/>
      <c r="C159" s="405" t="s">
        <v>602</v>
      </c>
      <c r="D159" s="452">
        <f>'T3 ANSP'!D159+'T3 MET'!D159+'T3 NSA'!D159</f>
        <v>22451.82648766039</v>
      </c>
      <c r="E159" s="440">
        <f>'T3 ANSP'!E159+'T3 MET'!E159+'T3 NSA'!E159</f>
        <v>0</v>
      </c>
      <c r="F159" s="422">
        <f>'T3 ANSP'!F159+'T3 MET'!F159+'T3 NSA'!F159</f>
        <v>0</v>
      </c>
      <c r="G159" s="422">
        <f>'T3 ANSP'!G159+'T3 MET'!G159+'T3 NSA'!G159</f>
        <v>0</v>
      </c>
      <c r="H159" s="422">
        <f>'T3 ANSP'!H159+'T3 MET'!H159+'T3 NSA'!H159</f>
        <v>0</v>
      </c>
      <c r="I159" s="1041">
        <f>'T3 ANSP'!I159+'T3 MET'!I159+'T3 NSA'!I159</f>
        <v>22451.82648766039</v>
      </c>
      <c r="J159" s="446">
        <f>'T3 ANSP'!J159+'T3 MET'!J159+'T3 NSA'!J159</f>
        <v>0</v>
      </c>
      <c r="K159" s="446">
        <f>'T3 ANSP'!K159+'T3 MET'!K159+'T3 NSA'!K159</f>
        <v>0</v>
      </c>
      <c r="L159" s="446">
        <f>'T3 ANSP'!L159+'T3 MET'!L159+'T3 NSA'!L159</f>
        <v>0</v>
      </c>
      <c r="M159" s="439">
        <f>'T3 ANSP'!M159+'T3 MET'!M159+'T3 NSA'!M159</f>
        <v>0</v>
      </c>
      <c r="O159" s="404"/>
    </row>
    <row r="160" spans="1:15">
      <c r="A160" s="454" t="s">
        <v>468</v>
      </c>
      <c r="B160" s="395"/>
      <c r="C160" s="412" t="s">
        <v>603</v>
      </c>
      <c r="D160" s="413">
        <f>'T3 ANSP'!D160+'T3 MET'!D160+'T3 NSA'!D160</f>
        <v>128031.16531437586</v>
      </c>
      <c r="E160" s="414">
        <f>'T3 ANSP'!E160+'T3 MET'!E160+'T3 NSA'!E160</f>
        <v>0</v>
      </c>
      <c r="F160" s="415">
        <f>'T3 ANSP'!F160+'T3 MET'!F160+'T3 NSA'!F160</f>
        <v>0</v>
      </c>
      <c r="G160" s="415">
        <f>'T3 ANSP'!G160+'T3 MET'!G160+'T3 NSA'!G160</f>
        <v>55500.171584928743</v>
      </c>
      <c r="H160" s="415">
        <f>'T3 ANSP'!H160+'T3 MET'!H160+'T3 NSA'!H160</f>
        <v>50079.167241786708</v>
      </c>
      <c r="I160" s="415">
        <f>'T3 ANSP'!I160+'T3 MET'!I160+'T3 NSA'!I160</f>
        <v>22451.82648766039</v>
      </c>
      <c r="J160" s="415">
        <f>'T3 ANSP'!J160+'T3 MET'!J160+'T3 NSA'!J160</f>
        <v>0</v>
      </c>
      <c r="K160" s="415">
        <f>'T3 ANSP'!K160+'T3 MET'!K160+'T3 NSA'!K160</f>
        <v>0</v>
      </c>
      <c r="L160" s="415">
        <f>'T3 ANSP'!L160+'T3 MET'!L160+'T3 NSA'!L160</f>
        <v>0</v>
      </c>
      <c r="M160" s="1031">
        <f>'T3 ANSP'!M160+'T3 MET'!M160+'T3 NSA'!M160</f>
        <v>0</v>
      </c>
      <c r="O160" s="404"/>
    </row>
    <row r="161" spans="1:15">
      <c r="A161" s="454">
        <v>2023</v>
      </c>
      <c r="B161" s="395"/>
      <c r="C161" s="405" t="s">
        <v>604</v>
      </c>
      <c r="D161" s="452">
        <f>'T3 ANSP'!D161+'T3 MET'!D161+'T3 NSA'!D161</f>
        <v>0</v>
      </c>
      <c r="E161" s="440">
        <f>'T3 ANSP'!E161+'T3 MET'!E161+'T3 NSA'!E161</f>
        <v>0</v>
      </c>
      <c r="F161" s="422">
        <f>'T3 ANSP'!F161+'T3 MET'!F161+'T3 NSA'!F161</f>
        <v>0</v>
      </c>
      <c r="G161" s="422">
        <f>'T3 ANSP'!G161+'T3 MET'!G161+'T3 NSA'!G161</f>
        <v>0</v>
      </c>
      <c r="H161" s="422">
        <f>'T3 ANSP'!H161+'T3 MET'!H161+'T3 NSA'!H161</f>
        <v>0</v>
      </c>
      <c r="I161" s="422">
        <f>'T3 ANSP'!I161+'T3 MET'!I161+'T3 NSA'!I161</f>
        <v>0</v>
      </c>
      <c r="J161" s="422">
        <f>'T3 ANSP'!J161+'T3 MET'!J161+'T3 NSA'!J161</f>
        <v>0</v>
      </c>
      <c r="K161" s="422">
        <f>'T3 ANSP'!K161+'T3 MET'!K161+'T3 NSA'!K161</f>
        <v>0</v>
      </c>
      <c r="L161" s="422">
        <f>'T3 ANSP'!L161+'T3 MET'!L161+'T3 NSA'!L161</f>
        <v>0</v>
      </c>
      <c r="M161" s="439">
        <f>'T3 ANSP'!M161+'T3 MET'!M161+'T3 NSA'!M161</f>
        <v>0</v>
      </c>
      <c r="O161" s="404"/>
    </row>
    <row r="162" spans="1:15">
      <c r="A162" s="454">
        <v>2024</v>
      </c>
      <c r="B162" s="395"/>
      <c r="C162" s="405" t="s">
        <v>605</v>
      </c>
      <c r="D162" s="452">
        <f>'T3 ANSP'!D162+'T3 MET'!D162+'T3 NSA'!D162</f>
        <v>0</v>
      </c>
      <c r="E162" s="440">
        <f>'T3 ANSP'!E162+'T3 MET'!E162+'T3 NSA'!E162</f>
        <v>0</v>
      </c>
      <c r="F162" s="422">
        <f>'T3 ANSP'!F162+'T3 MET'!F162+'T3 NSA'!F162</f>
        <v>0</v>
      </c>
      <c r="G162" s="422">
        <f>'T3 ANSP'!G162+'T3 MET'!G162+'T3 NSA'!G162</f>
        <v>0</v>
      </c>
      <c r="H162" s="422">
        <f>'T3 ANSP'!H162+'T3 MET'!H162+'T3 NSA'!H162</f>
        <v>0</v>
      </c>
      <c r="I162" s="422">
        <f>'T3 ANSP'!I162+'T3 MET'!I162+'T3 NSA'!I162</f>
        <v>0</v>
      </c>
      <c r="J162" s="422">
        <f>'T3 ANSP'!J162+'T3 MET'!J162+'T3 NSA'!J162</f>
        <v>0</v>
      </c>
      <c r="K162" s="422">
        <f>'T3 ANSP'!K162+'T3 MET'!K162+'T3 NSA'!K162</f>
        <v>0</v>
      </c>
      <c r="L162" s="422">
        <f>'T3 ANSP'!L162+'T3 MET'!L162+'T3 NSA'!L162</f>
        <v>0</v>
      </c>
      <c r="M162" s="439">
        <f>'T3 ANSP'!M162+'T3 MET'!M162+'T3 NSA'!M162</f>
        <v>0</v>
      </c>
      <c r="O162" s="404"/>
    </row>
    <row r="163" spans="1:15">
      <c r="A163" s="454">
        <v>2025</v>
      </c>
      <c r="B163" s="395"/>
      <c r="C163" s="405" t="s">
        <v>606</v>
      </c>
      <c r="D163" s="452">
        <f>'T3 ANSP'!D163+'T3 MET'!D163+'T3 NSA'!D163</f>
        <v>0</v>
      </c>
      <c r="E163" s="440">
        <f>'T3 ANSP'!E163+'T3 MET'!E163+'T3 NSA'!E163</f>
        <v>0</v>
      </c>
      <c r="F163" s="422">
        <f>'T3 ANSP'!F163+'T3 MET'!F163+'T3 NSA'!F163</f>
        <v>0</v>
      </c>
      <c r="G163" s="422">
        <f>'T3 ANSP'!G163+'T3 MET'!G163+'T3 NSA'!G163</f>
        <v>0</v>
      </c>
      <c r="H163" s="422">
        <f>'T3 ANSP'!H163+'T3 MET'!H163+'T3 NSA'!H163</f>
        <v>0</v>
      </c>
      <c r="I163" s="422">
        <f>'T3 ANSP'!I163+'T3 MET'!I163+'T3 NSA'!I163</f>
        <v>0</v>
      </c>
      <c r="J163" s="422">
        <f>'T3 ANSP'!J163+'T3 MET'!J163+'T3 NSA'!J163</f>
        <v>0</v>
      </c>
      <c r="K163" s="422">
        <f>'T3 ANSP'!K163+'T3 MET'!K163+'T3 NSA'!K163</f>
        <v>0</v>
      </c>
      <c r="L163" s="422">
        <f>'T3 ANSP'!L163+'T3 MET'!L163+'T3 NSA'!L163</f>
        <v>0</v>
      </c>
      <c r="M163" s="439">
        <f>'T3 ANSP'!M163+'T3 MET'!M163+'T3 NSA'!M163</f>
        <v>0</v>
      </c>
      <c r="O163" s="404"/>
    </row>
    <row r="164" spans="1:15">
      <c r="A164" s="454">
        <v>2026</v>
      </c>
      <c r="B164" s="395"/>
      <c r="C164" s="405" t="s">
        <v>607</v>
      </c>
      <c r="D164" s="452">
        <f>'T3 ANSP'!D164+'T3 MET'!D164+'T3 NSA'!D164</f>
        <v>0</v>
      </c>
      <c r="E164" s="440">
        <f>'T3 ANSP'!E164+'T3 MET'!E164+'T3 NSA'!E164</f>
        <v>0</v>
      </c>
      <c r="F164" s="422">
        <f>'T3 ANSP'!F164+'T3 MET'!F164+'T3 NSA'!F164</f>
        <v>0</v>
      </c>
      <c r="G164" s="422">
        <f>'T3 ANSP'!G164+'T3 MET'!G164+'T3 NSA'!G164</f>
        <v>0</v>
      </c>
      <c r="H164" s="422">
        <f>'T3 ANSP'!H164+'T3 MET'!H164+'T3 NSA'!H164</f>
        <v>0</v>
      </c>
      <c r="I164" s="422">
        <f>'T3 ANSP'!I164+'T3 MET'!I164+'T3 NSA'!I164</f>
        <v>0</v>
      </c>
      <c r="J164" s="422">
        <f>'T3 ANSP'!J164+'T3 MET'!J164+'T3 NSA'!J164</f>
        <v>0</v>
      </c>
      <c r="K164" s="422">
        <f>'T3 ANSP'!K164+'T3 MET'!K164+'T3 NSA'!K164</f>
        <v>0</v>
      </c>
      <c r="L164" s="422">
        <f>'T3 ANSP'!L164+'T3 MET'!L164+'T3 NSA'!L164</f>
        <v>0</v>
      </c>
      <c r="M164" s="439">
        <f>'T3 ANSP'!M164+'T3 MET'!M164+'T3 NSA'!M164</f>
        <v>0</v>
      </c>
      <c r="O164" s="404"/>
    </row>
    <row r="165" spans="1:15">
      <c r="A165" s="454">
        <v>2027</v>
      </c>
      <c r="B165" s="395"/>
      <c r="C165" s="405" t="s">
        <v>608</v>
      </c>
      <c r="D165" s="453">
        <f>'T3 ANSP'!D165+'T3 MET'!D165+'T3 NSA'!D165</f>
        <v>0</v>
      </c>
      <c r="E165" s="1318">
        <f>'T3 ANSP'!E165+'T3 MET'!E165+'T3 NSA'!E165</f>
        <v>0</v>
      </c>
      <c r="F165" s="462">
        <f>'T3 ANSP'!F165+'T3 MET'!F165+'T3 NSA'!F165</f>
        <v>0</v>
      </c>
      <c r="G165" s="462">
        <f>'T3 ANSP'!G165+'T3 MET'!G165+'T3 NSA'!G165</f>
        <v>0</v>
      </c>
      <c r="H165" s="462">
        <f>'T3 ANSP'!H165+'T3 MET'!H165+'T3 NSA'!H165</f>
        <v>0</v>
      </c>
      <c r="I165" s="462">
        <f>'T3 ANSP'!I165+'T3 MET'!I165+'T3 NSA'!I165</f>
        <v>0</v>
      </c>
      <c r="J165" s="462">
        <f>'T3 ANSP'!J165+'T3 MET'!J165+'T3 NSA'!J165</f>
        <v>0</v>
      </c>
      <c r="K165" s="462">
        <f>'T3 ANSP'!K165+'T3 MET'!K165+'T3 NSA'!K165</f>
        <v>0</v>
      </c>
      <c r="L165" s="462">
        <f>'T3 ANSP'!L165+'T3 MET'!L165+'T3 NSA'!L165</f>
        <v>0</v>
      </c>
      <c r="M165" s="1056">
        <f>'T3 ANSP'!M165+'T3 MET'!M165+'T3 NSA'!M165</f>
        <v>0</v>
      </c>
      <c r="O165" s="404"/>
    </row>
    <row r="166" spans="1:15">
      <c r="A166" s="454" t="s">
        <v>475</v>
      </c>
      <c r="C166" s="430" t="s">
        <v>922</v>
      </c>
      <c r="D166" s="431">
        <f>'T3 ANSP'!D166+'T3 MET'!D166+'T3 NSA'!D166</f>
        <v>27665.328753746166</v>
      </c>
      <c r="E166" s="479">
        <f>'T3 ANSP'!E166+'T3 MET'!E166+'T3 NSA'!E166</f>
        <v>-7397.3308496424297</v>
      </c>
      <c r="F166" s="433">
        <f>'T3 ANSP'!F166+'T3 MET'!F166+'T3 NSA'!F166</f>
        <v>1511.4147979546397</v>
      </c>
      <c r="G166" s="433">
        <f>'T3 ANSP'!G166+'T3 MET'!G166+'T3 NSA'!G166</f>
        <v>11347.106344345964</v>
      </c>
      <c r="H166" s="433">
        <f>'T3 ANSP'!H166+'T3 MET'!H166+'T3 NSA'!H166</f>
        <v>8166.328625974842</v>
      </c>
      <c r="I166" s="433">
        <f>'T3 ANSP'!I166+'T3 MET'!I166+'T3 NSA'!I166</f>
        <v>15452.626267382355</v>
      </c>
      <c r="J166" s="433">
        <f>'T3 ANSP'!J166+'T3 MET'!J166+'T3 NSA'!J166</f>
        <v>0</v>
      </c>
      <c r="K166" s="433">
        <f>'T3 ANSP'!K166+'T3 MET'!K166+'T3 NSA'!K166</f>
        <v>0</v>
      </c>
      <c r="L166" s="433">
        <f>'T3 ANSP'!L166+'T3 MET'!L166+'T3 NSA'!L166</f>
        <v>0</v>
      </c>
      <c r="M166" s="1055">
        <f>'T3 ANSP'!M166+'T3 MET'!M166+'T3 NSA'!M166</f>
        <v>0</v>
      </c>
    </row>
    <row r="167" spans="1:15">
      <c r="A167" s="748"/>
      <c r="B167" s="395"/>
      <c r="D167" s="434"/>
      <c r="E167" s="434"/>
      <c r="F167" s="606"/>
      <c r="G167" s="434"/>
      <c r="H167" s="434"/>
      <c r="I167" s="434"/>
      <c r="J167" s="434"/>
      <c r="K167" s="434"/>
      <c r="L167" s="434"/>
      <c r="M167" s="434"/>
      <c r="O167" s="768"/>
    </row>
    <row r="168" spans="1:15">
      <c r="A168" s="454">
        <v>2017</v>
      </c>
      <c r="B168" s="395"/>
      <c r="C168" s="397" t="s">
        <v>610</v>
      </c>
      <c r="D168" s="474">
        <f>'T3 ANSP'!D168+'T3 MET'!D168+'T3 NSA'!D168</f>
        <v>0</v>
      </c>
      <c r="E168" s="485">
        <f>'T3 ANSP'!E168+'T3 MET'!E168+'T3 NSA'!E168</f>
        <v>0</v>
      </c>
      <c r="F168" s="486">
        <f>'T3 ANSP'!F168+'T3 MET'!F168+'T3 NSA'!F168</f>
        <v>0</v>
      </c>
      <c r="G168" s="486">
        <f>'T3 ANSP'!G168+'T3 MET'!G168+'T3 NSA'!G168</f>
        <v>0</v>
      </c>
      <c r="H168" s="486">
        <f>'T3 ANSP'!H168+'T3 MET'!H168+'T3 NSA'!H168</f>
        <v>0</v>
      </c>
      <c r="I168" s="486">
        <f>'T3 ANSP'!I168+'T3 MET'!I168+'T3 NSA'!I168</f>
        <v>0</v>
      </c>
      <c r="J168" s="486">
        <f>'T3 ANSP'!J168+'T3 MET'!J168+'T3 NSA'!J168</f>
        <v>0</v>
      </c>
      <c r="K168" s="486">
        <f>'T3 ANSP'!K168+'T3 MET'!K168+'T3 NSA'!K168</f>
        <v>0</v>
      </c>
      <c r="L168" s="486">
        <f>'T3 ANSP'!L168+'T3 MET'!L168+'T3 NSA'!L168</f>
        <v>0</v>
      </c>
      <c r="M168" s="436">
        <f>'T3 ANSP'!M168+'T3 MET'!M168+'T3 NSA'!M168</f>
        <v>0</v>
      </c>
      <c r="O168" s="768"/>
    </row>
    <row r="169" spans="1:15">
      <c r="A169" s="454">
        <v>2018</v>
      </c>
      <c r="B169" s="395"/>
      <c r="C169" s="405" t="s">
        <v>611</v>
      </c>
      <c r="D169" s="476">
        <f>'T3 ANSP'!D169+'T3 MET'!D169+'T3 NSA'!D169</f>
        <v>0</v>
      </c>
      <c r="E169" s="489">
        <f>'T3 ANSP'!E169+'T3 MET'!E169+'T3 NSA'!E169</f>
        <v>0</v>
      </c>
      <c r="F169" s="490">
        <f>'T3 ANSP'!F169+'T3 MET'!F169+'T3 NSA'!F169</f>
        <v>0</v>
      </c>
      <c r="G169" s="490">
        <f>'T3 ANSP'!G169+'T3 MET'!G169+'T3 NSA'!G169</f>
        <v>0</v>
      </c>
      <c r="H169" s="490">
        <f>'T3 ANSP'!H169+'T3 MET'!H169+'T3 NSA'!H169</f>
        <v>0</v>
      </c>
      <c r="I169" s="490">
        <f>'T3 ANSP'!I169+'T3 MET'!I169+'T3 NSA'!I169</f>
        <v>0</v>
      </c>
      <c r="J169" s="490">
        <f>'T3 ANSP'!J169+'T3 MET'!J169+'T3 NSA'!J169</f>
        <v>0</v>
      </c>
      <c r="K169" s="490">
        <f>'T3 ANSP'!K169+'T3 MET'!K169+'T3 NSA'!K169</f>
        <v>0</v>
      </c>
      <c r="L169" s="490">
        <f>'T3 ANSP'!L169+'T3 MET'!L169+'T3 NSA'!L169</f>
        <v>0</v>
      </c>
      <c r="M169" s="439">
        <f>'T3 ANSP'!M169+'T3 MET'!M169+'T3 NSA'!M169</f>
        <v>0</v>
      </c>
      <c r="O169" s="768"/>
    </row>
    <row r="170" spans="1:15">
      <c r="A170" s="454">
        <v>2019</v>
      </c>
      <c r="B170" s="395"/>
      <c r="C170" s="405" t="s">
        <v>612</v>
      </c>
      <c r="D170" s="476">
        <f>'T3 ANSP'!D170+'T3 MET'!D170+'T3 NSA'!D170</f>
        <v>0</v>
      </c>
      <c r="E170" s="489">
        <f>'T3 ANSP'!E170+'T3 MET'!E170+'T3 NSA'!E170</f>
        <v>0</v>
      </c>
      <c r="F170" s="490">
        <f>'T3 ANSP'!F170+'T3 MET'!F170+'T3 NSA'!F170</f>
        <v>0</v>
      </c>
      <c r="G170" s="490">
        <f>'T3 ANSP'!G170+'T3 MET'!G170+'T3 NSA'!G170</f>
        <v>0</v>
      </c>
      <c r="H170" s="490">
        <f>'T3 ANSP'!H170+'T3 MET'!H170+'T3 NSA'!H170</f>
        <v>0</v>
      </c>
      <c r="I170" s="490">
        <f>'T3 ANSP'!I170+'T3 MET'!I170+'T3 NSA'!I170</f>
        <v>0</v>
      </c>
      <c r="J170" s="490">
        <f>'T3 ANSP'!J170+'T3 MET'!J170+'T3 NSA'!J170</f>
        <v>0</v>
      </c>
      <c r="K170" s="490">
        <f>'T3 ANSP'!K170+'T3 MET'!K170+'T3 NSA'!K170</f>
        <v>0</v>
      </c>
      <c r="L170" s="490">
        <f>'T3 ANSP'!L170+'T3 MET'!L170+'T3 NSA'!L170</f>
        <v>0</v>
      </c>
      <c r="M170" s="439">
        <f>'T3 ANSP'!M170+'T3 MET'!M170+'T3 NSA'!M170</f>
        <v>0</v>
      </c>
      <c r="O170" s="768"/>
    </row>
    <row r="171" spans="1:15">
      <c r="A171" s="454" t="s">
        <v>463</v>
      </c>
      <c r="B171" s="395"/>
      <c r="C171" s="412" t="s">
        <v>613</v>
      </c>
      <c r="D171" s="413">
        <f>'T3 ANSP'!D171+'T3 MET'!D171+'T3 NSA'!D171</f>
        <v>0</v>
      </c>
      <c r="E171" s="414">
        <f>'T3 ANSP'!E171+'T3 MET'!E171+'T3 NSA'!E171</f>
        <v>0</v>
      </c>
      <c r="F171" s="415">
        <f>'T3 ANSP'!F171+'T3 MET'!F171+'T3 NSA'!F171</f>
        <v>0</v>
      </c>
      <c r="G171" s="415">
        <f>'T3 ANSP'!G171+'T3 MET'!G171+'T3 NSA'!G171</f>
        <v>0</v>
      </c>
      <c r="H171" s="415">
        <f>'T3 ANSP'!H171+'T3 MET'!H171+'T3 NSA'!H171</f>
        <v>0</v>
      </c>
      <c r="I171" s="415">
        <f>'T3 ANSP'!I171+'T3 MET'!I171+'T3 NSA'!I171</f>
        <v>0</v>
      </c>
      <c r="J171" s="415">
        <f>'T3 ANSP'!J171+'T3 MET'!J171+'T3 NSA'!J171</f>
        <v>0</v>
      </c>
      <c r="K171" s="415">
        <f>'T3 ANSP'!K171+'T3 MET'!K171+'T3 NSA'!K171</f>
        <v>0</v>
      </c>
      <c r="L171" s="415">
        <f>'T3 ANSP'!L171+'T3 MET'!L171+'T3 NSA'!L171</f>
        <v>0</v>
      </c>
      <c r="M171" s="1031">
        <f>'T3 ANSP'!M171+'T3 MET'!M171+'T3 NSA'!M171</f>
        <v>0</v>
      </c>
      <c r="O171" s="768"/>
    </row>
    <row r="172" spans="1:15">
      <c r="A172" s="962">
        <v>2020</v>
      </c>
      <c r="B172" s="395"/>
      <c r="C172" s="435" t="s">
        <v>614</v>
      </c>
      <c r="D172" s="451">
        <f>'T3 ANSP'!D172+'T3 MET'!D172+'T3 NSA'!D172</f>
        <v>-166.68438219613321</v>
      </c>
      <c r="E172" s="485">
        <f>'T3 ANSP'!E172+'T3 MET'!E172+'T3 NSA'!E172</f>
        <v>-166.68438219613321</v>
      </c>
      <c r="F172" s="486">
        <f>'T3 ANSP'!F172+'T3 MET'!F172+'T3 NSA'!F172</f>
        <v>0</v>
      </c>
      <c r="G172" s="486">
        <f>'T3 ANSP'!G172+'T3 MET'!G172+'T3 NSA'!G172</f>
        <v>0</v>
      </c>
      <c r="H172" s="486">
        <f>'T3 ANSP'!H172+'T3 MET'!H172+'T3 NSA'!H172</f>
        <v>0</v>
      </c>
      <c r="I172" s="1044">
        <f>'T3 ANSP'!I172+'T3 MET'!I172+'T3 NSA'!I172</f>
        <v>0</v>
      </c>
      <c r="J172" s="486">
        <f>'T3 ANSP'!J172+'T3 MET'!J172+'T3 NSA'!J172</f>
        <v>0</v>
      </c>
      <c r="K172" s="486">
        <f>'T3 ANSP'!K172+'T3 MET'!K172+'T3 NSA'!K172</f>
        <v>0</v>
      </c>
      <c r="L172" s="486">
        <f>'T3 ANSP'!L172+'T3 MET'!L172+'T3 NSA'!L172</f>
        <v>0</v>
      </c>
      <c r="M172" s="436">
        <f>'T3 ANSP'!M172+'T3 MET'!M172+'T3 NSA'!M172</f>
        <v>0</v>
      </c>
      <c r="O172" s="768"/>
    </row>
    <row r="173" spans="1:15">
      <c r="A173" s="454">
        <v>2021</v>
      </c>
      <c r="C173" s="405" t="s">
        <v>615</v>
      </c>
      <c r="D173" s="452">
        <f>'T3 ANSP'!D173+'T3 MET'!D173+'T3 NSA'!D173</f>
        <v>-10399.967789999999</v>
      </c>
      <c r="E173" s="489">
        <f>'T3 ANSP'!E173+'T3 MET'!E173+'T3 NSA'!E173</f>
        <v>0</v>
      </c>
      <c r="F173" s="490">
        <f>'T3 ANSP'!F173+'T3 MET'!F173+'T3 NSA'!F173</f>
        <v>-10399.967789999999</v>
      </c>
      <c r="G173" s="490">
        <f>'T3 ANSP'!G173+'T3 MET'!G173+'T3 NSA'!G173</f>
        <v>0</v>
      </c>
      <c r="H173" s="490">
        <f>'T3 ANSP'!H173+'T3 MET'!H173+'T3 NSA'!H173</f>
        <v>0</v>
      </c>
      <c r="I173" s="1045">
        <f>'T3 ANSP'!I173+'T3 MET'!I173+'T3 NSA'!I173</f>
        <v>0</v>
      </c>
      <c r="J173" s="490">
        <f>'T3 ANSP'!J173+'T3 MET'!J173+'T3 NSA'!J173</f>
        <v>0</v>
      </c>
      <c r="K173" s="490">
        <f>'T3 ANSP'!K173+'T3 MET'!K173+'T3 NSA'!K173</f>
        <v>0</v>
      </c>
      <c r="L173" s="490">
        <f>'T3 ANSP'!L173+'T3 MET'!L173+'T3 NSA'!L173</f>
        <v>0</v>
      </c>
      <c r="M173" s="439">
        <f>'T3 ANSP'!M173+'T3 MET'!M173+'T3 NSA'!M173</f>
        <v>0</v>
      </c>
    </row>
    <row r="174" spans="1:15">
      <c r="A174" s="454">
        <v>2022</v>
      </c>
      <c r="C174" s="405" t="s">
        <v>616</v>
      </c>
      <c r="D174" s="452">
        <f>'T3 ANSP'!D174+'T3 MET'!D174+'T3 NSA'!D174</f>
        <v>-31197.739202655848</v>
      </c>
      <c r="E174" s="489">
        <f>'T3 ANSP'!E174+'T3 MET'!E174+'T3 NSA'!E174</f>
        <v>0</v>
      </c>
      <c r="F174" s="490">
        <f>'T3 ANSP'!F174+'T3 MET'!F174+'T3 NSA'!F174</f>
        <v>0</v>
      </c>
      <c r="G174" s="511">
        <f>'T3 ANSP'!G174+'T3 MET'!G174+'T3 NSA'!G174</f>
        <v>-31197.739202655848</v>
      </c>
      <c r="H174" s="511">
        <f>'T3 ANSP'!H174+'T3 MET'!H174+'T3 NSA'!H174</f>
        <v>0</v>
      </c>
      <c r="I174" s="1046">
        <f>'T3 ANSP'!I174+'T3 MET'!I174+'T3 NSA'!I174</f>
        <v>0</v>
      </c>
      <c r="J174" s="490">
        <f>'T3 ANSP'!J174+'T3 MET'!J174+'T3 NSA'!J174</f>
        <v>0</v>
      </c>
      <c r="K174" s="490">
        <f>'T3 ANSP'!K174+'T3 MET'!K174+'T3 NSA'!K174</f>
        <v>0</v>
      </c>
      <c r="L174" s="490">
        <f>'T3 ANSP'!L174+'T3 MET'!L174+'T3 NSA'!L174</f>
        <v>0</v>
      </c>
      <c r="M174" s="439">
        <f>'T3 ANSP'!M174+'T3 MET'!M174+'T3 NSA'!M174</f>
        <v>0</v>
      </c>
    </row>
    <row r="175" spans="1:15">
      <c r="A175" s="454" t="s">
        <v>468</v>
      </c>
      <c r="B175" s="395"/>
      <c r="C175" s="412" t="s">
        <v>617</v>
      </c>
      <c r="D175" s="413">
        <f>'T3 ANSP'!D175+'T3 MET'!D175+'T3 NSA'!D175</f>
        <v>-41764.391374851984</v>
      </c>
      <c r="E175" s="413">
        <f>'T3 ANSP'!E175+'T3 MET'!E175+'T3 NSA'!E175</f>
        <v>-166.68438219613321</v>
      </c>
      <c r="F175" s="413">
        <f>'T3 ANSP'!F175+'T3 MET'!F175+'T3 NSA'!F175</f>
        <v>-10399.967789999999</v>
      </c>
      <c r="G175" s="415">
        <f>'T3 ANSP'!G175+'T3 MET'!G175+'T3 NSA'!G175</f>
        <v>-31197.739202655848</v>
      </c>
      <c r="H175" s="415">
        <f>'T3 ANSP'!H175+'T3 MET'!H175+'T3 NSA'!H175</f>
        <v>0</v>
      </c>
      <c r="I175" s="415">
        <f>'T3 ANSP'!I175+'T3 MET'!I175+'T3 NSA'!I175</f>
        <v>0</v>
      </c>
      <c r="J175" s="415">
        <f>'T3 ANSP'!J175+'T3 MET'!J175+'T3 NSA'!J175</f>
        <v>0</v>
      </c>
      <c r="K175" s="415">
        <f>'T3 ANSP'!K175+'T3 MET'!K175+'T3 NSA'!K175</f>
        <v>0</v>
      </c>
      <c r="L175" s="415">
        <f>'T3 ANSP'!L175+'T3 MET'!L175+'T3 NSA'!L175</f>
        <v>0</v>
      </c>
      <c r="M175" s="1031">
        <f>'T3 ANSP'!M175+'T3 MET'!M175+'T3 NSA'!M175</f>
        <v>0</v>
      </c>
      <c r="O175" s="404"/>
    </row>
    <row r="176" spans="1:15">
      <c r="A176" s="454">
        <v>2023</v>
      </c>
      <c r="C176" s="405" t="s">
        <v>618</v>
      </c>
      <c r="D176" s="452">
        <f>'T3 ANSP'!D176+'T3 MET'!D176+'T3 NSA'!D176</f>
        <v>-5462.5367855259528</v>
      </c>
      <c r="E176" s="489">
        <f>'T3 ANSP'!E176+'T3 MET'!E176+'T3 NSA'!E176</f>
        <v>0</v>
      </c>
      <c r="F176" s="490">
        <f>'T3 ANSP'!F176+'T3 MET'!F176+'T3 NSA'!F176</f>
        <v>0</v>
      </c>
      <c r="G176" s="490">
        <f>'T3 ANSP'!G176+'T3 MET'!G176+'T3 NSA'!G176</f>
        <v>0</v>
      </c>
      <c r="H176" s="490">
        <f>'T3 ANSP'!H176+'T3 MET'!H176+'T3 NSA'!H176</f>
        <v>-5462.5367855259528</v>
      </c>
      <c r="I176" s="1045">
        <f>'T3 ANSP'!I176+'T3 MET'!I176+'T3 NSA'!I176</f>
        <v>0</v>
      </c>
      <c r="J176" s="490">
        <f>'T3 ANSP'!J176+'T3 MET'!J176+'T3 NSA'!J176</f>
        <v>0</v>
      </c>
      <c r="K176" s="490">
        <f>'T3 ANSP'!K176+'T3 MET'!K176+'T3 NSA'!K176</f>
        <v>0</v>
      </c>
      <c r="L176" s="490">
        <f>'T3 ANSP'!L176+'T3 MET'!L176+'T3 NSA'!L176</f>
        <v>0</v>
      </c>
      <c r="M176" s="439">
        <f>'T3 ANSP'!M176+'T3 MET'!M176+'T3 NSA'!M176</f>
        <v>0</v>
      </c>
    </row>
    <row r="177" spans="1:13">
      <c r="A177" s="454">
        <v>2024</v>
      </c>
      <c r="C177" s="405" t="s">
        <v>619</v>
      </c>
      <c r="D177" s="452">
        <f>'T3 ANSP'!D177+'T3 MET'!D177+'T3 NSA'!D177</f>
        <v>-3040.8225124284572</v>
      </c>
      <c r="E177" s="489">
        <f>'T3 ANSP'!E177+'T3 MET'!E177+'T3 NSA'!E177</f>
        <v>0</v>
      </c>
      <c r="F177" s="490">
        <f>'T3 ANSP'!F177+'T3 MET'!F177+'T3 NSA'!F177</f>
        <v>0</v>
      </c>
      <c r="G177" s="490">
        <f>'T3 ANSP'!G177+'T3 MET'!G177+'T3 NSA'!G177</f>
        <v>0</v>
      </c>
      <c r="H177" s="490">
        <f>'T3 ANSP'!H177+'T3 MET'!H177+'T3 NSA'!H177</f>
        <v>0</v>
      </c>
      <c r="I177" s="1045">
        <f>'T3 ANSP'!I177+'T3 MET'!I177+'T3 NSA'!I177</f>
        <v>-3040.8225124284572</v>
      </c>
      <c r="J177" s="490">
        <f>'T3 ANSP'!J177+'T3 MET'!J177+'T3 NSA'!J177</f>
        <v>0</v>
      </c>
      <c r="K177" s="490">
        <f>'T3 ANSP'!K177+'T3 MET'!K177+'T3 NSA'!K177</f>
        <v>0</v>
      </c>
      <c r="L177" s="490">
        <f>'T3 ANSP'!L177+'T3 MET'!L177+'T3 NSA'!L177</f>
        <v>0</v>
      </c>
      <c r="M177" s="439">
        <f>'T3 ANSP'!M177+'T3 MET'!M177+'T3 NSA'!M177</f>
        <v>0</v>
      </c>
    </row>
    <row r="178" spans="1:13">
      <c r="A178" s="454">
        <v>2025</v>
      </c>
      <c r="C178" s="405" t="s">
        <v>620</v>
      </c>
      <c r="D178" s="452">
        <f>'T3 ANSP'!D178+'T3 MET'!D178+'T3 NSA'!D178</f>
        <v>-7111.2418160925463</v>
      </c>
      <c r="E178" s="489">
        <f>'T3 ANSP'!E178+'T3 MET'!E178+'T3 NSA'!E178</f>
        <v>0</v>
      </c>
      <c r="F178" s="490">
        <f>'T3 ANSP'!F178+'T3 MET'!F178+'T3 NSA'!F178</f>
        <v>0</v>
      </c>
      <c r="G178" s="490">
        <f>'T3 ANSP'!G178+'T3 MET'!G178+'T3 NSA'!G178</f>
        <v>0</v>
      </c>
      <c r="H178" s="490">
        <f>'T3 ANSP'!H178+'T3 MET'!H178+'T3 NSA'!H178</f>
        <v>0</v>
      </c>
      <c r="I178" s="1045">
        <f>'T3 ANSP'!I178+'T3 MET'!I178+'T3 NSA'!I178</f>
        <v>0</v>
      </c>
      <c r="J178" s="490">
        <f>'T3 ANSP'!J178+'T3 MET'!J178+'T3 NSA'!J178</f>
        <v>-7111.2418160925463</v>
      </c>
      <c r="K178" s="490">
        <f>'T3 ANSP'!K178+'T3 MET'!K178+'T3 NSA'!K178</f>
        <v>0</v>
      </c>
      <c r="L178" s="490">
        <f>'T3 ANSP'!L178+'T3 MET'!L178+'T3 NSA'!L178</f>
        <v>0</v>
      </c>
      <c r="M178" s="439">
        <f>'T3 ANSP'!M178+'T3 MET'!M178+'T3 NSA'!M178</f>
        <v>0</v>
      </c>
    </row>
    <row r="179" spans="1:13">
      <c r="A179" s="454">
        <v>2026</v>
      </c>
      <c r="C179" s="405" t="s">
        <v>621</v>
      </c>
      <c r="D179" s="452">
        <f>'T3 ANSP'!D179+'T3 MET'!D179+'T3 NSA'!D179</f>
        <v>0</v>
      </c>
      <c r="E179" s="489">
        <f>'T3 ANSP'!E179+'T3 MET'!E179+'T3 NSA'!E179</f>
        <v>0</v>
      </c>
      <c r="F179" s="490">
        <f>'T3 ANSP'!F179+'T3 MET'!F179+'T3 NSA'!F179</f>
        <v>0</v>
      </c>
      <c r="G179" s="490">
        <f>'T3 ANSP'!G179+'T3 MET'!G179+'T3 NSA'!G179</f>
        <v>0</v>
      </c>
      <c r="H179" s="490">
        <f>'T3 ANSP'!H179+'T3 MET'!H179+'T3 NSA'!H179</f>
        <v>0</v>
      </c>
      <c r="I179" s="1045">
        <f>'T3 ANSP'!I179+'T3 MET'!I179+'T3 NSA'!I179</f>
        <v>0</v>
      </c>
      <c r="J179" s="490">
        <f>'T3 ANSP'!J179+'T3 MET'!J179+'T3 NSA'!J179</f>
        <v>0</v>
      </c>
      <c r="K179" s="490">
        <f>'T3 ANSP'!K179+'T3 MET'!K179+'T3 NSA'!K179</f>
        <v>0</v>
      </c>
      <c r="L179" s="490">
        <f>'T3 ANSP'!L179+'T3 MET'!L179+'T3 NSA'!L179</f>
        <v>0</v>
      </c>
      <c r="M179" s="439">
        <f>'T3 ANSP'!M179+'T3 MET'!M179+'T3 NSA'!M179</f>
        <v>0</v>
      </c>
    </row>
    <row r="180" spans="1:13">
      <c r="A180" s="454">
        <v>2027</v>
      </c>
      <c r="C180" s="405" t="s">
        <v>622</v>
      </c>
      <c r="D180" s="452">
        <f>'T3 ANSP'!D180+'T3 MET'!D180+'T3 NSA'!D180</f>
        <v>0</v>
      </c>
      <c r="E180" s="1320">
        <f>'T3 ANSP'!E180+'T3 MET'!E180+'T3 NSA'!E180</f>
        <v>0</v>
      </c>
      <c r="F180" s="521">
        <f>'T3 ANSP'!F180+'T3 MET'!F180+'T3 NSA'!F180</f>
        <v>0</v>
      </c>
      <c r="G180" s="521">
        <f>'T3 ANSP'!G180+'T3 MET'!G180+'T3 NSA'!G180</f>
        <v>0</v>
      </c>
      <c r="H180" s="521">
        <f>'T3 ANSP'!H180+'T3 MET'!H180+'T3 NSA'!H180</f>
        <v>0</v>
      </c>
      <c r="I180" s="1321">
        <f>'T3 ANSP'!I180+'T3 MET'!I180+'T3 NSA'!I180</f>
        <v>0</v>
      </c>
      <c r="J180" s="490">
        <f>'T3 ANSP'!J180+'T3 MET'!J180+'T3 NSA'!J180</f>
        <v>0</v>
      </c>
      <c r="K180" s="490">
        <f>'T3 ANSP'!K180+'T3 MET'!K180+'T3 NSA'!K180</f>
        <v>0</v>
      </c>
      <c r="L180" s="490">
        <f>'T3 ANSP'!L180+'T3 MET'!L180+'T3 NSA'!L180</f>
        <v>0</v>
      </c>
      <c r="M180" s="1056">
        <f>'T3 ANSP'!M180+'T3 MET'!M180+'T3 NSA'!M180</f>
        <v>0</v>
      </c>
    </row>
    <row r="181" spans="1:13">
      <c r="A181" s="454" t="s">
        <v>475</v>
      </c>
      <c r="C181" s="430" t="s">
        <v>923</v>
      </c>
      <c r="D181" s="431">
        <f>'T3 ANSP'!D181+'T3 MET'!D181+'T3 NSA'!D181</f>
        <v>-57378.992488898941</v>
      </c>
      <c r="E181" s="479">
        <f>'T3 ANSP'!E181+'T3 MET'!E181+'T3 NSA'!E181</f>
        <v>-166.68438219613321</v>
      </c>
      <c r="F181" s="433">
        <f>'T3 ANSP'!F181+'T3 MET'!F181+'T3 NSA'!F181</f>
        <v>-10399.967789999999</v>
      </c>
      <c r="G181" s="433">
        <f>'T3 ANSP'!G181+'T3 MET'!G181+'T3 NSA'!G181</f>
        <v>-31197.739202655848</v>
      </c>
      <c r="H181" s="433">
        <f>'T3 ANSP'!H181+'T3 MET'!H181+'T3 NSA'!H181</f>
        <v>-5462.5367855259528</v>
      </c>
      <c r="I181" s="433">
        <f>'T3 ANSP'!I181+'T3 MET'!I181+'T3 NSA'!I181</f>
        <v>-3040.8225124284572</v>
      </c>
      <c r="J181" s="433">
        <f>'T3 ANSP'!J181+'T3 MET'!J181+'T3 NSA'!J181</f>
        <v>-7111.2418160925463</v>
      </c>
      <c r="K181" s="433">
        <f>'T3 ANSP'!K181+'T3 MET'!K181+'T3 NSA'!K181</f>
        <v>0</v>
      </c>
      <c r="L181" s="433">
        <f>'T3 ANSP'!L181+'T3 MET'!L181+'T3 NSA'!L181</f>
        <v>0</v>
      </c>
      <c r="M181" s="1055">
        <f>'T3 ANSP'!M181+'T3 MET'!M181+'T3 NSA'!M181</f>
        <v>0</v>
      </c>
    </row>
    <row r="182" spans="1:13">
      <c r="A182" s="748"/>
      <c r="D182" s="434"/>
      <c r="E182" s="434"/>
      <c r="F182" s="606"/>
      <c r="G182" s="434"/>
      <c r="H182" s="434"/>
      <c r="I182" s="434"/>
      <c r="J182" s="434"/>
      <c r="K182" s="434"/>
      <c r="L182" s="434"/>
      <c r="M182" s="434"/>
    </row>
    <row r="183" spans="1:13">
      <c r="A183" s="454">
        <v>2017</v>
      </c>
      <c r="C183" s="397" t="s">
        <v>624</v>
      </c>
      <c r="D183" s="474">
        <f>'T3 ANSP'!D183+'T3 MET'!D183+'T3 NSA'!D183</f>
        <v>0</v>
      </c>
      <c r="E183" s="485">
        <f>'T3 ANSP'!E183+'T3 MET'!E183+'T3 NSA'!E183</f>
        <v>0</v>
      </c>
      <c r="F183" s="486">
        <f>'T3 ANSP'!F183+'T3 MET'!F183+'T3 NSA'!F183</f>
        <v>0</v>
      </c>
      <c r="G183" s="486">
        <f>'T3 ANSP'!G183+'T3 MET'!G183+'T3 NSA'!G183</f>
        <v>0</v>
      </c>
      <c r="H183" s="486">
        <f>'T3 ANSP'!H183+'T3 MET'!H183+'T3 NSA'!H183</f>
        <v>0</v>
      </c>
      <c r="I183" s="1044">
        <f>'T3 ANSP'!I183+'T3 MET'!I183+'T3 NSA'!I183</f>
        <v>0</v>
      </c>
      <c r="J183" s="1044">
        <f>'T3 ANSP'!J183+'T3 MET'!J183+'T3 NSA'!J183</f>
        <v>0</v>
      </c>
      <c r="K183" s="1044">
        <f>'T3 ANSP'!K183+'T3 MET'!K183+'T3 NSA'!K183</f>
        <v>0</v>
      </c>
      <c r="L183" s="1044">
        <f>'T3 ANSP'!L183+'T3 MET'!L183+'T3 NSA'!L183</f>
        <v>0</v>
      </c>
      <c r="M183" s="436">
        <f>'T3 ANSP'!M183+'T3 MET'!M183+'T3 NSA'!M183</f>
        <v>0</v>
      </c>
    </row>
    <row r="184" spans="1:13">
      <c r="A184" s="454">
        <v>2018</v>
      </c>
      <c r="C184" s="405" t="s">
        <v>625</v>
      </c>
      <c r="D184" s="476">
        <f>'T3 ANSP'!D184+'T3 MET'!D184+'T3 NSA'!D184</f>
        <v>0</v>
      </c>
      <c r="E184" s="489">
        <f>'T3 ANSP'!E184+'T3 MET'!E184+'T3 NSA'!E184</f>
        <v>0</v>
      </c>
      <c r="F184" s="490">
        <f>'T3 ANSP'!F184+'T3 MET'!F184+'T3 NSA'!F184</f>
        <v>0</v>
      </c>
      <c r="G184" s="490">
        <f>'T3 ANSP'!G184+'T3 MET'!G184+'T3 NSA'!G184</f>
        <v>0</v>
      </c>
      <c r="H184" s="490">
        <f>'T3 ANSP'!H184+'T3 MET'!H184+'T3 NSA'!H184</f>
        <v>0</v>
      </c>
      <c r="I184" s="1045">
        <f>'T3 ANSP'!I184+'T3 MET'!I184+'T3 NSA'!I184</f>
        <v>0</v>
      </c>
      <c r="J184" s="1045">
        <f>'T3 ANSP'!J184+'T3 MET'!J184+'T3 NSA'!J184</f>
        <v>0</v>
      </c>
      <c r="K184" s="1045">
        <f>'T3 ANSP'!K184+'T3 MET'!K184+'T3 NSA'!K184</f>
        <v>0</v>
      </c>
      <c r="L184" s="1045">
        <f>'T3 ANSP'!L184+'T3 MET'!L184+'T3 NSA'!L184</f>
        <v>0</v>
      </c>
      <c r="M184" s="439">
        <f>'T3 ANSP'!M184+'T3 MET'!M184+'T3 NSA'!M184</f>
        <v>0</v>
      </c>
    </row>
    <row r="185" spans="1:13">
      <c r="A185" s="454">
        <v>2019</v>
      </c>
      <c r="C185" s="405" t="s">
        <v>626</v>
      </c>
      <c r="D185" s="476">
        <f>'T3 ANSP'!D185+'T3 MET'!D185+'T3 NSA'!D185</f>
        <v>0</v>
      </c>
      <c r="E185" s="489">
        <f>'T3 ANSP'!E185+'T3 MET'!E185+'T3 NSA'!E185</f>
        <v>0</v>
      </c>
      <c r="F185" s="490">
        <f>'T3 ANSP'!F185+'T3 MET'!F185+'T3 NSA'!F185</f>
        <v>0</v>
      </c>
      <c r="G185" s="490">
        <f>'T3 ANSP'!G185+'T3 MET'!G185+'T3 NSA'!G185</f>
        <v>0</v>
      </c>
      <c r="H185" s="490">
        <f>'T3 ANSP'!H185+'T3 MET'!H185+'T3 NSA'!H185</f>
        <v>0</v>
      </c>
      <c r="I185" s="1045">
        <f>'T3 ANSP'!I185+'T3 MET'!I185+'T3 NSA'!I185</f>
        <v>0</v>
      </c>
      <c r="J185" s="1045">
        <f>'T3 ANSP'!J185+'T3 MET'!J185+'T3 NSA'!J185</f>
        <v>0</v>
      </c>
      <c r="K185" s="1045">
        <f>'T3 ANSP'!K185+'T3 MET'!K185+'T3 NSA'!K185</f>
        <v>0</v>
      </c>
      <c r="L185" s="1045">
        <f>'T3 ANSP'!L185+'T3 MET'!L185+'T3 NSA'!L185</f>
        <v>0</v>
      </c>
      <c r="M185" s="439">
        <f>'T3 ANSP'!M185+'T3 MET'!M185+'T3 NSA'!M185</f>
        <v>0</v>
      </c>
    </row>
    <row r="186" spans="1:13">
      <c r="A186" s="454" t="s">
        <v>463</v>
      </c>
      <c r="C186" s="412" t="s">
        <v>627</v>
      </c>
      <c r="D186" s="413">
        <f>'T3 ANSP'!D186+'T3 MET'!D186+'T3 NSA'!D186</f>
        <v>0</v>
      </c>
      <c r="E186" s="414">
        <f>'T3 ANSP'!E186+'T3 MET'!E186+'T3 NSA'!E186</f>
        <v>0</v>
      </c>
      <c r="F186" s="415">
        <f>'T3 ANSP'!F186+'T3 MET'!F186+'T3 NSA'!F186</f>
        <v>0</v>
      </c>
      <c r="G186" s="415">
        <f>'T3 ANSP'!G186+'T3 MET'!G186+'T3 NSA'!G186</f>
        <v>0</v>
      </c>
      <c r="H186" s="415">
        <f>'T3 ANSP'!H186+'T3 MET'!H186+'T3 NSA'!H186</f>
        <v>0</v>
      </c>
      <c r="I186" s="415">
        <f>'T3 ANSP'!I186+'T3 MET'!I186+'T3 NSA'!I186</f>
        <v>0</v>
      </c>
      <c r="J186" s="415">
        <f>'T3 ANSP'!J186+'T3 MET'!J186+'T3 NSA'!J186</f>
        <v>0</v>
      </c>
      <c r="K186" s="415">
        <f>'T3 ANSP'!K186+'T3 MET'!K186+'T3 NSA'!K186</f>
        <v>0</v>
      </c>
      <c r="L186" s="415">
        <f>'T3 ANSP'!L186+'T3 MET'!L186+'T3 NSA'!L186</f>
        <v>0</v>
      </c>
      <c r="M186" s="1031">
        <f>'T3 ANSP'!M186+'T3 MET'!M186+'T3 NSA'!M186</f>
        <v>0</v>
      </c>
    </row>
    <row r="187" spans="1:13">
      <c r="A187" s="454">
        <v>2020</v>
      </c>
      <c r="C187" s="397" t="s">
        <v>628</v>
      </c>
      <c r="D187" s="451">
        <f>'T3 ANSP'!D187+'T3 MET'!D187+'T3 NSA'!D187</f>
        <v>0</v>
      </c>
      <c r="E187" s="485">
        <f>'T3 ANSP'!E187+'T3 MET'!E187+'T3 NSA'!E187</f>
        <v>0</v>
      </c>
      <c r="F187" s="486">
        <f>'T3 ANSP'!F187+'T3 MET'!F187+'T3 NSA'!F187</f>
        <v>0</v>
      </c>
      <c r="G187" s="486">
        <f>'T3 ANSP'!G187+'T3 MET'!G187+'T3 NSA'!G187</f>
        <v>0</v>
      </c>
      <c r="H187" s="486">
        <f>'T3 ANSP'!H187+'T3 MET'!H187+'T3 NSA'!H187</f>
        <v>0</v>
      </c>
      <c r="I187" s="486">
        <f>'T3 ANSP'!I187+'T3 MET'!I187+'T3 NSA'!I187</f>
        <v>0</v>
      </c>
      <c r="J187" s="486">
        <f>'T3 ANSP'!J187+'T3 MET'!J187+'T3 NSA'!J187</f>
        <v>0</v>
      </c>
      <c r="K187" s="486">
        <f>'T3 ANSP'!K187+'T3 MET'!K187+'T3 NSA'!K187</f>
        <v>0</v>
      </c>
      <c r="L187" s="486">
        <f>'T3 ANSP'!L187+'T3 MET'!L187+'T3 NSA'!L187</f>
        <v>0</v>
      </c>
      <c r="M187" s="436">
        <f>'T3 ANSP'!M187+'T3 MET'!M187+'T3 NSA'!M187</f>
        <v>0</v>
      </c>
    </row>
    <row r="188" spans="1:13">
      <c r="A188" s="454">
        <v>2021</v>
      </c>
      <c r="C188" s="405" t="s">
        <v>629</v>
      </c>
      <c r="D188" s="452">
        <f>'T3 ANSP'!D188+'T3 MET'!D188+'T3 NSA'!D188</f>
        <v>0</v>
      </c>
      <c r="E188" s="489">
        <f>'T3 ANSP'!E188+'T3 MET'!E188+'T3 NSA'!E188</f>
        <v>0</v>
      </c>
      <c r="F188" s="490">
        <f>'T3 ANSP'!F188+'T3 MET'!F188+'T3 NSA'!F188</f>
        <v>0</v>
      </c>
      <c r="G188" s="490">
        <f>'T3 ANSP'!G188+'T3 MET'!G188+'T3 NSA'!G188</f>
        <v>0</v>
      </c>
      <c r="H188" s="490">
        <f>'T3 ANSP'!H188+'T3 MET'!H188+'T3 NSA'!H188</f>
        <v>0</v>
      </c>
      <c r="I188" s="490">
        <f>'T3 ANSP'!I188+'T3 MET'!I188+'T3 NSA'!I188</f>
        <v>0</v>
      </c>
      <c r="J188" s="490">
        <f>'T3 ANSP'!J188+'T3 MET'!J188+'T3 NSA'!J188</f>
        <v>0</v>
      </c>
      <c r="K188" s="490">
        <f>'T3 ANSP'!K188+'T3 MET'!K188+'T3 NSA'!K188</f>
        <v>0</v>
      </c>
      <c r="L188" s="490">
        <f>'T3 ANSP'!L188+'T3 MET'!L188+'T3 NSA'!L188</f>
        <v>0</v>
      </c>
      <c r="M188" s="439">
        <f>'T3 ANSP'!M188+'T3 MET'!M188+'T3 NSA'!M188</f>
        <v>0</v>
      </c>
    </row>
    <row r="189" spans="1:13">
      <c r="A189" s="454">
        <v>2022</v>
      </c>
      <c r="C189" s="405" t="s">
        <v>630</v>
      </c>
      <c r="D189" s="452">
        <f>'T3 ANSP'!D189+'T3 MET'!D189+'T3 NSA'!D189</f>
        <v>0</v>
      </c>
      <c r="E189" s="489">
        <f>'T3 ANSP'!E189+'T3 MET'!E189+'T3 NSA'!E189</f>
        <v>0</v>
      </c>
      <c r="F189" s="490">
        <f>'T3 ANSP'!F189+'T3 MET'!F189+'T3 NSA'!F189</f>
        <v>0</v>
      </c>
      <c r="G189" s="511">
        <f>'T3 ANSP'!G189+'T3 MET'!G189+'T3 NSA'!G189</f>
        <v>0</v>
      </c>
      <c r="H189" s="511">
        <f>'T3 ANSP'!H189+'T3 MET'!H189+'T3 NSA'!H189</f>
        <v>0</v>
      </c>
      <c r="I189" s="511">
        <f>'T3 ANSP'!I189+'T3 MET'!I189+'T3 NSA'!I189</f>
        <v>0</v>
      </c>
      <c r="J189" s="511">
        <f>'T3 ANSP'!J189+'T3 MET'!J189+'T3 NSA'!J189</f>
        <v>0</v>
      </c>
      <c r="K189" s="511">
        <f>'T3 ANSP'!K189+'T3 MET'!K189+'T3 NSA'!K189</f>
        <v>0</v>
      </c>
      <c r="L189" s="511">
        <f>'T3 ANSP'!L189+'T3 MET'!L189+'T3 NSA'!L189</f>
        <v>0</v>
      </c>
      <c r="M189" s="439">
        <f>'T3 ANSP'!M189+'T3 MET'!M189+'T3 NSA'!M189</f>
        <v>0</v>
      </c>
    </row>
    <row r="190" spans="1:13">
      <c r="A190" s="454" t="s">
        <v>468</v>
      </c>
      <c r="C190" s="412" t="s">
        <v>631</v>
      </c>
      <c r="D190" s="413">
        <f>'T3 ANSP'!D190+'T3 MET'!D190+'T3 NSA'!D190</f>
        <v>0</v>
      </c>
      <c r="E190" s="415">
        <f>'T3 ANSP'!E190+'T3 MET'!E190+'T3 NSA'!E190</f>
        <v>0</v>
      </c>
      <c r="F190" s="415">
        <f>'T3 ANSP'!F190+'T3 MET'!F190+'T3 NSA'!F190</f>
        <v>0</v>
      </c>
      <c r="G190" s="415">
        <f>'T3 ANSP'!G190+'T3 MET'!G190+'T3 NSA'!G190</f>
        <v>0</v>
      </c>
      <c r="H190" s="415">
        <f>'T3 ANSP'!H190+'T3 MET'!H190+'T3 NSA'!H190</f>
        <v>0</v>
      </c>
      <c r="I190" s="415">
        <f>'T3 ANSP'!I190+'T3 MET'!I190+'T3 NSA'!I190</f>
        <v>0</v>
      </c>
      <c r="J190" s="415">
        <f>'T3 ANSP'!J190+'T3 MET'!J190+'T3 NSA'!J190</f>
        <v>0</v>
      </c>
      <c r="K190" s="415">
        <f>'T3 ANSP'!K190+'T3 MET'!K190+'T3 NSA'!K190</f>
        <v>0</v>
      </c>
      <c r="L190" s="415">
        <f>'T3 ANSP'!L190+'T3 MET'!L190+'T3 NSA'!L190</f>
        <v>0</v>
      </c>
      <c r="M190" s="1031">
        <f>'T3 ANSP'!M190+'T3 MET'!M190+'T3 NSA'!M190</f>
        <v>0</v>
      </c>
    </row>
    <row r="191" spans="1:13">
      <c r="A191" s="454">
        <v>2023</v>
      </c>
      <c r="C191" s="405" t="s">
        <v>632</v>
      </c>
      <c r="D191" s="452">
        <f>'T3 ANSP'!D191+'T3 MET'!D191+'T3 NSA'!D191</f>
        <v>0</v>
      </c>
      <c r="E191" s="489">
        <f>'T3 ANSP'!E191+'T3 MET'!E191+'T3 NSA'!E191</f>
        <v>0</v>
      </c>
      <c r="F191" s="490">
        <f>'T3 ANSP'!F191+'T3 MET'!F191+'T3 NSA'!F191</f>
        <v>0</v>
      </c>
      <c r="G191" s="490">
        <f>'T3 ANSP'!G191+'T3 MET'!G191+'T3 NSA'!G191</f>
        <v>0</v>
      </c>
      <c r="H191" s="511">
        <f>'T3 ANSP'!H191+'T3 MET'!H191+'T3 NSA'!H191</f>
        <v>0</v>
      </c>
      <c r="I191" s="511">
        <f>'T3 ANSP'!I191+'T3 MET'!I191+'T3 NSA'!I191</f>
        <v>0</v>
      </c>
      <c r="J191" s="1046">
        <f>'T3 ANSP'!J191+'T3 MET'!J191+'T3 NSA'!J191</f>
        <v>0</v>
      </c>
      <c r="K191" s="490">
        <f>'T3 ANSP'!K191+'T3 MET'!K191+'T3 NSA'!K191</f>
        <v>0</v>
      </c>
      <c r="L191" s="490">
        <f>'T3 ANSP'!L191+'T3 MET'!L191+'T3 NSA'!L191</f>
        <v>0</v>
      </c>
      <c r="M191" s="439">
        <f>'T3 ANSP'!M191+'T3 MET'!M191+'T3 NSA'!M191</f>
        <v>0</v>
      </c>
    </row>
    <row r="192" spans="1:13">
      <c r="A192" s="454">
        <v>2024</v>
      </c>
      <c r="C192" s="405" t="s">
        <v>633</v>
      </c>
      <c r="D192" s="452">
        <f>'T3 ANSP'!D192+'T3 MET'!D192+'T3 NSA'!D192</f>
        <v>0</v>
      </c>
      <c r="E192" s="489">
        <f>'T3 ANSP'!E192+'T3 MET'!E192+'T3 NSA'!E192</f>
        <v>0</v>
      </c>
      <c r="F192" s="490">
        <f>'T3 ANSP'!F192+'T3 MET'!F192+'T3 NSA'!F192</f>
        <v>0</v>
      </c>
      <c r="G192" s="490">
        <f>'T3 ANSP'!G192+'T3 MET'!G192+'T3 NSA'!G192</f>
        <v>0</v>
      </c>
      <c r="H192" s="490">
        <f>'T3 ANSP'!H192+'T3 MET'!H192+'T3 NSA'!H192</f>
        <v>0</v>
      </c>
      <c r="I192" s="511">
        <f>'T3 ANSP'!I192+'T3 MET'!I192+'T3 NSA'!I192</f>
        <v>0</v>
      </c>
      <c r="J192" s="1046">
        <f>'T3 ANSP'!J192+'T3 MET'!J192+'T3 NSA'!J192</f>
        <v>0</v>
      </c>
      <c r="K192" s="490">
        <f>'T3 ANSP'!K192+'T3 MET'!K192+'T3 NSA'!K192</f>
        <v>0</v>
      </c>
      <c r="L192" s="490">
        <f>'T3 ANSP'!L192+'T3 MET'!L192+'T3 NSA'!L192</f>
        <v>0</v>
      </c>
      <c r="M192" s="439">
        <f>'T3 ANSP'!M192+'T3 MET'!M192+'T3 NSA'!M192</f>
        <v>0</v>
      </c>
    </row>
    <row r="193" spans="1:13">
      <c r="A193" s="454">
        <v>2025</v>
      </c>
      <c r="C193" s="405" t="s">
        <v>634</v>
      </c>
      <c r="D193" s="452">
        <f>'T3 ANSP'!D193+'T3 MET'!D193+'T3 NSA'!D193</f>
        <v>0</v>
      </c>
      <c r="E193" s="489">
        <f>'T3 ANSP'!E193+'T3 MET'!E193+'T3 NSA'!E193</f>
        <v>0</v>
      </c>
      <c r="F193" s="490">
        <f>'T3 ANSP'!F193+'T3 MET'!F193+'T3 NSA'!F193</f>
        <v>0</v>
      </c>
      <c r="G193" s="490">
        <f>'T3 ANSP'!G193+'T3 MET'!G193+'T3 NSA'!G193</f>
        <v>0</v>
      </c>
      <c r="H193" s="490">
        <f>'T3 ANSP'!H193+'T3 MET'!H193+'T3 NSA'!H193</f>
        <v>0</v>
      </c>
      <c r="I193" s="490">
        <f>'T3 ANSP'!I193+'T3 MET'!I193+'T3 NSA'!I193</f>
        <v>0</v>
      </c>
      <c r="J193" s="511">
        <f>'T3 ANSP'!J193+'T3 MET'!J193+'T3 NSA'!J193</f>
        <v>0</v>
      </c>
      <c r="K193" s="490">
        <f>'T3 ANSP'!K193+'T3 MET'!K193+'T3 NSA'!K193</f>
        <v>0</v>
      </c>
      <c r="L193" s="490">
        <f>'T3 ANSP'!L193+'T3 MET'!L193+'T3 NSA'!L193</f>
        <v>0</v>
      </c>
      <c r="M193" s="439">
        <f>'T3 ANSP'!M193+'T3 MET'!M193+'T3 NSA'!M193</f>
        <v>0</v>
      </c>
    </row>
    <row r="194" spans="1:13">
      <c r="A194" s="454">
        <v>2026</v>
      </c>
      <c r="C194" s="405" t="s">
        <v>635</v>
      </c>
      <c r="D194" s="452">
        <f>'T3 ANSP'!D194+'T3 MET'!D194+'T3 NSA'!D194</f>
        <v>0</v>
      </c>
      <c r="E194" s="489">
        <f>'T3 ANSP'!E194+'T3 MET'!E194+'T3 NSA'!E194</f>
        <v>0</v>
      </c>
      <c r="F194" s="490">
        <f>'T3 ANSP'!F194+'T3 MET'!F194+'T3 NSA'!F194</f>
        <v>0</v>
      </c>
      <c r="G194" s="490">
        <f>'T3 ANSP'!G194+'T3 MET'!G194+'T3 NSA'!G194</f>
        <v>0</v>
      </c>
      <c r="H194" s="490">
        <f>'T3 ANSP'!H194+'T3 MET'!H194+'T3 NSA'!H194</f>
        <v>0</v>
      </c>
      <c r="I194" s="490">
        <f>'T3 ANSP'!I194+'T3 MET'!I194+'T3 NSA'!I194</f>
        <v>0</v>
      </c>
      <c r="J194" s="490">
        <f>'T3 ANSP'!J194+'T3 MET'!J194+'T3 NSA'!J194</f>
        <v>0</v>
      </c>
      <c r="K194" s="490">
        <f>'T3 ANSP'!K194+'T3 MET'!K194+'T3 NSA'!K194</f>
        <v>0</v>
      </c>
      <c r="L194" s="490">
        <f>'T3 ANSP'!L194+'T3 MET'!L194+'T3 NSA'!L194</f>
        <v>0</v>
      </c>
      <c r="M194" s="439">
        <f>'T3 ANSP'!M194+'T3 MET'!M194+'T3 NSA'!M194</f>
        <v>0</v>
      </c>
    </row>
    <row r="195" spans="1:13">
      <c r="A195" s="454">
        <v>2027</v>
      </c>
      <c r="C195" s="405" t="s">
        <v>636</v>
      </c>
      <c r="D195" s="453">
        <f>'T3 ANSP'!D195+'T3 MET'!D195+'T3 NSA'!D195</f>
        <v>0</v>
      </c>
      <c r="E195" s="1320">
        <f>'T3 ANSP'!E195+'T3 MET'!E195+'T3 NSA'!E195</f>
        <v>0</v>
      </c>
      <c r="F195" s="521">
        <f>'T3 ANSP'!F195+'T3 MET'!F195+'T3 NSA'!F195</f>
        <v>0</v>
      </c>
      <c r="G195" s="521">
        <f>'T3 ANSP'!G195+'T3 MET'!G195+'T3 NSA'!G195</f>
        <v>0</v>
      </c>
      <c r="H195" s="521">
        <f>'T3 ANSP'!H195+'T3 MET'!H195+'T3 NSA'!H195</f>
        <v>0</v>
      </c>
      <c r="I195" s="521">
        <f>'T3 ANSP'!I195+'T3 MET'!I195+'T3 NSA'!I195</f>
        <v>0</v>
      </c>
      <c r="J195" s="521">
        <f>'T3 ANSP'!J195+'T3 MET'!J195+'T3 NSA'!J195</f>
        <v>0</v>
      </c>
      <c r="K195" s="521">
        <f>'T3 ANSP'!K195+'T3 MET'!K195+'T3 NSA'!K195</f>
        <v>0</v>
      </c>
      <c r="L195" s="490">
        <f>'T3 ANSP'!L195+'T3 MET'!L195+'T3 NSA'!L195</f>
        <v>0</v>
      </c>
      <c r="M195" s="1056">
        <f>'T3 ANSP'!M195+'T3 MET'!M195+'T3 NSA'!M195</f>
        <v>0</v>
      </c>
    </row>
    <row r="196" spans="1:13">
      <c r="A196" s="454" t="s">
        <v>475</v>
      </c>
      <c r="C196" s="430" t="s">
        <v>924</v>
      </c>
      <c r="D196" s="431">
        <f>'T3 ANSP'!D196+'T3 MET'!D196+'T3 NSA'!D196</f>
        <v>0</v>
      </c>
      <c r="E196" s="479">
        <f>'T3 ANSP'!E196+'T3 MET'!E196+'T3 NSA'!E196</f>
        <v>0</v>
      </c>
      <c r="F196" s="433">
        <f>'T3 ANSP'!F196+'T3 MET'!F196+'T3 NSA'!F196</f>
        <v>0</v>
      </c>
      <c r="G196" s="433">
        <f>'T3 ANSP'!G196+'T3 MET'!G196+'T3 NSA'!G196</f>
        <v>0</v>
      </c>
      <c r="H196" s="433">
        <f>'T3 ANSP'!H196+'T3 MET'!H196+'T3 NSA'!H196</f>
        <v>0</v>
      </c>
      <c r="I196" s="433">
        <f>'T3 ANSP'!I196+'T3 MET'!I196+'T3 NSA'!I196</f>
        <v>0</v>
      </c>
      <c r="J196" s="433">
        <f>'T3 ANSP'!J196+'T3 MET'!J196+'T3 NSA'!J196</f>
        <v>0</v>
      </c>
      <c r="K196" s="433">
        <f>'T3 ANSP'!K196+'T3 MET'!K196+'T3 NSA'!K196</f>
        <v>0</v>
      </c>
      <c r="L196" s="433">
        <f>'T3 ANSP'!L196+'T3 MET'!L196+'T3 NSA'!L196</f>
        <v>0</v>
      </c>
      <c r="M196" s="1055">
        <f>'T3 ANSP'!M196+'T3 MET'!M196+'T3 NSA'!M196</f>
        <v>0</v>
      </c>
    </row>
    <row r="197" spans="1:13">
      <c r="A197" s="748"/>
      <c r="D197" s="434"/>
      <c r="E197" s="434"/>
      <c r="F197" s="606"/>
      <c r="G197" s="434"/>
      <c r="H197" s="434"/>
      <c r="I197" s="434"/>
      <c r="J197" s="434"/>
      <c r="K197" s="434"/>
      <c r="L197" s="434"/>
      <c r="M197" s="434"/>
    </row>
    <row r="198" spans="1:13">
      <c r="A198" s="454">
        <v>2017</v>
      </c>
      <c r="C198" s="397" t="s">
        <v>638</v>
      </c>
      <c r="D198" s="516">
        <f>'T3 ANSP'!D198+'T3 MET'!D198+'T3 NSA'!D198</f>
        <v>0</v>
      </c>
      <c r="E198" s="485">
        <f>'T3 ANSP'!E198+'T3 MET'!E198+'T3 NSA'!E198</f>
        <v>0</v>
      </c>
      <c r="F198" s="486">
        <f>'T3 ANSP'!F198+'T3 MET'!F198+'T3 NSA'!F198</f>
        <v>0</v>
      </c>
      <c r="G198" s="486">
        <f>'T3 ANSP'!G198+'T3 MET'!G198+'T3 NSA'!G198</f>
        <v>0</v>
      </c>
      <c r="H198" s="486">
        <f>'T3 ANSP'!H198+'T3 MET'!H198+'T3 NSA'!H198</f>
        <v>0</v>
      </c>
      <c r="I198" s="486">
        <f>'T3 ANSP'!I198+'T3 MET'!I198+'T3 NSA'!I198</f>
        <v>0</v>
      </c>
      <c r="J198" s="486">
        <f>'T3 ANSP'!J198+'T3 MET'!J198+'T3 NSA'!J198</f>
        <v>0</v>
      </c>
      <c r="K198" s="486">
        <f>'T3 ANSP'!K198+'T3 MET'!K198+'T3 NSA'!K198</f>
        <v>0</v>
      </c>
      <c r="L198" s="486">
        <f>'T3 ANSP'!L198+'T3 MET'!L198+'T3 NSA'!L198</f>
        <v>0</v>
      </c>
      <c r="M198" s="436">
        <f>'T3 ANSP'!M198+'T3 MET'!M198+'T3 NSA'!M198</f>
        <v>0</v>
      </c>
    </row>
    <row r="199" spans="1:13">
      <c r="A199" s="454">
        <v>2018</v>
      </c>
      <c r="C199" s="405" t="s">
        <v>639</v>
      </c>
      <c r="D199" s="517">
        <f>'T3 ANSP'!D199+'T3 MET'!D199+'T3 NSA'!D199</f>
        <v>0</v>
      </c>
      <c r="E199" s="489">
        <f>'T3 ANSP'!E199+'T3 MET'!E199+'T3 NSA'!E199</f>
        <v>0</v>
      </c>
      <c r="F199" s="490">
        <f>'T3 ANSP'!F199+'T3 MET'!F199+'T3 NSA'!F199</f>
        <v>0</v>
      </c>
      <c r="G199" s="490">
        <f>'T3 ANSP'!G199+'T3 MET'!G199+'T3 NSA'!G199</f>
        <v>0</v>
      </c>
      <c r="H199" s="490">
        <f>'T3 ANSP'!H199+'T3 MET'!H199+'T3 NSA'!H199</f>
        <v>0</v>
      </c>
      <c r="I199" s="490">
        <f>'T3 ANSP'!I199+'T3 MET'!I199+'T3 NSA'!I199</f>
        <v>0</v>
      </c>
      <c r="J199" s="490">
        <f>'T3 ANSP'!J199+'T3 MET'!J199+'T3 NSA'!J199</f>
        <v>0</v>
      </c>
      <c r="K199" s="490">
        <f>'T3 ANSP'!K199+'T3 MET'!K199+'T3 NSA'!K199</f>
        <v>0</v>
      </c>
      <c r="L199" s="490">
        <f>'T3 ANSP'!L199+'T3 MET'!L199+'T3 NSA'!L199</f>
        <v>0</v>
      </c>
      <c r="M199" s="439">
        <f>'T3 ANSP'!M199+'T3 MET'!M199+'T3 NSA'!M199</f>
        <v>0</v>
      </c>
    </row>
    <row r="200" spans="1:13">
      <c r="A200" s="454">
        <v>2019</v>
      </c>
      <c r="C200" s="405" t="s">
        <v>640</v>
      </c>
      <c r="D200" s="406">
        <f>'T3 ANSP'!D200+'T3 MET'!D200+'T3 NSA'!D200</f>
        <v>0</v>
      </c>
      <c r="E200" s="489">
        <f>'T3 ANSP'!E200+'T3 MET'!E200+'T3 NSA'!E200</f>
        <v>0</v>
      </c>
      <c r="F200" s="490">
        <f>'T3 ANSP'!F200+'T3 MET'!F200+'T3 NSA'!F200</f>
        <v>0</v>
      </c>
      <c r="G200" s="490">
        <f>'T3 ANSP'!G200+'T3 MET'!G200+'T3 NSA'!G200</f>
        <v>0</v>
      </c>
      <c r="H200" s="490">
        <f>'T3 ANSP'!H200+'T3 MET'!H200+'T3 NSA'!H200</f>
        <v>0</v>
      </c>
      <c r="I200" s="490">
        <f>'T3 ANSP'!I200+'T3 MET'!I200+'T3 NSA'!I200</f>
        <v>0</v>
      </c>
      <c r="J200" s="490">
        <f>'T3 ANSP'!J200+'T3 MET'!J200+'T3 NSA'!J200</f>
        <v>0</v>
      </c>
      <c r="K200" s="490">
        <f>'T3 ANSP'!K200+'T3 MET'!K200+'T3 NSA'!K200</f>
        <v>0</v>
      </c>
      <c r="L200" s="490">
        <f>'T3 ANSP'!L200+'T3 MET'!L200+'T3 NSA'!L200</f>
        <v>0</v>
      </c>
      <c r="M200" s="439">
        <f>'T3 ANSP'!M200+'T3 MET'!M200+'T3 NSA'!M200</f>
        <v>0</v>
      </c>
    </row>
    <row r="201" spans="1:13">
      <c r="A201" s="454" t="s">
        <v>463</v>
      </c>
      <c r="C201" s="412" t="s">
        <v>641</v>
      </c>
      <c r="D201" s="413">
        <f>'T3 ANSP'!D201+'T3 MET'!D201+'T3 NSA'!D201</f>
        <v>0</v>
      </c>
      <c r="E201" s="414">
        <f>'T3 ANSP'!E201+'T3 MET'!E201+'T3 NSA'!E201</f>
        <v>0</v>
      </c>
      <c r="F201" s="415">
        <f>'T3 ANSP'!F201+'T3 MET'!F201+'T3 NSA'!F201</f>
        <v>0</v>
      </c>
      <c r="G201" s="415">
        <f>'T3 ANSP'!G201+'T3 MET'!G201+'T3 NSA'!G201</f>
        <v>0</v>
      </c>
      <c r="H201" s="415">
        <f>'T3 ANSP'!H201+'T3 MET'!H201+'T3 NSA'!H201</f>
        <v>0</v>
      </c>
      <c r="I201" s="415">
        <f>'T3 ANSP'!I201+'T3 MET'!I201+'T3 NSA'!I201</f>
        <v>0</v>
      </c>
      <c r="J201" s="415">
        <f>'T3 ANSP'!J201+'T3 MET'!J201+'T3 NSA'!J201</f>
        <v>0</v>
      </c>
      <c r="K201" s="415">
        <f>'T3 ANSP'!K201+'T3 MET'!K201+'T3 NSA'!K201</f>
        <v>0</v>
      </c>
      <c r="L201" s="415">
        <f>'T3 ANSP'!L201+'T3 MET'!L201+'T3 NSA'!L201</f>
        <v>0</v>
      </c>
      <c r="M201" s="1031">
        <f>'T3 ANSP'!M201+'T3 MET'!M201+'T3 NSA'!M201</f>
        <v>0</v>
      </c>
    </row>
    <row r="202" spans="1:13">
      <c r="A202" s="962">
        <v>2020</v>
      </c>
      <c r="C202" s="435" t="s">
        <v>642</v>
      </c>
      <c r="D202" s="451">
        <f>'T3 ANSP'!D202+'T3 MET'!D202+'T3 NSA'!D202</f>
        <v>-7306.3912952168575</v>
      </c>
      <c r="E202" s="485">
        <f>'T3 ANSP'!E202+'T3 MET'!E202+'T3 NSA'!E202</f>
        <v>-7306.3912952168575</v>
      </c>
      <c r="F202" s="486">
        <f>'T3 ANSP'!F202+'T3 MET'!F202+'T3 NSA'!F202</f>
        <v>0</v>
      </c>
      <c r="G202" s="486">
        <f>'T3 ANSP'!G202+'T3 MET'!G202+'T3 NSA'!G202</f>
        <v>0</v>
      </c>
      <c r="H202" s="486">
        <f>'T3 ANSP'!H202+'T3 MET'!H202+'T3 NSA'!H202</f>
        <v>0</v>
      </c>
      <c r="I202" s="486">
        <f>'T3 ANSP'!I202+'T3 MET'!I202+'T3 NSA'!I202</f>
        <v>0</v>
      </c>
      <c r="J202" s="486">
        <f>'T3 ANSP'!J202+'T3 MET'!J202+'T3 NSA'!J202</f>
        <v>0</v>
      </c>
      <c r="K202" s="486">
        <f>'T3 ANSP'!K202+'T3 MET'!K202+'T3 NSA'!K202</f>
        <v>0</v>
      </c>
      <c r="L202" s="486">
        <f>'T3 ANSP'!L202+'T3 MET'!L202+'T3 NSA'!L202</f>
        <v>0</v>
      </c>
      <c r="M202" s="436">
        <f>'T3 ANSP'!M202+'T3 MET'!M202+'T3 NSA'!M202</f>
        <v>0</v>
      </c>
    </row>
    <row r="203" spans="1:13">
      <c r="A203" s="454">
        <v>2021</v>
      </c>
      <c r="C203" s="405" t="s">
        <v>643</v>
      </c>
      <c r="D203" s="452">
        <f>'T3 ANSP'!D203+'T3 MET'!D203+'T3 NSA'!D203</f>
        <v>-2637.4695319517432</v>
      </c>
      <c r="E203" s="489">
        <f>'T3 ANSP'!E203+'T3 MET'!E203+'T3 NSA'!E203</f>
        <v>0</v>
      </c>
      <c r="F203" s="490">
        <f>'T3 ANSP'!F203+'T3 MET'!F203+'T3 NSA'!F203</f>
        <v>-2637.4695319517432</v>
      </c>
      <c r="G203" s="490">
        <f>'T3 ANSP'!G203+'T3 MET'!G203+'T3 NSA'!G203</f>
        <v>0</v>
      </c>
      <c r="H203" s="490">
        <f>'T3 ANSP'!H203+'T3 MET'!H203+'T3 NSA'!H203</f>
        <v>0</v>
      </c>
      <c r="I203" s="490">
        <f>'T3 ANSP'!I203+'T3 MET'!I203+'T3 NSA'!I203</f>
        <v>0</v>
      </c>
      <c r="J203" s="490">
        <f>'T3 ANSP'!J203+'T3 MET'!J203+'T3 NSA'!J203</f>
        <v>0</v>
      </c>
      <c r="K203" s="490">
        <f>'T3 ANSP'!K203+'T3 MET'!K203+'T3 NSA'!K203</f>
        <v>0</v>
      </c>
      <c r="L203" s="490">
        <f>'T3 ANSP'!L203+'T3 MET'!L203+'T3 NSA'!L203</f>
        <v>0</v>
      </c>
      <c r="M203" s="439">
        <f>'T3 ANSP'!M203+'T3 MET'!M203+'T3 NSA'!M203</f>
        <v>0</v>
      </c>
    </row>
    <row r="204" spans="1:13">
      <c r="A204" s="454">
        <v>2022</v>
      </c>
      <c r="C204" s="405" t="s">
        <v>644</v>
      </c>
      <c r="D204" s="452">
        <f>'T3 ANSP'!D204+'T3 MET'!D204+'T3 NSA'!D204</f>
        <v>0</v>
      </c>
      <c r="E204" s="489">
        <f>'T3 ANSP'!E204+'T3 MET'!E204+'T3 NSA'!E204</f>
        <v>0</v>
      </c>
      <c r="F204" s="489">
        <f>'T3 ANSP'!F204+'T3 MET'!F204+'T3 NSA'!F204</f>
        <v>0</v>
      </c>
      <c r="G204" s="490">
        <f>'T3 ANSP'!G204+'T3 MET'!G204+'T3 NSA'!G204</f>
        <v>0</v>
      </c>
      <c r="H204" s="490">
        <f>'T3 ANSP'!H204+'T3 MET'!H204+'T3 NSA'!H204</f>
        <v>0</v>
      </c>
      <c r="I204" s="490">
        <f>'T3 ANSP'!I204+'T3 MET'!I204+'T3 NSA'!I204</f>
        <v>0</v>
      </c>
      <c r="J204" s="490">
        <f>'T3 ANSP'!J204+'T3 MET'!J204+'T3 NSA'!J204</f>
        <v>0</v>
      </c>
      <c r="K204" s="490">
        <f>'T3 ANSP'!K204+'T3 MET'!K204+'T3 NSA'!K204</f>
        <v>0</v>
      </c>
      <c r="L204" s="490">
        <f>'T3 ANSP'!L204+'T3 MET'!L204+'T3 NSA'!L204</f>
        <v>0</v>
      </c>
      <c r="M204" s="439">
        <f>'T3 ANSP'!M204+'T3 MET'!M204+'T3 NSA'!M204</f>
        <v>0</v>
      </c>
    </row>
    <row r="205" spans="1:13">
      <c r="A205" s="454" t="s">
        <v>468</v>
      </c>
      <c r="C205" s="412" t="s">
        <v>645</v>
      </c>
      <c r="D205" s="413">
        <f>'T3 ANSP'!D205+'T3 MET'!D205+'T3 NSA'!D205</f>
        <v>-9943.8608271686007</v>
      </c>
      <c r="E205" s="415">
        <f>'T3 ANSP'!E205+'T3 MET'!E205+'T3 NSA'!E205</f>
        <v>-7306.3912952168575</v>
      </c>
      <c r="F205" s="415">
        <f>'T3 ANSP'!F205+'T3 MET'!F205+'T3 NSA'!F205</f>
        <v>-2637.4695319517432</v>
      </c>
      <c r="G205" s="415">
        <f>'T3 ANSP'!G205+'T3 MET'!G205+'T3 NSA'!G205</f>
        <v>0</v>
      </c>
      <c r="H205" s="415">
        <f>'T3 ANSP'!H205+'T3 MET'!H205+'T3 NSA'!H205</f>
        <v>0</v>
      </c>
      <c r="I205" s="415">
        <f>'T3 ANSP'!I205+'T3 MET'!I205+'T3 NSA'!I205</f>
        <v>0</v>
      </c>
      <c r="J205" s="415">
        <f>'T3 ANSP'!J205+'T3 MET'!J205+'T3 NSA'!J205</f>
        <v>0</v>
      </c>
      <c r="K205" s="415">
        <f>'T3 ANSP'!K205+'T3 MET'!K205+'T3 NSA'!K205</f>
        <v>0</v>
      </c>
      <c r="L205" s="415">
        <f>'T3 ANSP'!L205+'T3 MET'!L205+'T3 NSA'!L205</f>
        <v>0</v>
      </c>
      <c r="M205" s="1031">
        <f>'T3 ANSP'!M205+'T3 MET'!M205+'T3 NSA'!M205</f>
        <v>0</v>
      </c>
    </row>
    <row r="206" spans="1:13">
      <c r="A206" s="454">
        <v>2023</v>
      </c>
      <c r="C206" s="405" t="s">
        <v>646</v>
      </c>
      <c r="D206" s="452">
        <f>'T3 ANSP'!D206+'T3 MET'!D206+'T3 NSA'!D206</f>
        <v>0</v>
      </c>
      <c r="E206" s="489">
        <f>'T3 ANSP'!E206+'T3 MET'!E206+'T3 NSA'!E206</f>
        <v>0</v>
      </c>
      <c r="F206" s="490">
        <f>'T3 ANSP'!F206+'T3 MET'!F206+'T3 NSA'!F206</f>
        <v>0</v>
      </c>
      <c r="G206" s="490">
        <f>'T3 ANSP'!G206+'T3 MET'!G206+'T3 NSA'!G206</f>
        <v>0</v>
      </c>
      <c r="H206" s="490">
        <f>'T3 ANSP'!H206+'T3 MET'!H206+'T3 NSA'!H206</f>
        <v>0</v>
      </c>
      <c r="I206" s="490">
        <f>'T3 ANSP'!I206+'T3 MET'!I206+'T3 NSA'!I206</f>
        <v>0</v>
      </c>
      <c r="J206" s="490">
        <f>'T3 ANSP'!J206+'T3 MET'!J206+'T3 NSA'!J206</f>
        <v>0</v>
      </c>
      <c r="K206" s="490">
        <f>'T3 ANSP'!K206+'T3 MET'!K206+'T3 NSA'!K206</f>
        <v>0</v>
      </c>
      <c r="L206" s="490">
        <f>'T3 ANSP'!L206+'T3 MET'!L206+'T3 NSA'!L206</f>
        <v>0</v>
      </c>
      <c r="M206" s="439">
        <f>'T3 ANSP'!M206+'T3 MET'!M206+'T3 NSA'!M206</f>
        <v>0</v>
      </c>
    </row>
    <row r="207" spans="1:13">
      <c r="A207" s="454">
        <v>2024</v>
      </c>
      <c r="C207" s="405" t="s">
        <v>647</v>
      </c>
      <c r="D207" s="452">
        <f>'T3 ANSP'!D207+'T3 MET'!D207+'T3 NSA'!D207</f>
        <v>0</v>
      </c>
      <c r="E207" s="489">
        <f>'T3 ANSP'!E207+'T3 MET'!E207+'T3 NSA'!E207</f>
        <v>0</v>
      </c>
      <c r="F207" s="490">
        <f>'T3 ANSP'!F207+'T3 MET'!F207+'T3 NSA'!F207</f>
        <v>0</v>
      </c>
      <c r="G207" s="490">
        <f>'T3 ANSP'!G207+'T3 MET'!G207+'T3 NSA'!G207</f>
        <v>0</v>
      </c>
      <c r="H207" s="490">
        <f>'T3 ANSP'!H207+'T3 MET'!H207+'T3 NSA'!H207</f>
        <v>0</v>
      </c>
      <c r="I207" s="490">
        <f>'T3 ANSP'!I207+'T3 MET'!I207+'T3 NSA'!I207</f>
        <v>0</v>
      </c>
      <c r="J207" s="490">
        <f>'T3 ANSP'!J207+'T3 MET'!J207+'T3 NSA'!J207</f>
        <v>0</v>
      </c>
      <c r="K207" s="490">
        <f>'T3 ANSP'!K207+'T3 MET'!K207+'T3 NSA'!K207</f>
        <v>0</v>
      </c>
      <c r="L207" s="490">
        <f>'T3 ANSP'!L207+'T3 MET'!L207+'T3 NSA'!L207</f>
        <v>0</v>
      </c>
      <c r="M207" s="439">
        <f>'T3 ANSP'!M207+'T3 MET'!M207+'T3 NSA'!M207</f>
        <v>0</v>
      </c>
    </row>
    <row r="208" spans="1:13">
      <c r="A208" s="454">
        <v>2025</v>
      </c>
      <c r="C208" s="405" t="s">
        <v>648</v>
      </c>
      <c r="D208" s="452">
        <f>'T3 ANSP'!D208+'T3 MET'!D208+'T3 NSA'!D208</f>
        <v>0</v>
      </c>
      <c r="E208" s="489">
        <f>'T3 ANSP'!E208+'T3 MET'!E208+'T3 NSA'!E208</f>
        <v>0</v>
      </c>
      <c r="F208" s="490">
        <f>'T3 ANSP'!F208+'T3 MET'!F208+'T3 NSA'!F208</f>
        <v>0</v>
      </c>
      <c r="G208" s="490">
        <f>'T3 ANSP'!G208+'T3 MET'!G208+'T3 NSA'!G208</f>
        <v>0</v>
      </c>
      <c r="H208" s="490">
        <f>'T3 ANSP'!H208+'T3 MET'!H208+'T3 NSA'!H208</f>
        <v>0</v>
      </c>
      <c r="I208" s="490">
        <f>'T3 ANSP'!I208+'T3 MET'!I208+'T3 NSA'!I208</f>
        <v>0</v>
      </c>
      <c r="J208" s="490">
        <f>'T3 ANSP'!J208+'T3 MET'!J208+'T3 NSA'!J208</f>
        <v>0</v>
      </c>
      <c r="K208" s="490">
        <f>'T3 ANSP'!K208+'T3 MET'!K208+'T3 NSA'!K208</f>
        <v>0</v>
      </c>
      <c r="L208" s="490">
        <f>'T3 ANSP'!L208+'T3 MET'!L208+'T3 NSA'!L208</f>
        <v>0</v>
      </c>
      <c r="M208" s="439">
        <f>'T3 ANSP'!M208+'T3 MET'!M208+'T3 NSA'!M208</f>
        <v>0</v>
      </c>
    </row>
    <row r="209" spans="1:19">
      <c r="A209" s="454">
        <v>2026</v>
      </c>
      <c r="C209" s="405" t="s">
        <v>649</v>
      </c>
      <c r="D209" s="452">
        <f>'T3 ANSP'!D209+'T3 MET'!D209+'T3 NSA'!D209</f>
        <v>0</v>
      </c>
      <c r="E209" s="489">
        <f>'T3 ANSP'!E209+'T3 MET'!E209+'T3 NSA'!E209</f>
        <v>0</v>
      </c>
      <c r="F209" s="490">
        <f>'T3 ANSP'!F209+'T3 MET'!F209+'T3 NSA'!F209</f>
        <v>0</v>
      </c>
      <c r="G209" s="490">
        <f>'T3 ANSP'!G209+'T3 MET'!G209+'T3 NSA'!G209</f>
        <v>0</v>
      </c>
      <c r="H209" s="490">
        <f>'T3 ANSP'!H209+'T3 MET'!H209+'T3 NSA'!H209</f>
        <v>0</v>
      </c>
      <c r="I209" s="490">
        <f>'T3 ANSP'!I209+'T3 MET'!I209+'T3 NSA'!I209</f>
        <v>0</v>
      </c>
      <c r="J209" s="490">
        <f>'T3 ANSP'!J209+'T3 MET'!J209+'T3 NSA'!J209</f>
        <v>0</v>
      </c>
      <c r="K209" s="490">
        <f>'T3 ANSP'!K209+'T3 MET'!K209+'T3 NSA'!K209</f>
        <v>0</v>
      </c>
      <c r="L209" s="490">
        <f>'T3 ANSP'!L209+'T3 MET'!L209+'T3 NSA'!L209</f>
        <v>0</v>
      </c>
      <c r="M209" s="439">
        <f>'T3 ANSP'!M209+'T3 MET'!M209+'T3 NSA'!M209</f>
        <v>0</v>
      </c>
    </row>
    <row r="210" spans="1:19">
      <c r="A210" s="454">
        <v>2027</v>
      </c>
      <c r="C210" s="405" t="s">
        <v>650</v>
      </c>
      <c r="D210" s="453">
        <f>'T3 ANSP'!D210+'T3 MET'!D210+'T3 NSA'!D210</f>
        <v>0</v>
      </c>
      <c r="E210" s="1320">
        <f>'T3 ANSP'!E210+'T3 MET'!E210+'T3 NSA'!E210</f>
        <v>0</v>
      </c>
      <c r="F210" s="521">
        <f>'T3 ANSP'!F210+'T3 MET'!F210+'T3 NSA'!F210</f>
        <v>0</v>
      </c>
      <c r="G210" s="521">
        <f>'T3 ANSP'!G210+'T3 MET'!G210+'T3 NSA'!G210</f>
        <v>0</v>
      </c>
      <c r="H210" s="521">
        <f>'T3 ANSP'!H210+'T3 MET'!H210+'T3 NSA'!H210</f>
        <v>0</v>
      </c>
      <c r="I210" s="521">
        <f>'T3 ANSP'!I210+'T3 MET'!I210+'T3 NSA'!I210</f>
        <v>0</v>
      </c>
      <c r="J210" s="521">
        <f>'T3 ANSP'!J210+'T3 MET'!J210+'T3 NSA'!J210</f>
        <v>0</v>
      </c>
      <c r="K210" s="521">
        <f>'T3 ANSP'!K210+'T3 MET'!K210+'T3 NSA'!K210</f>
        <v>0</v>
      </c>
      <c r="L210" s="521">
        <f>'T3 ANSP'!L210+'T3 MET'!L210+'T3 NSA'!L210</f>
        <v>0</v>
      </c>
      <c r="M210" s="1056">
        <f>'T3 ANSP'!M210+'T3 MET'!M210+'T3 NSA'!M210</f>
        <v>0</v>
      </c>
    </row>
    <row r="211" spans="1:19">
      <c r="A211" s="454" t="s">
        <v>475</v>
      </c>
      <c r="C211" s="430" t="s">
        <v>925</v>
      </c>
      <c r="D211" s="431">
        <f>'T3 ANSP'!D211+'T3 MET'!D211+'T3 NSA'!D211</f>
        <v>-9943.8608271686007</v>
      </c>
      <c r="E211" s="479">
        <f>'T3 ANSP'!E211+'T3 MET'!E211+'T3 NSA'!E211</f>
        <v>-7306.3912952168575</v>
      </c>
      <c r="F211" s="433">
        <f>'T3 ANSP'!F211+'T3 MET'!F211+'T3 NSA'!F211</f>
        <v>-2637.4695319517432</v>
      </c>
      <c r="G211" s="433">
        <f>'T3 ANSP'!G211+'T3 MET'!G211+'T3 NSA'!G211</f>
        <v>0</v>
      </c>
      <c r="H211" s="433">
        <f>'T3 ANSP'!H211+'T3 MET'!H211+'T3 NSA'!H211</f>
        <v>0</v>
      </c>
      <c r="I211" s="480">
        <f>'T3 ANSP'!I211+'T3 MET'!I211+'T3 NSA'!I211</f>
        <v>0</v>
      </c>
      <c r="J211" s="480">
        <f>'T3 ANSP'!J211+'T3 MET'!J211+'T3 NSA'!J211</f>
        <v>0</v>
      </c>
      <c r="K211" s="480">
        <f>'T3 ANSP'!K211+'T3 MET'!K211+'T3 NSA'!K211</f>
        <v>0</v>
      </c>
      <c r="L211" s="480">
        <f>'T3 ANSP'!L211+'T3 MET'!L211+'T3 NSA'!L211</f>
        <v>0</v>
      </c>
      <c r="M211" s="1055">
        <f>'T3 ANSP'!M211+'T3 MET'!M211+'T3 NSA'!M211</f>
        <v>0</v>
      </c>
    </row>
    <row r="212" spans="1:19">
      <c r="A212" s="748"/>
      <c r="D212" s="434"/>
      <c r="E212" s="434"/>
      <c r="F212" s="606"/>
      <c r="G212" s="434"/>
      <c r="H212" s="434"/>
      <c r="I212" s="434"/>
      <c r="J212" s="434"/>
      <c r="K212" s="434"/>
      <c r="L212" s="434"/>
      <c r="M212" s="434"/>
    </row>
    <row r="213" spans="1:19">
      <c r="A213" s="454">
        <v>2017</v>
      </c>
      <c r="C213" s="397" t="s">
        <v>652</v>
      </c>
      <c r="D213" s="398">
        <f>'T3 ANSP'!D213+'T3 MET'!D213+'T3 NSA'!D213</f>
        <v>0</v>
      </c>
      <c r="E213" s="437">
        <f>'T3 ANSP'!E213+'T3 MET'!E213+'T3 NSA'!E213</f>
        <v>0</v>
      </c>
      <c r="F213" s="420">
        <f>'T3 ANSP'!F213+'T3 MET'!F213+'T3 NSA'!F213</f>
        <v>0</v>
      </c>
      <c r="G213" s="420">
        <f>'T3 ANSP'!G213+'T3 MET'!G213+'T3 NSA'!G213</f>
        <v>0</v>
      </c>
      <c r="H213" s="420">
        <f>'T3 ANSP'!H213+'T3 MET'!H213+'T3 NSA'!H213</f>
        <v>0</v>
      </c>
      <c r="I213" s="1315">
        <f>'T3 ANSP'!I213+'T3 MET'!I213+'T3 NSA'!I213</f>
        <v>0</v>
      </c>
      <c r="J213" s="1315">
        <f>'T3 ANSP'!J213+'T3 MET'!J213+'T3 NSA'!J213</f>
        <v>0</v>
      </c>
      <c r="K213" s="1315">
        <f>'T3 ANSP'!K213+'T3 MET'!K213+'T3 NSA'!K213</f>
        <v>0</v>
      </c>
      <c r="L213" s="1315">
        <f>'T3 ANSP'!L213+'T3 MET'!L213+'T3 NSA'!L213</f>
        <v>0</v>
      </c>
      <c r="M213" s="436">
        <f>'T3 ANSP'!M213+'T3 MET'!M213+'T3 NSA'!M213</f>
        <v>0</v>
      </c>
    </row>
    <row r="214" spans="1:19">
      <c r="A214" s="454">
        <v>2018</v>
      </c>
      <c r="C214" s="405" t="s">
        <v>653</v>
      </c>
      <c r="D214" s="406">
        <f>'T3 ANSP'!D214+'T3 MET'!D214+'T3 NSA'!D214</f>
        <v>0</v>
      </c>
      <c r="E214" s="440">
        <f>'T3 ANSP'!E214+'T3 MET'!E214+'T3 NSA'!E214</f>
        <v>0</v>
      </c>
      <c r="F214" s="422">
        <f>'T3 ANSP'!F214+'T3 MET'!F214+'T3 NSA'!F214</f>
        <v>0</v>
      </c>
      <c r="G214" s="422">
        <f>'T3 ANSP'!G214+'T3 MET'!G214+'T3 NSA'!G214</f>
        <v>0</v>
      </c>
      <c r="H214" s="422">
        <f>'T3 ANSP'!H214+'T3 MET'!H214+'T3 NSA'!H214</f>
        <v>0</v>
      </c>
      <c r="I214" s="1041">
        <f>'T3 ANSP'!I214+'T3 MET'!I214+'T3 NSA'!I214</f>
        <v>0</v>
      </c>
      <c r="J214" s="1041">
        <f>'T3 ANSP'!J214+'T3 MET'!J214+'T3 NSA'!J214</f>
        <v>0</v>
      </c>
      <c r="K214" s="1041">
        <f>'T3 ANSP'!K214+'T3 MET'!K214+'T3 NSA'!K214</f>
        <v>0</v>
      </c>
      <c r="L214" s="1041">
        <f>'T3 ANSP'!L214+'T3 MET'!L214+'T3 NSA'!L214</f>
        <v>0</v>
      </c>
      <c r="M214" s="439">
        <f>'T3 ANSP'!M214+'T3 MET'!M214+'T3 NSA'!M214</f>
        <v>0</v>
      </c>
    </row>
    <row r="215" spans="1:19">
      <c r="A215" s="454">
        <v>2019</v>
      </c>
      <c r="C215" s="405" t="s">
        <v>654</v>
      </c>
      <c r="D215" s="406">
        <f>'T3 ANSP'!D215+'T3 MET'!D215+'T3 NSA'!D215</f>
        <v>0</v>
      </c>
      <c r="E215" s="440">
        <f>'T3 ANSP'!E215+'T3 MET'!E215+'T3 NSA'!E215</f>
        <v>0</v>
      </c>
      <c r="F215" s="422">
        <f>'T3 ANSP'!F215+'T3 MET'!F215+'T3 NSA'!F215</f>
        <v>0</v>
      </c>
      <c r="G215" s="422">
        <f>'T3 ANSP'!G215+'T3 MET'!G215+'T3 NSA'!G215</f>
        <v>0</v>
      </c>
      <c r="H215" s="422">
        <f>'T3 ANSP'!H215+'T3 MET'!H215+'T3 NSA'!H215</f>
        <v>0</v>
      </c>
      <c r="I215" s="1041">
        <f>'T3 ANSP'!I215+'T3 MET'!I215+'T3 NSA'!I215</f>
        <v>0</v>
      </c>
      <c r="J215" s="1041">
        <f>'T3 ANSP'!J215+'T3 MET'!J215+'T3 NSA'!J215</f>
        <v>0</v>
      </c>
      <c r="K215" s="1041">
        <f>'T3 ANSP'!K215+'T3 MET'!K215+'T3 NSA'!K215</f>
        <v>0</v>
      </c>
      <c r="L215" s="1041">
        <f>'T3 ANSP'!L215+'T3 MET'!L215+'T3 NSA'!L215</f>
        <v>0</v>
      </c>
      <c r="M215" s="439">
        <f>'T3 ANSP'!M215+'T3 MET'!M215+'T3 NSA'!M215</f>
        <v>0</v>
      </c>
    </row>
    <row r="216" spans="1:19">
      <c r="A216" s="454" t="s">
        <v>463</v>
      </c>
      <c r="C216" s="412" t="s">
        <v>655</v>
      </c>
      <c r="D216" s="413">
        <f>'T3 ANSP'!D216+'T3 MET'!D216+'T3 NSA'!D216</f>
        <v>0</v>
      </c>
      <c r="E216" s="414">
        <f>'T3 ANSP'!E216+'T3 MET'!E216+'T3 NSA'!E216</f>
        <v>0</v>
      </c>
      <c r="F216" s="415">
        <f>'T3 ANSP'!F216+'T3 MET'!F216+'T3 NSA'!F216</f>
        <v>0</v>
      </c>
      <c r="G216" s="415">
        <f>'T3 ANSP'!G216+'T3 MET'!G216+'T3 NSA'!G216</f>
        <v>0</v>
      </c>
      <c r="H216" s="415">
        <f>'T3 ANSP'!H216+'T3 MET'!H216+'T3 NSA'!H216</f>
        <v>0</v>
      </c>
      <c r="I216" s="450">
        <f>'T3 ANSP'!I216+'T3 MET'!I216+'T3 NSA'!I216</f>
        <v>0</v>
      </c>
      <c r="J216" s="450">
        <f>'T3 ANSP'!J216+'T3 MET'!J216+'T3 NSA'!J216</f>
        <v>0</v>
      </c>
      <c r="K216" s="450">
        <f>'T3 ANSP'!K216+'T3 MET'!K216+'T3 NSA'!K216</f>
        <v>0</v>
      </c>
      <c r="L216" s="450">
        <f>'T3 ANSP'!L216+'T3 MET'!L216+'T3 NSA'!L216</f>
        <v>0</v>
      </c>
      <c r="M216" s="1031">
        <f>'T3 ANSP'!M216+'T3 MET'!M216+'T3 NSA'!M216</f>
        <v>0</v>
      </c>
    </row>
    <row r="217" spans="1:19">
      <c r="A217" s="454">
        <v>2020</v>
      </c>
      <c r="C217" s="397" t="s">
        <v>656</v>
      </c>
      <c r="D217" s="451">
        <f>'T3 ANSP'!D217+'T3 MET'!D217+'T3 NSA'!D217</f>
        <v>0</v>
      </c>
      <c r="E217" s="437">
        <f>'T3 ANSP'!E217+'T3 MET'!E217+'T3 NSA'!E217</f>
        <v>0</v>
      </c>
      <c r="F217" s="420">
        <f>'T3 ANSP'!F217+'T3 MET'!F217+'T3 NSA'!F217</f>
        <v>0</v>
      </c>
      <c r="G217" s="420">
        <f>'T3 ANSP'!G217+'T3 MET'!G217+'T3 NSA'!G217</f>
        <v>0</v>
      </c>
      <c r="H217" s="420">
        <f>'T3 ANSP'!H217+'T3 MET'!H217+'T3 NSA'!H217</f>
        <v>0</v>
      </c>
      <c r="I217" s="1315">
        <f>'T3 ANSP'!I217+'T3 MET'!I217+'T3 NSA'!I217</f>
        <v>0</v>
      </c>
      <c r="J217" s="1315">
        <f>'T3 ANSP'!J217+'T3 MET'!J217+'T3 NSA'!J217</f>
        <v>0</v>
      </c>
      <c r="K217" s="1315">
        <f>'T3 ANSP'!K217+'T3 MET'!K217+'T3 NSA'!K217</f>
        <v>0</v>
      </c>
      <c r="L217" s="1315">
        <f>'T3 ANSP'!L217+'T3 MET'!L217+'T3 NSA'!L217</f>
        <v>0</v>
      </c>
      <c r="M217" s="436">
        <f>'T3 ANSP'!M217+'T3 MET'!M217+'T3 NSA'!M217</f>
        <v>0</v>
      </c>
    </row>
    <row r="218" spans="1:19">
      <c r="A218" s="454">
        <v>2021</v>
      </c>
      <c r="C218" s="405" t="s">
        <v>657</v>
      </c>
      <c r="D218" s="452">
        <f>'T3 ANSP'!D218+'T3 MET'!D218+'T3 NSA'!D218</f>
        <v>0</v>
      </c>
      <c r="E218" s="440">
        <f>'T3 ANSP'!E218+'T3 MET'!E218+'T3 NSA'!E218</f>
        <v>0</v>
      </c>
      <c r="F218" s="422">
        <f>'T3 ANSP'!F218+'T3 MET'!F218+'T3 NSA'!F218</f>
        <v>0</v>
      </c>
      <c r="G218" s="422">
        <f>'T3 ANSP'!G218+'T3 MET'!G218+'T3 NSA'!G218</f>
        <v>0</v>
      </c>
      <c r="H218" s="422">
        <f>'T3 ANSP'!H218+'T3 MET'!H218+'T3 NSA'!H218</f>
        <v>0</v>
      </c>
      <c r="I218" s="1041">
        <f>'T3 ANSP'!I218+'T3 MET'!I218+'T3 NSA'!I218</f>
        <v>0</v>
      </c>
      <c r="J218" s="1041">
        <f>'T3 ANSP'!J218+'T3 MET'!J218+'T3 NSA'!J218</f>
        <v>0</v>
      </c>
      <c r="K218" s="1041">
        <f>'T3 ANSP'!K218+'T3 MET'!K218+'T3 NSA'!K218</f>
        <v>0</v>
      </c>
      <c r="L218" s="1041">
        <f>'T3 ANSP'!L218+'T3 MET'!L218+'T3 NSA'!L218</f>
        <v>0</v>
      </c>
      <c r="M218" s="439">
        <f>'T3 ANSP'!M218+'T3 MET'!M218+'T3 NSA'!M218</f>
        <v>0</v>
      </c>
    </row>
    <row r="219" spans="1:19">
      <c r="A219" s="454">
        <v>2022</v>
      </c>
      <c r="C219" s="405" t="s">
        <v>658</v>
      </c>
      <c r="D219" s="452">
        <f>'T3 ANSP'!D219+'T3 MET'!D219+'T3 NSA'!D219</f>
        <v>0</v>
      </c>
      <c r="E219" s="440">
        <f>'T3 ANSP'!E219+'T3 MET'!E219+'T3 NSA'!E219</f>
        <v>0</v>
      </c>
      <c r="F219" s="422">
        <f>'T3 ANSP'!F219+'T3 MET'!F219+'T3 NSA'!F219</f>
        <v>0</v>
      </c>
      <c r="G219" s="422">
        <f>'T3 ANSP'!G219+'T3 MET'!G219+'T3 NSA'!G219</f>
        <v>0</v>
      </c>
      <c r="H219" s="422">
        <f>'T3 ANSP'!H219+'T3 MET'!H219+'T3 NSA'!H219</f>
        <v>0</v>
      </c>
      <c r="I219" s="1041">
        <f>'T3 ANSP'!I219+'T3 MET'!I219+'T3 NSA'!I219</f>
        <v>0</v>
      </c>
      <c r="J219" s="1041">
        <f>'T3 ANSP'!J219+'T3 MET'!J219+'T3 NSA'!J219</f>
        <v>0</v>
      </c>
      <c r="K219" s="1041">
        <f>'T3 ANSP'!K219+'T3 MET'!K219+'T3 NSA'!K219</f>
        <v>0</v>
      </c>
      <c r="L219" s="1041">
        <f>'T3 ANSP'!L219+'T3 MET'!L219+'T3 NSA'!L219</f>
        <v>0</v>
      </c>
      <c r="M219" s="439">
        <f>'T3 ANSP'!M219+'T3 MET'!M219+'T3 NSA'!M219</f>
        <v>0</v>
      </c>
      <c r="S219" s="385" t="e">
        <f>'T3 ANSP'!#REF!+'T3 MET'!#REF!+'T3 NSA'!#REF!</f>
        <v>#REF!</v>
      </c>
    </row>
    <row r="220" spans="1:19">
      <c r="A220" s="454" t="s">
        <v>468</v>
      </c>
      <c r="C220" s="412" t="s">
        <v>659</v>
      </c>
      <c r="D220" s="413">
        <f>'T3 ANSP'!D220+'T3 MET'!D220+'T3 NSA'!D220</f>
        <v>0</v>
      </c>
      <c r="E220" s="414">
        <f>'T3 ANSP'!E220+'T3 MET'!E220+'T3 NSA'!E220</f>
        <v>0</v>
      </c>
      <c r="F220" s="415">
        <f>'T3 ANSP'!F220+'T3 MET'!F220+'T3 NSA'!F220</f>
        <v>0</v>
      </c>
      <c r="G220" s="415">
        <f>'T3 ANSP'!G220+'T3 MET'!G220+'T3 NSA'!G220</f>
        <v>0</v>
      </c>
      <c r="H220" s="415">
        <f>'T3 ANSP'!H220+'T3 MET'!H220+'T3 NSA'!H220</f>
        <v>0</v>
      </c>
      <c r="I220" s="450">
        <f>'T3 ANSP'!I220+'T3 MET'!I220+'T3 NSA'!I220</f>
        <v>0</v>
      </c>
      <c r="J220" s="450">
        <f>'T3 ANSP'!J220+'T3 MET'!J220+'T3 NSA'!J220</f>
        <v>0</v>
      </c>
      <c r="K220" s="450">
        <f>'T3 ANSP'!K220+'T3 MET'!K220+'T3 NSA'!K220</f>
        <v>0</v>
      </c>
      <c r="L220" s="450">
        <f>'T3 ANSP'!L220+'T3 MET'!L220+'T3 NSA'!L220</f>
        <v>0</v>
      </c>
      <c r="M220" s="1031">
        <f>'T3 ANSP'!M220+'T3 MET'!M220+'T3 NSA'!M220</f>
        <v>0</v>
      </c>
    </row>
    <row r="221" spans="1:19">
      <c r="A221" s="454">
        <v>2023</v>
      </c>
      <c r="C221" s="405" t="s">
        <v>660</v>
      </c>
      <c r="D221" s="452">
        <f>'T3 ANSP'!D221+'T3 MET'!D221+'T3 NSA'!D221</f>
        <v>0</v>
      </c>
      <c r="E221" s="440">
        <f>'T3 ANSP'!E221+'T3 MET'!E221+'T3 NSA'!E221</f>
        <v>0</v>
      </c>
      <c r="F221" s="422">
        <f>'T3 ANSP'!F221+'T3 MET'!F221+'T3 NSA'!F221</f>
        <v>0</v>
      </c>
      <c r="G221" s="422">
        <f>'T3 ANSP'!G221+'T3 MET'!G221+'T3 NSA'!G221</f>
        <v>0</v>
      </c>
      <c r="H221" s="422">
        <f>'T3 ANSP'!H221+'T3 MET'!H221+'T3 NSA'!H221</f>
        <v>0</v>
      </c>
      <c r="I221" s="1041">
        <f>'T3 ANSP'!I221+'T3 MET'!I221+'T3 NSA'!I221</f>
        <v>0</v>
      </c>
      <c r="J221" s="1041">
        <f>'T3 ANSP'!J221+'T3 MET'!J221+'T3 NSA'!J221</f>
        <v>0</v>
      </c>
      <c r="K221" s="1041">
        <f>'T3 ANSP'!K221+'T3 MET'!K221+'T3 NSA'!K221</f>
        <v>0</v>
      </c>
      <c r="L221" s="1041">
        <f>'T3 ANSP'!L221+'T3 MET'!L221+'T3 NSA'!L221</f>
        <v>0</v>
      </c>
      <c r="M221" s="439">
        <f>'T3 ANSP'!M221+'T3 MET'!M221+'T3 NSA'!M221</f>
        <v>0</v>
      </c>
    </row>
    <row r="222" spans="1:19">
      <c r="A222" s="454">
        <v>2024</v>
      </c>
      <c r="C222" s="405" t="s">
        <v>661</v>
      </c>
      <c r="D222" s="452">
        <f>'T3 ANSP'!D222+'T3 MET'!D222+'T3 NSA'!D222</f>
        <v>0</v>
      </c>
      <c r="E222" s="440">
        <f>'T3 ANSP'!E222+'T3 MET'!E222+'T3 NSA'!E222</f>
        <v>0</v>
      </c>
      <c r="F222" s="422">
        <f>'T3 ANSP'!F222+'T3 MET'!F222+'T3 NSA'!F222</f>
        <v>0</v>
      </c>
      <c r="G222" s="422">
        <f>'T3 ANSP'!G222+'T3 MET'!G222+'T3 NSA'!G222</f>
        <v>0</v>
      </c>
      <c r="H222" s="422">
        <f>'T3 ANSP'!H222+'T3 MET'!H222+'T3 NSA'!H222</f>
        <v>0</v>
      </c>
      <c r="I222" s="1041">
        <f>'T3 ANSP'!I222+'T3 MET'!I222+'T3 NSA'!I222</f>
        <v>0</v>
      </c>
      <c r="J222" s="1041">
        <f>'T3 ANSP'!J222+'T3 MET'!J222+'T3 NSA'!J222</f>
        <v>0</v>
      </c>
      <c r="K222" s="1041">
        <f>'T3 ANSP'!K222+'T3 MET'!K222+'T3 NSA'!K222</f>
        <v>0</v>
      </c>
      <c r="L222" s="1041">
        <f>'T3 ANSP'!L222+'T3 MET'!L222+'T3 NSA'!L222</f>
        <v>0</v>
      </c>
      <c r="M222" s="439">
        <f>'T3 ANSP'!M222+'T3 MET'!M222+'T3 NSA'!M222</f>
        <v>0</v>
      </c>
    </row>
    <row r="223" spans="1:19">
      <c r="A223" s="454">
        <v>2025</v>
      </c>
      <c r="C223" s="405" t="s">
        <v>662</v>
      </c>
      <c r="D223" s="452">
        <f>'T3 ANSP'!D223+'T3 MET'!D223+'T3 NSA'!D223</f>
        <v>0</v>
      </c>
      <c r="E223" s="440">
        <f>'T3 ANSP'!E223+'T3 MET'!E223+'T3 NSA'!E223</f>
        <v>0</v>
      </c>
      <c r="F223" s="422">
        <f>'T3 ANSP'!F223+'T3 MET'!F223+'T3 NSA'!F223</f>
        <v>0</v>
      </c>
      <c r="G223" s="422">
        <f>'T3 ANSP'!G223+'T3 MET'!G223+'T3 NSA'!G223</f>
        <v>0</v>
      </c>
      <c r="H223" s="422">
        <f>'T3 ANSP'!H223+'T3 MET'!H223+'T3 NSA'!H223</f>
        <v>0</v>
      </c>
      <c r="I223" s="1041">
        <f>'T3 ANSP'!I223+'T3 MET'!I223+'T3 NSA'!I223</f>
        <v>0</v>
      </c>
      <c r="J223" s="1041">
        <f>'T3 ANSP'!J223+'T3 MET'!J223+'T3 NSA'!J223</f>
        <v>0</v>
      </c>
      <c r="K223" s="1041">
        <f>'T3 ANSP'!K223+'T3 MET'!K223+'T3 NSA'!K223</f>
        <v>0</v>
      </c>
      <c r="L223" s="1041">
        <f>'T3 ANSP'!L223+'T3 MET'!L223+'T3 NSA'!L223</f>
        <v>0</v>
      </c>
      <c r="M223" s="439">
        <f>'T3 ANSP'!M223+'T3 MET'!M223+'T3 NSA'!M223</f>
        <v>0</v>
      </c>
    </row>
    <row r="224" spans="1:19">
      <c r="A224" s="454">
        <v>2026</v>
      </c>
      <c r="C224" s="405" t="s">
        <v>663</v>
      </c>
      <c r="D224" s="452">
        <f>'T3 ANSP'!D224+'T3 MET'!D224+'T3 NSA'!D224</f>
        <v>0</v>
      </c>
      <c r="E224" s="440">
        <f>'T3 ANSP'!E224+'T3 MET'!E224+'T3 NSA'!E224</f>
        <v>0</v>
      </c>
      <c r="F224" s="422">
        <f>'T3 ANSP'!F224+'T3 MET'!F224+'T3 NSA'!F224</f>
        <v>0</v>
      </c>
      <c r="G224" s="422">
        <f>'T3 ANSP'!G224+'T3 MET'!G224+'T3 NSA'!G224</f>
        <v>0</v>
      </c>
      <c r="H224" s="422">
        <f>'T3 ANSP'!H224+'T3 MET'!H224+'T3 NSA'!H224</f>
        <v>0</v>
      </c>
      <c r="I224" s="1041">
        <f>'T3 ANSP'!I224+'T3 MET'!I224+'T3 NSA'!I224</f>
        <v>0</v>
      </c>
      <c r="J224" s="1041">
        <f>'T3 ANSP'!J224+'T3 MET'!J224+'T3 NSA'!J224</f>
        <v>0</v>
      </c>
      <c r="K224" s="1041">
        <f>'T3 ANSP'!K224+'T3 MET'!K224+'T3 NSA'!K224</f>
        <v>0</v>
      </c>
      <c r="L224" s="1041">
        <f>'T3 ANSP'!L224+'T3 MET'!L224+'T3 NSA'!L224</f>
        <v>0</v>
      </c>
      <c r="M224" s="439">
        <f>'T3 ANSP'!M224+'T3 MET'!M224+'T3 NSA'!M224</f>
        <v>0</v>
      </c>
    </row>
    <row r="225" spans="1:13">
      <c r="A225" s="454">
        <v>2027</v>
      </c>
      <c r="C225" s="405" t="s">
        <v>664</v>
      </c>
      <c r="D225" s="453">
        <f>'T3 ANSP'!D225+'T3 MET'!D225+'T3 NSA'!D225</f>
        <v>0</v>
      </c>
      <c r="E225" s="1318">
        <f>'T3 ANSP'!E225+'T3 MET'!E225+'T3 NSA'!E225</f>
        <v>0</v>
      </c>
      <c r="F225" s="462">
        <f>'T3 ANSP'!F225+'T3 MET'!F225+'T3 NSA'!F225</f>
        <v>0</v>
      </c>
      <c r="G225" s="462">
        <f>'T3 ANSP'!G225+'T3 MET'!G225+'T3 NSA'!G225</f>
        <v>0</v>
      </c>
      <c r="H225" s="462">
        <f>'T3 ANSP'!H225+'T3 MET'!H225+'T3 NSA'!H225</f>
        <v>0</v>
      </c>
      <c r="I225" s="1322">
        <f>'T3 ANSP'!I225+'T3 MET'!I225+'T3 NSA'!I225</f>
        <v>0</v>
      </c>
      <c r="J225" s="1322">
        <f>'T3 ANSP'!J225+'T3 MET'!J225+'T3 NSA'!J225</f>
        <v>0</v>
      </c>
      <c r="K225" s="1322">
        <f>'T3 ANSP'!K225+'T3 MET'!K225+'T3 NSA'!K225</f>
        <v>0</v>
      </c>
      <c r="L225" s="1322">
        <f>'T3 ANSP'!L225+'T3 MET'!L225+'T3 NSA'!L225</f>
        <v>0</v>
      </c>
      <c r="M225" s="1056">
        <f>'T3 ANSP'!M225+'T3 MET'!M225+'T3 NSA'!M225</f>
        <v>0</v>
      </c>
    </row>
    <row r="226" spans="1:13">
      <c r="A226" s="454" t="s">
        <v>475</v>
      </c>
      <c r="C226" s="430" t="s">
        <v>926</v>
      </c>
      <c r="D226" s="431">
        <f>'T3 ANSP'!D226+'T3 MET'!D226+'T3 NSA'!D226</f>
        <v>0</v>
      </c>
      <c r="E226" s="479">
        <f>'T3 ANSP'!E226+'T3 MET'!E226+'T3 NSA'!E226</f>
        <v>0</v>
      </c>
      <c r="F226" s="433">
        <f>'T3 ANSP'!F226+'T3 MET'!F226+'T3 NSA'!F226</f>
        <v>0</v>
      </c>
      <c r="G226" s="433">
        <f>'T3 ANSP'!G226+'T3 MET'!G226+'T3 NSA'!G226</f>
        <v>0</v>
      </c>
      <c r="H226" s="433">
        <f>'T3 ANSP'!H226+'T3 MET'!H226+'T3 NSA'!H226</f>
        <v>0</v>
      </c>
      <c r="I226" s="480">
        <f>'T3 ANSP'!I226+'T3 MET'!I226+'T3 NSA'!I226</f>
        <v>0</v>
      </c>
      <c r="J226" s="480">
        <f>'T3 ANSP'!J226+'T3 MET'!J226+'T3 NSA'!J226</f>
        <v>0</v>
      </c>
      <c r="K226" s="480">
        <f>'T3 ANSP'!K226+'T3 MET'!K226+'T3 NSA'!K226</f>
        <v>0</v>
      </c>
      <c r="L226" s="480">
        <f>'T3 ANSP'!L226+'T3 MET'!L226+'T3 NSA'!L226</f>
        <v>0</v>
      </c>
      <c r="M226" s="1055">
        <f>'T3 ANSP'!M226+'T3 MET'!M226+'T3 NSA'!M226</f>
        <v>0</v>
      </c>
    </row>
    <row r="227" spans="1:13">
      <c r="A227" s="748"/>
      <c r="D227" s="434"/>
      <c r="E227" s="434"/>
      <c r="F227" s="606"/>
      <c r="G227" s="434"/>
      <c r="H227" s="434"/>
      <c r="I227" s="434"/>
      <c r="J227" s="434"/>
      <c r="K227" s="434"/>
      <c r="L227" s="434"/>
      <c r="M227" s="434"/>
    </row>
    <row r="228" spans="1:13">
      <c r="A228" s="454">
        <v>2020</v>
      </c>
      <c r="C228" s="468" t="s">
        <v>666</v>
      </c>
      <c r="D228" s="447">
        <f>'T3 ANSP'!D228+'T3 MET'!D228+'T3 NSA'!D228</f>
        <v>4635.6626138413685</v>
      </c>
      <c r="E228" s="437">
        <f>'T3 ANSP'!E228+'T3 MET'!E228+'T3 NSA'!E228</f>
        <v>0</v>
      </c>
      <c r="F228" s="420">
        <f>'T3 ANSP'!F228+'T3 MET'!F228+'T3 NSA'!F228</f>
        <v>0</v>
      </c>
      <c r="G228" s="486">
        <f>'T3 ANSP'!G228+'T3 MET'!G228+'T3 NSA'!G228</f>
        <v>4635.6626138413685</v>
      </c>
      <c r="H228" s="486">
        <f>'T3 ANSP'!H228+'T3 MET'!H228+'T3 NSA'!H228</f>
        <v>0</v>
      </c>
      <c r="I228" s="486">
        <f>'T3 ANSP'!I228+'T3 MET'!I228+'T3 NSA'!I228</f>
        <v>0</v>
      </c>
      <c r="J228" s="486">
        <f>'T3 ANSP'!J228+'T3 MET'!J228+'T3 NSA'!J228</f>
        <v>0</v>
      </c>
      <c r="K228" s="486">
        <f>'T3 ANSP'!K228+'T3 MET'!K228+'T3 NSA'!K228</f>
        <v>0</v>
      </c>
      <c r="L228" s="486">
        <f>'T3 ANSP'!L228+'T3 MET'!L228+'T3 NSA'!L228</f>
        <v>0</v>
      </c>
      <c r="M228" s="436">
        <f>'T3 ANSP'!M228+'T3 MET'!M228+'T3 NSA'!M228</f>
        <v>0</v>
      </c>
    </row>
    <row r="229" spans="1:13">
      <c r="A229" s="454">
        <v>2021</v>
      </c>
      <c r="C229" s="469" t="s">
        <v>667</v>
      </c>
      <c r="D229" s="448">
        <f>'T3 ANSP'!D229+'T3 MET'!D229+'T3 NSA'!D229</f>
        <v>0</v>
      </c>
      <c r="E229" s="440">
        <f>'T3 ANSP'!E229+'T3 MET'!E229+'T3 NSA'!E229</f>
        <v>0</v>
      </c>
      <c r="F229" s="422">
        <f>'T3 ANSP'!F229+'T3 MET'!F229+'T3 NSA'!F229</f>
        <v>0</v>
      </c>
      <c r="G229" s="422">
        <f>'T3 ANSP'!G229+'T3 MET'!G229+'T3 NSA'!G229</f>
        <v>0</v>
      </c>
      <c r="H229" s="422">
        <f>'T3 ANSP'!H229+'T3 MET'!H229+'T3 NSA'!H229</f>
        <v>0</v>
      </c>
      <c r="I229" s="422">
        <f>'T3 ANSP'!I229+'T3 MET'!I229+'T3 NSA'!I229</f>
        <v>0</v>
      </c>
      <c r="J229" s="422">
        <f>'T3 ANSP'!J229+'T3 MET'!J229+'T3 NSA'!J229</f>
        <v>0</v>
      </c>
      <c r="K229" s="422">
        <f>'T3 ANSP'!K229+'T3 MET'!K229+'T3 NSA'!K229</f>
        <v>0</v>
      </c>
      <c r="L229" s="422">
        <f>'T3 ANSP'!L229+'T3 MET'!L229+'T3 NSA'!L229</f>
        <v>0</v>
      </c>
      <c r="M229" s="439">
        <f>'T3 ANSP'!M229+'T3 MET'!M229+'T3 NSA'!M229</f>
        <v>0</v>
      </c>
    </row>
    <row r="230" spans="1:13">
      <c r="A230" s="454">
        <v>2022</v>
      </c>
      <c r="C230" s="469" t="s">
        <v>668</v>
      </c>
      <c r="D230" s="448">
        <f>'T3 ANSP'!D230+'T3 MET'!D230+'T3 NSA'!D230</f>
        <v>0</v>
      </c>
      <c r="E230" s="489">
        <f>'T3 ANSP'!E230+'T3 MET'!E230+'T3 NSA'!E230</f>
        <v>0</v>
      </c>
      <c r="F230" s="490">
        <f>'T3 ANSP'!F230+'T3 MET'!F230+'T3 NSA'!F230</f>
        <v>0</v>
      </c>
      <c r="G230" s="490">
        <f>'T3 ANSP'!G230+'T3 MET'!G230+'T3 NSA'!G230</f>
        <v>0</v>
      </c>
      <c r="H230" s="490">
        <f>'T3 ANSP'!H230+'T3 MET'!H230+'T3 NSA'!H230</f>
        <v>0</v>
      </c>
      <c r="I230" s="490">
        <f>'T3 ANSP'!I230+'T3 MET'!I230+'T3 NSA'!I230</f>
        <v>0</v>
      </c>
      <c r="J230" s="490">
        <f>'T3 ANSP'!J230+'T3 MET'!J230+'T3 NSA'!J230</f>
        <v>0</v>
      </c>
      <c r="K230" s="490">
        <f>'T3 ANSP'!K230+'T3 MET'!K230+'T3 NSA'!K230</f>
        <v>0</v>
      </c>
      <c r="L230" s="490">
        <f>'T3 ANSP'!L230+'T3 MET'!L230+'T3 NSA'!L230</f>
        <v>0</v>
      </c>
      <c r="M230" s="439">
        <f>'T3 ANSP'!M230+'T3 MET'!M230+'T3 NSA'!M230</f>
        <v>0</v>
      </c>
    </row>
    <row r="231" spans="1:13">
      <c r="A231" s="454" t="s">
        <v>468</v>
      </c>
      <c r="C231" s="412" t="s">
        <v>669</v>
      </c>
      <c r="D231" s="413">
        <f>'T3 ANSP'!D231+'T3 MET'!D231+'T3 NSA'!D231</f>
        <v>4635.6626138413685</v>
      </c>
      <c r="E231" s="414">
        <f>'T3 ANSP'!E231+'T3 MET'!E231+'T3 NSA'!E231</f>
        <v>0</v>
      </c>
      <c r="F231" s="415">
        <f>'T3 ANSP'!F231+'T3 MET'!F231+'T3 NSA'!F231</f>
        <v>0</v>
      </c>
      <c r="G231" s="415">
        <f>'T3 ANSP'!G231+'T3 MET'!G231+'T3 NSA'!G231</f>
        <v>4635.6626138413685</v>
      </c>
      <c r="H231" s="415">
        <f>'T3 ANSP'!H231+'T3 MET'!H231+'T3 NSA'!H231</f>
        <v>0</v>
      </c>
      <c r="I231" s="450">
        <f>'T3 ANSP'!I231+'T3 MET'!I231+'T3 NSA'!I231</f>
        <v>0</v>
      </c>
      <c r="J231" s="450">
        <f>'T3 ANSP'!J231+'T3 MET'!J231+'T3 NSA'!J231</f>
        <v>0</v>
      </c>
      <c r="K231" s="450">
        <f>'T3 ANSP'!K231+'T3 MET'!K231+'T3 NSA'!K231</f>
        <v>0</v>
      </c>
      <c r="L231" s="450">
        <f>'T3 ANSP'!L231+'T3 MET'!L231+'T3 NSA'!L231</f>
        <v>0</v>
      </c>
      <c r="M231" s="1031">
        <f>'T3 ANSP'!M231+'T3 MET'!M231+'T3 NSA'!M231</f>
        <v>0</v>
      </c>
    </row>
    <row r="232" spans="1:13">
      <c r="A232" s="454">
        <v>2023</v>
      </c>
      <c r="C232" s="469" t="s">
        <v>670</v>
      </c>
      <c r="D232" s="448">
        <f>'T3 ANSP'!D232+'T3 MET'!D232+'T3 NSA'!D232</f>
        <v>0</v>
      </c>
      <c r="E232" s="489">
        <f>'T3 ANSP'!E232+'T3 MET'!E232+'T3 NSA'!E232</f>
        <v>0</v>
      </c>
      <c r="F232" s="490">
        <f>'T3 ANSP'!F232+'T3 MET'!F232+'T3 NSA'!F232</f>
        <v>0</v>
      </c>
      <c r="G232" s="490">
        <f>'T3 ANSP'!G232+'T3 MET'!G232+'T3 NSA'!G232</f>
        <v>0</v>
      </c>
      <c r="H232" s="490">
        <f>'T3 ANSP'!H232+'T3 MET'!H232+'T3 NSA'!H232</f>
        <v>0</v>
      </c>
      <c r="I232" s="490">
        <f>'T3 ANSP'!I232+'T3 MET'!I232+'T3 NSA'!I232</f>
        <v>0</v>
      </c>
      <c r="J232" s="490">
        <f>'T3 ANSP'!J232+'T3 MET'!J232+'T3 NSA'!J232</f>
        <v>0</v>
      </c>
      <c r="K232" s="490">
        <f>'T3 ANSP'!K232+'T3 MET'!K232+'T3 NSA'!K232</f>
        <v>0</v>
      </c>
      <c r="L232" s="490">
        <f>'T3 ANSP'!L232+'T3 MET'!L232+'T3 NSA'!L232</f>
        <v>0</v>
      </c>
      <c r="M232" s="436">
        <f>'T3 ANSP'!M232+'T3 MET'!M232+'T3 NSA'!M232</f>
        <v>0</v>
      </c>
    </row>
    <row r="233" spans="1:13">
      <c r="A233" s="454">
        <v>2024</v>
      </c>
      <c r="C233" s="469" t="s">
        <v>671</v>
      </c>
      <c r="D233" s="448">
        <f>'T3 ANSP'!D233+'T3 MET'!D233+'T3 NSA'!D233</f>
        <v>0</v>
      </c>
      <c r="E233" s="489">
        <f>'T3 ANSP'!E233+'T3 MET'!E233+'T3 NSA'!E233</f>
        <v>0</v>
      </c>
      <c r="F233" s="490">
        <f>'T3 ANSP'!F233+'T3 MET'!F233+'T3 NSA'!F233</f>
        <v>0</v>
      </c>
      <c r="G233" s="490">
        <f>'T3 ANSP'!G233+'T3 MET'!G233+'T3 NSA'!G233</f>
        <v>0</v>
      </c>
      <c r="H233" s="490">
        <f>'T3 ANSP'!H233+'T3 MET'!H233+'T3 NSA'!H233</f>
        <v>0</v>
      </c>
      <c r="I233" s="490">
        <f>'T3 ANSP'!I233+'T3 MET'!I233+'T3 NSA'!I233</f>
        <v>0</v>
      </c>
      <c r="J233" s="490">
        <f>'T3 ANSP'!J233+'T3 MET'!J233+'T3 NSA'!J233</f>
        <v>0</v>
      </c>
      <c r="K233" s="490">
        <f>'T3 ANSP'!K233+'T3 MET'!K233+'T3 NSA'!K233</f>
        <v>0</v>
      </c>
      <c r="L233" s="490">
        <f>'T3 ANSP'!L233+'T3 MET'!L233+'T3 NSA'!L233</f>
        <v>0</v>
      </c>
      <c r="M233" s="439">
        <f>'T3 ANSP'!M233+'T3 MET'!M233+'T3 NSA'!M233</f>
        <v>0</v>
      </c>
    </row>
    <row r="234" spans="1:13">
      <c r="A234" s="454">
        <v>2025</v>
      </c>
      <c r="C234" s="469" t="s">
        <v>672</v>
      </c>
      <c r="D234" s="448">
        <f>'T3 ANSP'!D234+'T3 MET'!D234+'T3 NSA'!D234</f>
        <v>0</v>
      </c>
      <c r="E234" s="489">
        <f>'T3 ANSP'!E234+'T3 MET'!E234+'T3 NSA'!E234</f>
        <v>0</v>
      </c>
      <c r="F234" s="490">
        <f>'T3 ANSP'!F234+'T3 MET'!F234+'T3 NSA'!F234</f>
        <v>0</v>
      </c>
      <c r="G234" s="490">
        <f>'T3 ANSP'!G234+'T3 MET'!G234+'T3 NSA'!G234</f>
        <v>0</v>
      </c>
      <c r="H234" s="490">
        <f>'T3 ANSP'!H234+'T3 MET'!H234+'T3 NSA'!H234</f>
        <v>0</v>
      </c>
      <c r="I234" s="490">
        <f>'T3 ANSP'!I234+'T3 MET'!I234+'T3 NSA'!I234</f>
        <v>0</v>
      </c>
      <c r="J234" s="490">
        <f>'T3 ANSP'!J234+'T3 MET'!J234+'T3 NSA'!J234</f>
        <v>0</v>
      </c>
      <c r="K234" s="490">
        <f>'T3 ANSP'!K234+'T3 MET'!K234+'T3 NSA'!K234</f>
        <v>0</v>
      </c>
      <c r="L234" s="490">
        <f>'T3 ANSP'!L234+'T3 MET'!L234+'T3 NSA'!L234</f>
        <v>0</v>
      </c>
      <c r="M234" s="439">
        <f>'T3 ANSP'!M234+'T3 MET'!M234+'T3 NSA'!M234</f>
        <v>0</v>
      </c>
    </row>
    <row r="235" spans="1:13">
      <c r="A235" s="454">
        <v>2026</v>
      </c>
      <c r="C235" s="469" t="s">
        <v>673</v>
      </c>
      <c r="D235" s="448">
        <f>'T3 ANSP'!D235+'T3 MET'!D235+'T3 NSA'!D235</f>
        <v>0</v>
      </c>
      <c r="E235" s="489">
        <f>'T3 ANSP'!E235+'T3 MET'!E235+'T3 NSA'!E235</f>
        <v>0</v>
      </c>
      <c r="F235" s="490">
        <f>'T3 ANSP'!F235+'T3 MET'!F235+'T3 NSA'!F235</f>
        <v>0</v>
      </c>
      <c r="G235" s="490">
        <f>'T3 ANSP'!G235+'T3 MET'!G235+'T3 NSA'!G235</f>
        <v>0</v>
      </c>
      <c r="H235" s="490">
        <f>'T3 ANSP'!H235+'T3 MET'!H235+'T3 NSA'!H235</f>
        <v>0</v>
      </c>
      <c r="I235" s="490">
        <f>'T3 ANSP'!I235+'T3 MET'!I235+'T3 NSA'!I235</f>
        <v>0</v>
      </c>
      <c r="J235" s="490">
        <f>'T3 ANSP'!J235+'T3 MET'!J235+'T3 NSA'!J235</f>
        <v>0</v>
      </c>
      <c r="K235" s="490">
        <f>'T3 ANSP'!K235+'T3 MET'!K235+'T3 NSA'!K235</f>
        <v>0</v>
      </c>
      <c r="L235" s="490">
        <f>'T3 ANSP'!L235+'T3 MET'!L235+'T3 NSA'!L235</f>
        <v>0</v>
      </c>
      <c r="M235" s="439">
        <f>'T3 ANSP'!M235+'T3 MET'!M235+'T3 NSA'!M235</f>
        <v>0</v>
      </c>
    </row>
    <row r="236" spans="1:13">
      <c r="A236" s="454">
        <v>2027</v>
      </c>
      <c r="C236" s="469" t="s">
        <v>674</v>
      </c>
      <c r="D236" s="449">
        <f>'T3 ANSP'!D236+'T3 MET'!D236+'T3 NSA'!D236</f>
        <v>0</v>
      </c>
      <c r="E236" s="1320">
        <f>'T3 ANSP'!E236+'T3 MET'!E236+'T3 NSA'!E236</f>
        <v>0</v>
      </c>
      <c r="F236" s="521">
        <f>'T3 ANSP'!F236+'T3 MET'!F236+'T3 NSA'!F236</f>
        <v>0</v>
      </c>
      <c r="G236" s="521">
        <f>'T3 ANSP'!G236+'T3 MET'!G236+'T3 NSA'!G236</f>
        <v>0</v>
      </c>
      <c r="H236" s="521">
        <f>'T3 ANSP'!H236+'T3 MET'!H236+'T3 NSA'!H236</f>
        <v>0</v>
      </c>
      <c r="I236" s="521">
        <f>'T3 ANSP'!I236+'T3 MET'!I236+'T3 NSA'!I236</f>
        <v>0</v>
      </c>
      <c r="J236" s="521">
        <f>'T3 ANSP'!J236+'T3 MET'!J236+'T3 NSA'!J236</f>
        <v>0</v>
      </c>
      <c r="K236" s="521">
        <f>'T3 ANSP'!K236+'T3 MET'!K236+'T3 NSA'!K236</f>
        <v>0</v>
      </c>
      <c r="L236" s="521">
        <f>'T3 ANSP'!L236+'T3 MET'!L236+'T3 NSA'!L236</f>
        <v>0</v>
      </c>
      <c r="M236" s="1056">
        <f>'T3 ANSP'!M236+'T3 MET'!M236+'T3 NSA'!M236</f>
        <v>0</v>
      </c>
    </row>
    <row r="237" spans="1:13">
      <c r="A237" s="454" t="s">
        <v>475</v>
      </c>
      <c r="C237" s="525" t="s">
        <v>927</v>
      </c>
      <c r="D237" s="431">
        <f>'T3 ANSP'!D237+'T3 MET'!D237+'T3 NSA'!D237</f>
        <v>4635.6626138413685</v>
      </c>
      <c r="E237" s="432">
        <f>'T3 ANSP'!E237+'T3 MET'!E237+'T3 NSA'!E237</f>
        <v>0</v>
      </c>
      <c r="F237" s="433">
        <f>'T3 ANSP'!F237+'T3 MET'!F237+'T3 NSA'!F237</f>
        <v>0</v>
      </c>
      <c r="G237" s="433">
        <f>'T3 ANSP'!G237+'T3 MET'!G237+'T3 NSA'!G237</f>
        <v>4635.6626138413685</v>
      </c>
      <c r="H237" s="433">
        <f>'T3 ANSP'!H237+'T3 MET'!H237+'T3 NSA'!H237</f>
        <v>0</v>
      </c>
      <c r="I237" s="480">
        <f>'T3 ANSP'!I237+'T3 MET'!I237+'T3 NSA'!I237</f>
        <v>0</v>
      </c>
      <c r="J237" s="480">
        <f>'T3 ANSP'!J237+'T3 MET'!J237+'T3 NSA'!J237</f>
        <v>0</v>
      </c>
      <c r="K237" s="480">
        <f>'T3 ANSP'!K237+'T3 MET'!K237+'T3 NSA'!K237</f>
        <v>0</v>
      </c>
      <c r="L237" s="480">
        <f>'T3 ANSP'!L237+'T3 MET'!L237+'T3 NSA'!L237</f>
        <v>0</v>
      </c>
      <c r="M237" s="1055">
        <f>'T3 ANSP'!M237+'T3 MET'!M237+'T3 NSA'!M237</f>
        <v>0</v>
      </c>
    </row>
    <row r="238" spans="1:13">
      <c r="D238" s="434"/>
      <c r="E238" s="434"/>
      <c r="F238" s="606"/>
      <c r="G238" s="434"/>
      <c r="H238" s="434"/>
      <c r="I238" s="434"/>
      <c r="J238" s="434"/>
      <c r="K238" s="434"/>
      <c r="L238" s="434"/>
      <c r="M238" s="434"/>
    </row>
    <row r="239" spans="1:13">
      <c r="A239" s="454">
        <v>2020</v>
      </c>
      <c r="C239" s="468" t="s">
        <v>676</v>
      </c>
      <c r="D239" s="447">
        <f>'T3 ANSP'!D239+'T3 MET'!D239+'T3 NSA'!D239</f>
        <v>0</v>
      </c>
      <c r="E239" s="437">
        <f>'T3 ANSP'!E239+'T3 MET'!E239+'T3 NSA'!E239</f>
        <v>0</v>
      </c>
      <c r="F239" s="420">
        <f>'T3 ANSP'!F239+'T3 MET'!F239+'T3 NSA'!F239</f>
        <v>0</v>
      </c>
      <c r="G239" s="420">
        <f>'T3 ANSP'!G239+'T3 MET'!G239+'T3 NSA'!G239</f>
        <v>0</v>
      </c>
      <c r="H239" s="420">
        <f>'T3 ANSP'!H239+'T3 MET'!H239+'T3 NSA'!H239</f>
        <v>0</v>
      </c>
      <c r="I239" s="1315">
        <f>'T3 ANSP'!I239+'T3 MET'!I239+'T3 NSA'!I239</f>
        <v>0</v>
      </c>
      <c r="J239" s="1315">
        <f>'T3 ANSP'!J239+'T3 MET'!J239+'T3 NSA'!J239</f>
        <v>0</v>
      </c>
      <c r="K239" s="1315">
        <f>'T3 ANSP'!K239+'T3 MET'!K239+'T3 NSA'!K239</f>
        <v>0</v>
      </c>
      <c r="L239" s="1315">
        <f>'T3 ANSP'!L239+'T3 MET'!L239+'T3 NSA'!L239</f>
        <v>0</v>
      </c>
      <c r="M239" s="436">
        <f>'T3 ANSP'!M239+'T3 MET'!M239+'T3 NSA'!M239</f>
        <v>0</v>
      </c>
    </row>
    <row r="240" spans="1:13">
      <c r="A240" s="454">
        <v>2021</v>
      </c>
      <c r="C240" s="469" t="s">
        <v>677</v>
      </c>
      <c r="D240" s="448">
        <f>'T3 ANSP'!D240+'T3 MET'!D240+'T3 NSA'!D240</f>
        <v>0</v>
      </c>
      <c r="E240" s="440">
        <f>'T3 ANSP'!E240+'T3 MET'!E240+'T3 NSA'!E240</f>
        <v>0</v>
      </c>
      <c r="F240" s="422">
        <f>'T3 ANSP'!F240+'T3 MET'!F240+'T3 NSA'!F240</f>
        <v>0</v>
      </c>
      <c r="G240" s="422">
        <f>'T3 ANSP'!G240+'T3 MET'!G240+'T3 NSA'!G240</f>
        <v>0</v>
      </c>
      <c r="H240" s="422">
        <f>'T3 ANSP'!H240+'T3 MET'!H240+'T3 NSA'!H240</f>
        <v>0</v>
      </c>
      <c r="I240" s="1041">
        <f>'T3 ANSP'!I240+'T3 MET'!I240+'T3 NSA'!I240</f>
        <v>0</v>
      </c>
      <c r="J240" s="1041">
        <f>'T3 ANSP'!J240+'T3 MET'!J240+'T3 NSA'!J240</f>
        <v>0</v>
      </c>
      <c r="K240" s="1041">
        <f>'T3 ANSP'!K240+'T3 MET'!K240+'T3 NSA'!K240</f>
        <v>0</v>
      </c>
      <c r="L240" s="1041">
        <f>'T3 ANSP'!L240+'T3 MET'!L240+'T3 NSA'!L240</f>
        <v>0</v>
      </c>
      <c r="M240" s="439">
        <f>'T3 ANSP'!M240+'T3 MET'!M240+'T3 NSA'!M240</f>
        <v>0</v>
      </c>
    </row>
    <row r="241" spans="1:13">
      <c r="A241" s="454">
        <v>2022</v>
      </c>
      <c r="C241" s="469" t="s">
        <v>678</v>
      </c>
      <c r="D241" s="448">
        <f>'T3 ANSP'!D241+'T3 MET'!D241+'T3 NSA'!D241</f>
        <v>0</v>
      </c>
      <c r="E241" s="440">
        <f>'T3 ANSP'!E241+'T3 MET'!E241+'T3 NSA'!E241</f>
        <v>0</v>
      </c>
      <c r="F241" s="422">
        <f>'T3 ANSP'!F241+'T3 MET'!F241+'T3 NSA'!F241</f>
        <v>0</v>
      </c>
      <c r="G241" s="422">
        <f>'T3 ANSP'!G241+'T3 MET'!G241+'T3 NSA'!G241</f>
        <v>0</v>
      </c>
      <c r="H241" s="422">
        <f>'T3 ANSP'!H241+'T3 MET'!H241+'T3 NSA'!H241</f>
        <v>0</v>
      </c>
      <c r="I241" s="1041">
        <f>'T3 ANSP'!I241+'T3 MET'!I241+'T3 NSA'!I241</f>
        <v>0</v>
      </c>
      <c r="J241" s="1041">
        <f>'T3 ANSP'!J241+'T3 MET'!J241+'T3 NSA'!J241</f>
        <v>0</v>
      </c>
      <c r="K241" s="1041">
        <f>'T3 ANSP'!K241+'T3 MET'!K241+'T3 NSA'!K241</f>
        <v>0</v>
      </c>
      <c r="L241" s="1041">
        <f>'T3 ANSP'!L241+'T3 MET'!L241+'T3 NSA'!L241</f>
        <v>0</v>
      </c>
      <c r="M241" s="439">
        <f>'T3 ANSP'!M241+'T3 MET'!M241+'T3 NSA'!M241</f>
        <v>0</v>
      </c>
    </row>
    <row r="242" spans="1:13">
      <c r="A242" s="454" t="s">
        <v>468</v>
      </c>
      <c r="C242" s="412" t="s">
        <v>679</v>
      </c>
      <c r="D242" s="450">
        <f>'T3 ANSP'!D242+'T3 MET'!D242+'T3 NSA'!D242</f>
        <v>0</v>
      </c>
      <c r="E242" s="450">
        <f>'T3 ANSP'!E242+'T3 MET'!E242+'T3 NSA'!E242</f>
        <v>0</v>
      </c>
      <c r="F242" s="450">
        <f>'T3 ANSP'!F242+'T3 MET'!F242+'T3 NSA'!F242</f>
        <v>0</v>
      </c>
      <c r="G242" s="450">
        <f>'T3 ANSP'!G242+'T3 MET'!G242+'T3 NSA'!G242</f>
        <v>0</v>
      </c>
      <c r="H242" s="450">
        <f>'T3 ANSP'!H242+'T3 MET'!H242+'T3 NSA'!H242</f>
        <v>0</v>
      </c>
      <c r="I242" s="450">
        <f>'T3 ANSP'!I242+'T3 MET'!I242+'T3 NSA'!I242</f>
        <v>0</v>
      </c>
      <c r="J242" s="450">
        <f>'T3 ANSP'!J242+'T3 MET'!J242+'T3 NSA'!J242</f>
        <v>0</v>
      </c>
      <c r="K242" s="450">
        <f>'T3 ANSP'!K242+'T3 MET'!K242+'T3 NSA'!K242</f>
        <v>0</v>
      </c>
      <c r="L242" s="450">
        <f>'T3 ANSP'!L242+'T3 MET'!L242+'T3 NSA'!L242</f>
        <v>0</v>
      </c>
      <c r="M242" s="1031">
        <f>'T3 ANSP'!M242+'T3 MET'!M242+'T3 NSA'!M242</f>
        <v>0</v>
      </c>
    </row>
    <row r="243" spans="1:13">
      <c r="A243" s="454">
        <v>2023</v>
      </c>
      <c r="C243" s="469" t="s">
        <v>680</v>
      </c>
      <c r="D243" s="448">
        <f>'T3 ANSP'!D243+'T3 MET'!D243+'T3 NSA'!D243</f>
        <v>0</v>
      </c>
      <c r="E243" s="440">
        <f>'T3 ANSP'!E243+'T3 MET'!E243+'T3 NSA'!E243</f>
        <v>0</v>
      </c>
      <c r="F243" s="422">
        <f>'T3 ANSP'!F243+'T3 MET'!F243+'T3 NSA'!F243</f>
        <v>0</v>
      </c>
      <c r="G243" s="422">
        <f>'T3 ANSP'!G243+'T3 MET'!G243+'T3 NSA'!G243</f>
        <v>0</v>
      </c>
      <c r="H243" s="422">
        <f>'T3 ANSP'!H243+'T3 MET'!H243+'T3 NSA'!H243</f>
        <v>0</v>
      </c>
      <c r="I243" s="1041">
        <f>'T3 ANSP'!I243+'T3 MET'!I243+'T3 NSA'!I243</f>
        <v>0</v>
      </c>
      <c r="J243" s="1041">
        <f>'T3 ANSP'!J243+'T3 MET'!J243+'T3 NSA'!J243</f>
        <v>0</v>
      </c>
      <c r="K243" s="1041">
        <f>'T3 ANSP'!K243+'T3 MET'!K243+'T3 NSA'!K243</f>
        <v>0</v>
      </c>
      <c r="L243" s="1041">
        <f>'T3 ANSP'!L243+'T3 MET'!L243+'T3 NSA'!L243</f>
        <v>0</v>
      </c>
      <c r="M243" s="439">
        <f>'T3 ANSP'!M243+'T3 MET'!M243+'T3 NSA'!M243</f>
        <v>0</v>
      </c>
    </row>
    <row r="244" spans="1:13">
      <c r="A244" s="454">
        <v>2024</v>
      </c>
      <c r="C244" s="469" t="s">
        <v>681</v>
      </c>
      <c r="D244" s="448">
        <f>'T3 ANSP'!D244+'T3 MET'!D244+'T3 NSA'!D244</f>
        <v>0</v>
      </c>
      <c r="E244" s="440">
        <f>'T3 ANSP'!E244+'T3 MET'!E244+'T3 NSA'!E244</f>
        <v>0</v>
      </c>
      <c r="F244" s="422">
        <f>'T3 ANSP'!F244+'T3 MET'!F244+'T3 NSA'!F244</f>
        <v>0</v>
      </c>
      <c r="G244" s="422">
        <f>'T3 ANSP'!G244+'T3 MET'!G244+'T3 NSA'!G244</f>
        <v>0</v>
      </c>
      <c r="H244" s="422">
        <f>'T3 ANSP'!H244+'T3 MET'!H244+'T3 NSA'!H244</f>
        <v>0</v>
      </c>
      <c r="I244" s="1041">
        <f>'T3 ANSP'!I244+'T3 MET'!I244+'T3 NSA'!I244</f>
        <v>0</v>
      </c>
      <c r="J244" s="1041">
        <f>'T3 ANSP'!J244+'T3 MET'!J244+'T3 NSA'!J244</f>
        <v>0</v>
      </c>
      <c r="K244" s="1041">
        <f>'T3 ANSP'!K244+'T3 MET'!K244+'T3 NSA'!K244</f>
        <v>0</v>
      </c>
      <c r="L244" s="1041">
        <f>'T3 ANSP'!L244+'T3 MET'!L244+'T3 NSA'!L244</f>
        <v>0</v>
      </c>
      <c r="M244" s="439">
        <f>'T3 ANSP'!M244+'T3 MET'!M244+'T3 NSA'!M244</f>
        <v>0</v>
      </c>
    </row>
    <row r="245" spans="1:13">
      <c r="A245" s="454">
        <v>2025</v>
      </c>
      <c r="C245" s="469" t="s">
        <v>682</v>
      </c>
      <c r="D245" s="448">
        <f>'T3 ANSP'!D245+'T3 MET'!D245+'T3 NSA'!D245</f>
        <v>0</v>
      </c>
      <c r="E245" s="440">
        <f>'T3 ANSP'!E245+'T3 MET'!E245+'T3 NSA'!E245</f>
        <v>0</v>
      </c>
      <c r="F245" s="422">
        <f>'T3 ANSP'!F245+'T3 MET'!F245+'T3 NSA'!F245</f>
        <v>0</v>
      </c>
      <c r="G245" s="422">
        <f>'T3 ANSP'!G245+'T3 MET'!G245+'T3 NSA'!G245</f>
        <v>0</v>
      </c>
      <c r="H245" s="422">
        <f>'T3 ANSP'!H245+'T3 MET'!H245+'T3 NSA'!H245</f>
        <v>0</v>
      </c>
      <c r="I245" s="1041">
        <f>'T3 ANSP'!I245+'T3 MET'!I245+'T3 NSA'!I245</f>
        <v>0</v>
      </c>
      <c r="J245" s="1041">
        <f>'T3 ANSP'!J245+'T3 MET'!J245+'T3 NSA'!J245</f>
        <v>0</v>
      </c>
      <c r="K245" s="1041">
        <f>'T3 ANSP'!K245+'T3 MET'!K245+'T3 NSA'!K245</f>
        <v>0</v>
      </c>
      <c r="L245" s="1041">
        <f>'T3 ANSP'!L245+'T3 MET'!L245+'T3 NSA'!L245</f>
        <v>0</v>
      </c>
      <c r="M245" s="439">
        <f>'T3 ANSP'!M245+'T3 MET'!M245+'T3 NSA'!M245</f>
        <v>0</v>
      </c>
    </row>
    <row r="246" spans="1:13">
      <c r="A246" s="454">
        <v>2026</v>
      </c>
      <c r="C246" s="469" t="s">
        <v>683</v>
      </c>
      <c r="D246" s="448">
        <f>'T3 ANSP'!D246+'T3 MET'!D246+'T3 NSA'!D246</f>
        <v>0</v>
      </c>
      <c r="E246" s="440">
        <f>'T3 ANSP'!E246+'T3 MET'!E246+'T3 NSA'!E246</f>
        <v>0</v>
      </c>
      <c r="F246" s="422">
        <f>'T3 ANSP'!F246+'T3 MET'!F246+'T3 NSA'!F246</f>
        <v>0</v>
      </c>
      <c r="G246" s="422">
        <f>'T3 ANSP'!G246+'T3 MET'!G246+'T3 NSA'!G246</f>
        <v>0</v>
      </c>
      <c r="H246" s="422">
        <f>'T3 ANSP'!H246+'T3 MET'!H246+'T3 NSA'!H246</f>
        <v>0</v>
      </c>
      <c r="I246" s="1041">
        <f>'T3 ANSP'!I246+'T3 MET'!I246+'T3 NSA'!I246</f>
        <v>0</v>
      </c>
      <c r="J246" s="1041">
        <f>'T3 ANSP'!J246+'T3 MET'!J246+'T3 NSA'!J246</f>
        <v>0</v>
      </c>
      <c r="K246" s="1041">
        <f>'T3 ANSP'!K246+'T3 MET'!K246+'T3 NSA'!K246</f>
        <v>0</v>
      </c>
      <c r="L246" s="1041">
        <f>'T3 ANSP'!L246+'T3 MET'!L246+'T3 NSA'!L246</f>
        <v>0</v>
      </c>
      <c r="M246" s="439">
        <f>'T3 ANSP'!M246+'T3 MET'!M246+'T3 NSA'!M246</f>
        <v>0</v>
      </c>
    </row>
    <row r="247" spans="1:13">
      <c r="A247" s="454">
        <v>2027</v>
      </c>
      <c r="C247" s="469" t="s">
        <v>684</v>
      </c>
      <c r="D247" s="449">
        <f>'T3 ANSP'!D247+'T3 MET'!D247+'T3 NSA'!D247</f>
        <v>0</v>
      </c>
      <c r="E247" s="1318">
        <f>'T3 ANSP'!E247+'T3 MET'!E247+'T3 NSA'!E247</f>
        <v>0</v>
      </c>
      <c r="F247" s="462">
        <f>'T3 ANSP'!F247+'T3 MET'!F247+'T3 NSA'!F247</f>
        <v>0</v>
      </c>
      <c r="G247" s="462">
        <f>'T3 ANSP'!G247+'T3 MET'!G247+'T3 NSA'!G247</f>
        <v>0</v>
      </c>
      <c r="H247" s="462">
        <f>'T3 ANSP'!H247+'T3 MET'!H247+'T3 NSA'!H247</f>
        <v>0</v>
      </c>
      <c r="I247" s="1322">
        <f>'T3 ANSP'!I247+'T3 MET'!I247+'T3 NSA'!I247</f>
        <v>0</v>
      </c>
      <c r="J247" s="1322">
        <f>'T3 ANSP'!J247+'T3 MET'!J247+'T3 NSA'!J247</f>
        <v>0</v>
      </c>
      <c r="K247" s="1322">
        <f>'T3 ANSP'!K247+'T3 MET'!K247+'T3 NSA'!K247</f>
        <v>0</v>
      </c>
      <c r="L247" s="1322">
        <f>'T3 ANSP'!L247+'T3 MET'!L247+'T3 NSA'!L247</f>
        <v>0</v>
      </c>
      <c r="M247" s="1056">
        <f>'T3 ANSP'!M247+'T3 MET'!M247+'T3 NSA'!M247</f>
        <v>0</v>
      </c>
    </row>
    <row r="248" spans="1:13">
      <c r="A248" s="454" t="s">
        <v>475</v>
      </c>
      <c r="C248" s="430" t="s">
        <v>685</v>
      </c>
      <c r="D248" s="431">
        <f>'T3 ANSP'!D248+'T3 MET'!D248+'T3 NSA'!D248</f>
        <v>0</v>
      </c>
      <c r="E248" s="432">
        <f>'T3 ANSP'!E248+'T3 MET'!E248+'T3 NSA'!E248</f>
        <v>0</v>
      </c>
      <c r="F248" s="433">
        <f>'T3 ANSP'!F248+'T3 MET'!F248+'T3 NSA'!F248</f>
        <v>0</v>
      </c>
      <c r="G248" s="433">
        <f>'T3 ANSP'!G248+'T3 MET'!G248+'T3 NSA'!G248</f>
        <v>0</v>
      </c>
      <c r="H248" s="433">
        <f>'T3 ANSP'!H248+'T3 MET'!H248+'T3 NSA'!H248</f>
        <v>0</v>
      </c>
      <c r="I248" s="480">
        <f>'T3 ANSP'!I248+'T3 MET'!I248+'T3 NSA'!I248</f>
        <v>0</v>
      </c>
      <c r="J248" s="480">
        <f>'T3 ANSP'!J248+'T3 MET'!J248+'T3 NSA'!J248</f>
        <v>0</v>
      </c>
      <c r="K248" s="480">
        <f>'T3 ANSP'!K248+'T3 MET'!K248+'T3 NSA'!K248</f>
        <v>0</v>
      </c>
      <c r="L248" s="480">
        <f>'T3 ANSP'!L248+'T3 MET'!L248+'T3 NSA'!L248</f>
        <v>0</v>
      </c>
      <c r="M248" s="1055">
        <f>'T3 ANSP'!M248+'T3 MET'!M248+'T3 NSA'!M248</f>
        <v>0</v>
      </c>
    </row>
    <row r="249" spans="1:13" ht="5.25" customHeight="1">
      <c r="C249" s="471"/>
      <c r="D249" s="1324">
        <f>'T3 ANSP'!D249+'T3 MET'!D249+'T3 NSA'!D249</f>
        <v>0</v>
      </c>
      <c r="E249" s="1324">
        <f>'T3 ANSP'!E249+'T3 MET'!E249+'T3 NSA'!E249</f>
        <v>0</v>
      </c>
      <c r="F249" s="1325">
        <f>'T3 ANSP'!F249+'T3 MET'!F249+'T3 NSA'!F249</f>
        <v>0</v>
      </c>
      <c r="G249" s="1324">
        <f>'T3 ANSP'!G249+'T3 MET'!G249+'T3 NSA'!G249</f>
        <v>0</v>
      </c>
      <c r="H249" s="1324">
        <f>'T3 ANSP'!H249+'T3 MET'!H249+'T3 NSA'!H249</f>
        <v>0</v>
      </c>
      <c r="I249" s="1324">
        <f>'T3 ANSP'!I249+'T3 MET'!I249+'T3 NSA'!I249</f>
        <v>0</v>
      </c>
      <c r="J249" s="1324">
        <f>'T3 ANSP'!J249+'T3 MET'!J249+'T3 NSA'!J249</f>
        <v>0</v>
      </c>
      <c r="K249" s="1324">
        <f>'T3 ANSP'!K249+'T3 MET'!K249+'T3 NSA'!K249</f>
        <v>0</v>
      </c>
      <c r="L249" s="1324">
        <f>'T3 ANSP'!L249+'T3 MET'!L249+'T3 NSA'!L249</f>
        <v>0</v>
      </c>
      <c r="M249" s="1324">
        <f>'T3 ANSP'!M249+'T3 MET'!M249+'T3 NSA'!M249</f>
        <v>0</v>
      </c>
    </row>
    <row r="250" spans="1:13" ht="3" customHeight="1">
      <c r="D250" s="434">
        <f>'T3 ANSP'!D250+'T3 MET'!D250+'T3 NSA'!D250</f>
        <v>0</v>
      </c>
      <c r="E250" s="434">
        <f>'T3 ANSP'!E250+'T3 MET'!E250+'T3 NSA'!E250</f>
        <v>0</v>
      </c>
      <c r="F250" s="606">
        <f>'T3 ANSP'!F250+'T3 MET'!F250+'T3 NSA'!F250</f>
        <v>0</v>
      </c>
      <c r="G250" s="434">
        <f>'T3 ANSP'!G250+'T3 MET'!G250+'T3 NSA'!G250</f>
        <v>0</v>
      </c>
      <c r="H250" s="434">
        <f>'T3 ANSP'!H250+'T3 MET'!H250+'T3 NSA'!H250</f>
        <v>0</v>
      </c>
      <c r="I250" s="434">
        <f>'T3 ANSP'!I250+'T3 MET'!I250+'T3 NSA'!I250</f>
        <v>0</v>
      </c>
      <c r="J250" s="434">
        <f>'T3 ANSP'!J250+'T3 MET'!J250+'T3 NSA'!J250</f>
        <v>0</v>
      </c>
      <c r="K250" s="434">
        <f>'T3 ANSP'!K250+'T3 MET'!K250+'T3 NSA'!K250</f>
        <v>0</v>
      </c>
      <c r="L250" s="434">
        <f>'T3 ANSP'!L250+'T3 MET'!L250+'T3 NSA'!L250</f>
        <v>0</v>
      </c>
      <c r="M250" s="434">
        <f>'T3 ANSP'!M250+'T3 MET'!M250+'T3 NSA'!M250</f>
        <v>0</v>
      </c>
    </row>
    <row r="251" spans="1:13">
      <c r="C251" s="430" t="s">
        <v>686</v>
      </c>
      <c r="D251" s="431">
        <f>'T3 ANSP'!D251+'T3 MET'!D251+'T3 NSA'!D251</f>
        <v>903711.04831239011</v>
      </c>
      <c r="E251" s="431">
        <f>'T3 ANSP'!E251+'T3 MET'!E251+'T3 NSA'!E251</f>
        <v>-81451.463766844143</v>
      </c>
      <c r="F251" s="431">
        <f>'T3 ANSP'!F251+'T3 MET'!F251+'T3 NSA'!F251</f>
        <v>-87162.523527396232</v>
      </c>
      <c r="G251" s="431">
        <f>'T3 ANSP'!G251+'T3 MET'!G251+'T3 NSA'!G251</f>
        <v>-22553.812174364408</v>
      </c>
      <c r="H251" s="431">
        <f>'T3 ANSP'!H251+'T3 MET'!H251+'T3 NSA'!H251</f>
        <v>26052.633357929899</v>
      </c>
      <c r="I251" s="1052">
        <f>'T3 ANSP'!I251+'T3 MET'!I251+'T3 NSA'!I251</f>
        <v>86554.296697871992</v>
      </c>
      <c r="J251" s="1052">
        <f>'T3 ANSP'!J251+'T3 MET'!J251+'T3 NSA'!J251</f>
        <v>149479.64620967014</v>
      </c>
      <c r="K251" s="1052">
        <f>'T3 ANSP'!K251+'T3 MET'!K251+'T3 NSA'!K251</f>
        <v>145850.83796596579</v>
      </c>
      <c r="L251" s="1052">
        <f>'T3 ANSP'!L251+'T3 MET'!L251+'T3 NSA'!L251</f>
        <v>164237.56165961726</v>
      </c>
      <c r="M251" s="1055">
        <f>'T3 ANSP'!M251+'T3 MET'!M251+'T3 NSA'!M251</f>
        <v>580285.85506899492</v>
      </c>
    </row>
  </sheetData>
  <autoFilter ref="A8:M172" xr:uid="{00000000-0009-0000-0000-000009000000}"/>
  <mergeCells count="1">
    <mergeCell ref="C1:M1"/>
  </mergeCells>
  <pageMargins left="0.7" right="0.7" top="0.75" bottom="0.75" header="0.3" footer="0.3"/>
  <pageSetup paperSize="9" scale="38"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O261"/>
  <sheetViews>
    <sheetView zoomScaleNormal="100" workbookViewId="0">
      <pane xSplit="4" ySplit="8" topLeftCell="E100" activePane="bottomRight" state="frozen"/>
      <selection pane="topRight" activeCell="E1" sqref="E1"/>
      <selection pane="bottomLeft" activeCell="A9" sqref="A9"/>
      <selection pane="bottomRight" activeCell="G167" sqref="G167"/>
    </sheetView>
  </sheetViews>
  <sheetFormatPr defaultColWidth="2.44140625" defaultRowHeight="14.4"/>
  <cols>
    <col min="1" max="1" width="4.6640625" style="454" customWidth="1"/>
    <col min="2" max="2" width="2.33203125" style="385" customWidth="1"/>
    <col min="3" max="3" width="57.6640625" style="385" customWidth="1"/>
    <col min="4" max="4" width="10.5546875" style="385" bestFit="1" customWidth="1"/>
    <col min="5" max="5" width="6.33203125" style="385" bestFit="1" customWidth="1"/>
    <col min="6" max="6" width="11" style="218" bestFit="1" customWidth="1"/>
    <col min="7" max="9" width="11" style="385" bestFit="1" customWidth="1"/>
    <col min="10" max="12" width="6.5546875" style="385" bestFit="1" customWidth="1"/>
    <col min="13" max="13" width="6.6640625" style="385" bestFit="1" customWidth="1"/>
    <col min="14" max="14" width="3.44140625" style="385" customWidth="1"/>
    <col min="15" max="15" width="84" style="1362" bestFit="1" customWidth="1"/>
    <col min="16" max="16384" width="2.44140625" style="385"/>
  </cols>
  <sheetData>
    <row r="1" spans="1:15" ht="12" customHeight="1">
      <c r="C1" s="1568" t="s">
        <v>456</v>
      </c>
      <c r="D1" s="1568"/>
      <c r="E1" s="1568"/>
      <c r="F1" s="1568"/>
      <c r="G1" s="1568"/>
      <c r="H1" s="1568"/>
      <c r="I1" s="1568"/>
      <c r="J1" s="1568"/>
      <c r="K1" s="1568"/>
      <c r="L1" s="1568"/>
      <c r="M1" s="1568"/>
      <c r="N1" s="386"/>
      <c r="O1" s="386"/>
    </row>
    <row r="2" spans="1:15" ht="12" customHeight="1">
      <c r="C2" s="781"/>
      <c r="D2" s="387"/>
      <c r="E2" s="387"/>
      <c r="G2" s="387"/>
      <c r="H2" s="387"/>
      <c r="I2" s="387"/>
      <c r="J2" s="387"/>
      <c r="K2" s="387"/>
      <c r="L2" s="387"/>
      <c r="M2" s="387"/>
      <c r="N2" s="387"/>
    </row>
    <row r="3" spans="1:15" ht="12" customHeight="1">
      <c r="C3" s="674" t="str">
        <f>'T2 ANSP'!A3</f>
        <v>United Kingdom</v>
      </c>
      <c r="D3" s="387"/>
      <c r="E3" s="387"/>
      <c r="F3" s="1394"/>
      <c r="G3" s="1395"/>
      <c r="H3" s="1395"/>
      <c r="I3" s="1395"/>
      <c r="J3" s="1395"/>
      <c r="K3" s="387"/>
      <c r="L3" s="387"/>
      <c r="M3" s="387"/>
      <c r="N3" s="387"/>
    </row>
    <row r="4" spans="1:15" ht="12" customHeight="1">
      <c r="C4" s="83" t="str">
        <f>'T2 ANSP'!A4</f>
        <v>Currency : GBP £</v>
      </c>
      <c r="D4" s="387"/>
      <c r="E4" s="387"/>
      <c r="F4" s="1394"/>
      <c r="G4" s="1395"/>
      <c r="H4" s="1395"/>
      <c r="I4" s="1396"/>
      <c r="J4" s="1396"/>
      <c r="K4" s="979"/>
      <c r="L4" s="979"/>
      <c r="M4" s="387"/>
      <c r="N4" s="387"/>
    </row>
    <row r="5" spans="1:15" ht="12" customHeight="1">
      <c r="C5" s="146" t="str">
        <f>'T2 ANSP'!A5</f>
        <v>NERL</v>
      </c>
      <c r="D5" s="387"/>
      <c r="E5" s="389"/>
      <c r="F5" s="1394"/>
      <c r="G5" s="1393"/>
      <c r="H5" s="1396">
        <f>G6+D148</f>
        <v>-38275.366434858595</v>
      </c>
      <c r="I5" s="1395"/>
      <c r="J5" s="1396"/>
      <c r="K5" s="387"/>
      <c r="L5" s="387"/>
      <c r="M5" s="387"/>
      <c r="N5" s="387"/>
    </row>
    <row r="6" spans="1:15" ht="12" customHeight="1">
      <c r="C6" s="389"/>
      <c r="D6" s="389"/>
      <c r="E6" s="389"/>
      <c r="F6" s="1393">
        <f>('T3 ANSP'!F21-'T3 ANSP'!F11+'T3 ANSP'!F36-'T3 ANSP'!F26+'T3 ANSP'!F47+'T3 ANSP'!F58+'T3 ANSP'!F69+'T3 ANSP'!F80+'T3 ANSP'!F91+'T3 ANSP'!F102+'T3 ANSP'!F111+'T3 ANSP'!F126-'T3 ANSP'!F116+'T3 ANSP'!F141-'T3 ANSP'!F131+'T3 ANSP'!F166-'T3 ANSP'!F146+'T3 ANSP'!F181-'T3 ANSP'!F171+'T3 ANSP'!F196-'T3 ANSP'!F186+'T3 ANSP'!F211-'T3 ANSP'!F201+'T3 ANSP'!F226-'T3 ANSP'!F216+'T3 ANSP'!F237+'T3 ANSP'!F248)*-'T2 ANSP'!D40</f>
        <v>-7443.1509429317057</v>
      </c>
      <c r="G6" s="1393">
        <f>(F181+F211)*-'T2 ANSP'!D40</f>
        <v>-7443.1509429317057</v>
      </c>
      <c r="H6" s="1393">
        <f>(F11+F26+F107+F166+F126)*-'T2 ANSP'!D40</f>
        <v>-30832.215491926887</v>
      </c>
      <c r="I6" s="1393">
        <f>SUM(G6:H6)</f>
        <v>-38275.366434858595</v>
      </c>
      <c r="J6" s="1397">
        <f>H5-'T2 ANSP'!F87</f>
        <v>-405.61643485859531</v>
      </c>
      <c r="K6" s="389"/>
      <c r="L6" s="389"/>
      <c r="M6" s="389"/>
      <c r="N6" s="389"/>
    </row>
    <row r="7" spans="1:15" ht="12" customHeight="1">
      <c r="A7" s="454" t="s">
        <v>457</v>
      </c>
      <c r="C7" s="390" t="s">
        <v>458</v>
      </c>
      <c r="D7" s="391" t="s">
        <v>459</v>
      </c>
      <c r="E7" s="392">
        <v>2020</v>
      </c>
      <c r="F7" s="393">
        <v>2021</v>
      </c>
      <c r="G7" s="393">
        <v>2022</v>
      </c>
      <c r="H7" s="393">
        <v>2023</v>
      </c>
      <c r="I7" s="1037">
        <v>2024</v>
      </c>
      <c r="J7" s="393">
        <v>2025</v>
      </c>
      <c r="K7" s="1037">
        <v>2026</v>
      </c>
      <c r="L7" s="393">
        <v>2027</v>
      </c>
      <c r="M7" s="1028" t="s">
        <v>460</v>
      </c>
      <c r="N7" s="387"/>
    </row>
    <row r="8" spans="1:15" ht="11.1" customHeight="1">
      <c r="C8" s="396"/>
      <c r="D8" s="396"/>
      <c r="E8" s="396"/>
      <c r="F8" s="396"/>
      <c r="G8" s="396"/>
      <c r="H8" s="396"/>
      <c r="I8" s="396"/>
      <c r="M8" s="396"/>
      <c r="N8" s="387"/>
    </row>
    <row r="9" spans="1:15" ht="12" customHeight="1">
      <c r="A9" s="454">
        <v>2018</v>
      </c>
      <c r="C9" s="397" t="s">
        <v>461</v>
      </c>
      <c r="D9" s="474">
        <v>-13078.944372610684</v>
      </c>
      <c r="E9" s="399">
        <v>-13078.944372610684</v>
      </c>
      <c r="F9" s="400"/>
      <c r="G9" s="401"/>
      <c r="H9" s="401"/>
      <c r="I9" s="1038"/>
      <c r="J9" s="1038"/>
      <c r="K9" s="1038"/>
      <c r="L9" s="1038"/>
      <c r="M9" s="1038"/>
      <c r="O9" s="1362" t="s">
        <v>687</v>
      </c>
    </row>
    <row r="10" spans="1:15" ht="12" customHeight="1">
      <c r="A10" s="454">
        <v>2019</v>
      </c>
      <c r="C10" s="405" t="s">
        <v>462</v>
      </c>
      <c r="D10" s="476">
        <v>-13954.402440005846</v>
      </c>
      <c r="E10" s="407"/>
      <c r="F10" s="408">
        <f>D10</f>
        <v>-13954.402440005846</v>
      </c>
      <c r="G10" s="409"/>
      <c r="H10" s="409"/>
      <c r="I10" s="1039"/>
      <c r="J10" s="1039"/>
      <c r="K10" s="1039"/>
      <c r="L10" s="1039"/>
      <c r="M10" s="1039"/>
      <c r="O10" s="1362" t="s">
        <v>688</v>
      </c>
    </row>
    <row r="11" spans="1:15" ht="12" customHeight="1">
      <c r="A11" s="454" t="s">
        <v>463</v>
      </c>
      <c r="C11" s="412" t="s">
        <v>464</v>
      </c>
      <c r="D11" s="413">
        <f>SUM(D9:D10)</f>
        <v>-27033.346812616532</v>
      </c>
      <c r="E11" s="414">
        <f t="shared" ref="E11:F11" si="0">SUM(E9:E10)</f>
        <v>-13078.944372610684</v>
      </c>
      <c r="F11" s="415">
        <f t="shared" si="0"/>
        <v>-13954.402440005846</v>
      </c>
      <c r="G11" s="416"/>
      <c r="H11" s="416"/>
      <c r="I11" s="1040"/>
      <c r="J11" s="1040"/>
      <c r="K11" s="1040"/>
      <c r="L11" s="1040"/>
      <c r="M11" s="1040"/>
    </row>
    <row r="12" spans="1:15" ht="12" customHeight="1">
      <c r="A12" s="454">
        <v>2020</v>
      </c>
      <c r="B12" s="1439"/>
      <c r="C12" s="397" t="s">
        <v>465</v>
      </c>
      <c r="D12" s="897">
        <f>'T2 ANSP'!C19</f>
        <v>-7512.1700582960393</v>
      </c>
      <c r="E12" s="419"/>
      <c r="F12" s="400"/>
      <c r="G12" s="420">
        <f>D12</f>
        <v>-7512.1700582960393</v>
      </c>
      <c r="H12" s="401"/>
      <c r="I12" s="409"/>
      <c r="J12" s="409"/>
      <c r="K12" s="409"/>
      <c r="L12" s="409"/>
      <c r="M12" s="1034"/>
    </row>
    <row r="13" spans="1:15" ht="12" customHeight="1">
      <c r="A13" s="454">
        <v>2021</v>
      </c>
      <c r="B13" s="1435">
        <f>'T2 ANSP'!D19</f>
        <v>-3418.2838664568976</v>
      </c>
      <c r="C13" s="405" t="s">
        <v>466</v>
      </c>
      <c r="D13" s="1440">
        <v>-3969.8659311800698</v>
      </c>
      <c r="E13" s="407"/>
      <c r="F13" s="421"/>
      <c r="G13" s="409"/>
      <c r="H13" s="422">
        <f>D13</f>
        <v>-3969.8659311800698</v>
      </c>
      <c r="I13" s="409"/>
      <c r="J13" s="409"/>
      <c r="K13" s="409"/>
      <c r="L13" s="409"/>
      <c r="M13" s="1029"/>
      <c r="O13" s="1362" t="s">
        <v>962</v>
      </c>
    </row>
    <row r="14" spans="1:15" ht="12" customHeight="1">
      <c r="A14" s="454">
        <v>2022</v>
      </c>
      <c r="B14" s="1435">
        <f>'T2 ANSP'!E19</f>
        <v>44206.986750131109</v>
      </c>
      <c r="C14" s="405" t="s">
        <v>467</v>
      </c>
      <c r="D14" s="406">
        <f>'T2 ANSP'!E19</f>
        <v>44206.986750131109</v>
      </c>
      <c r="E14" s="407"/>
      <c r="F14" s="421"/>
      <c r="G14" s="409"/>
      <c r="H14" s="409"/>
      <c r="I14" s="1041">
        <f>D14</f>
        <v>44206.986750131109</v>
      </c>
      <c r="J14" s="409"/>
      <c r="K14" s="409"/>
      <c r="L14" s="409"/>
      <c r="M14" s="1029"/>
    </row>
    <row r="15" spans="1:15" ht="12" customHeight="1">
      <c r="A15" s="454" t="s">
        <v>468</v>
      </c>
      <c r="C15" s="412" t="s">
        <v>469</v>
      </c>
      <c r="D15" s="413">
        <f>SUM(D12:D14)</f>
        <v>32724.950760655</v>
      </c>
      <c r="E15" s="1062"/>
      <c r="F15" s="1063"/>
      <c r="G15" s="415">
        <f>SUM(G12:G14)</f>
        <v>-7512.1700582960393</v>
      </c>
      <c r="H15" s="415">
        <f>SUM(H12:H14)</f>
        <v>-3969.8659311800698</v>
      </c>
      <c r="I15" s="415">
        <f>SUM(I12:I14)</f>
        <v>44206.986750131109</v>
      </c>
      <c r="J15" s="416"/>
      <c r="K15" s="416"/>
      <c r="L15" s="416"/>
      <c r="M15" s="1030"/>
    </row>
    <row r="16" spans="1:15" ht="12" customHeight="1">
      <c r="A16" s="454">
        <v>2023</v>
      </c>
      <c r="C16" s="405" t="s">
        <v>470</v>
      </c>
      <c r="D16" s="406">
        <f>'T2 ANSP'!F19</f>
        <v>0</v>
      </c>
      <c r="E16" s="407"/>
      <c r="F16" s="421"/>
      <c r="G16" s="409"/>
      <c r="H16" s="409"/>
      <c r="I16" s="409"/>
      <c r="J16" s="1041">
        <f>D16</f>
        <v>0</v>
      </c>
      <c r="K16" s="409"/>
      <c r="L16" s="409"/>
      <c r="M16" s="1029"/>
    </row>
    <row r="17" spans="1:15" ht="12" customHeight="1">
      <c r="A17" s="454">
        <v>2024</v>
      </c>
      <c r="C17" s="405" t="s">
        <v>471</v>
      </c>
      <c r="D17" s="406">
        <f>'T2 ANSP'!G19</f>
        <v>0</v>
      </c>
      <c r="E17" s="407"/>
      <c r="F17" s="421"/>
      <c r="G17" s="409"/>
      <c r="H17" s="409"/>
      <c r="I17" s="409"/>
      <c r="J17" s="409"/>
      <c r="K17" s="1041">
        <f>D17</f>
        <v>0</v>
      </c>
      <c r="L17" s="409"/>
      <c r="M17" s="1029"/>
    </row>
    <row r="18" spans="1:15" ht="12" customHeight="1">
      <c r="A18" s="454">
        <v>2025</v>
      </c>
      <c r="C18" s="405" t="s">
        <v>472</v>
      </c>
      <c r="D18" s="406">
        <f>'T2 ANSP'!H19</f>
        <v>0</v>
      </c>
      <c r="E18" s="407"/>
      <c r="F18" s="421"/>
      <c r="G18" s="409"/>
      <c r="H18" s="409"/>
      <c r="I18" s="409"/>
      <c r="J18" s="409"/>
      <c r="K18" s="409"/>
      <c r="L18" s="1041">
        <f>D18</f>
        <v>0</v>
      </c>
      <c r="M18" s="1029"/>
    </row>
    <row r="19" spans="1:15" ht="12" customHeight="1">
      <c r="A19" s="454">
        <v>2026</v>
      </c>
      <c r="C19" s="405" t="s">
        <v>473</v>
      </c>
      <c r="D19" s="406">
        <f>'T2 ANSP'!I19</f>
        <v>0</v>
      </c>
      <c r="E19" s="407"/>
      <c r="F19" s="421"/>
      <c r="G19" s="409"/>
      <c r="H19" s="409"/>
      <c r="I19" s="409"/>
      <c r="J19" s="409"/>
      <c r="K19" s="409"/>
      <c r="L19" s="409"/>
      <c r="M19" s="1053">
        <f>D19</f>
        <v>0</v>
      </c>
    </row>
    <row r="20" spans="1:15" ht="12" customHeight="1">
      <c r="A20" s="454">
        <v>2027</v>
      </c>
      <c r="C20" s="425" t="s">
        <v>474</v>
      </c>
      <c r="D20" s="426">
        <f>'T2 ANSP'!J19</f>
        <v>0</v>
      </c>
      <c r="E20" s="427"/>
      <c r="F20" s="428"/>
      <c r="G20" s="428"/>
      <c r="H20" s="428"/>
      <c r="I20" s="409"/>
      <c r="J20" s="409"/>
      <c r="K20" s="409"/>
      <c r="L20" s="409"/>
      <c r="M20" s="1054">
        <f>D20</f>
        <v>0</v>
      </c>
    </row>
    <row r="21" spans="1:15" ht="12" customHeight="1">
      <c r="A21" s="454" t="s">
        <v>475</v>
      </c>
      <c r="C21" s="430" t="s">
        <v>912</v>
      </c>
      <c r="D21" s="431">
        <f>SUM(D16:D20)+D11+D15</f>
        <v>5691.6039480384679</v>
      </c>
      <c r="E21" s="479">
        <f t="shared" ref="E21:M21" si="1">SUM(E16:E20)+E11+E15</f>
        <v>-13078.944372610684</v>
      </c>
      <c r="F21" s="433">
        <f t="shared" si="1"/>
        <v>-13954.402440005846</v>
      </c>
      <c r="G21" s="433">
        <f>SUM(G16:G20)+G11+G15</f>
        <v>-7512.1700582960393</v>
      </c>
      <c r="H21" s="433">
        <f t="shared" si="1"/>
        <v>-3969.8659311800698</v>
      </c>
      <c r="I21" s="480">
        <f t="shared" si="1"/>
        <v>44206.986750131109</v>
      </c>
      <c r="J21" s="480">
        <f t="shared" si="1"/>
        <v>0</v>
      </c>
      <c r="K21" s="480">
        <f t="shared" si="1"/>
        <v>0</v>
      </c>
      <c r="L21" s="480">
        <f t="shared" si="1"/>
        <v>0</v>
      </c>
      <c r="M21" s="1055">
        <f t="shared" si="1"/>
        <v>0</v>
      </c>
    </row>
    <row r="22" spans="1:15" ht="4.2" customHeight="1">
      <c r="A22" s="748"/>
      <c r="C22" s="481"/>
      <c r="D22" s="482"/>
      <c r="E22" s="483"/>
      <c r="F22" s="483"/>
      <c r="G22" s="483"/>
      <c r="H22" s="483"/>
      <c r="I22" s="483"/>
      <c r="J22" s="446"/>
      <c r="K22" s="446"/>
      <c r="L22" s="446"/>
      <c r="M22" s="483"/>
    </row>
    <row r="23" spans="1:15" ht="12.6" customHeight="1">
      <c r="A23" s="454">
        <v>2017</v>
      </c>
      <c r="C23" s="397" t="s">
        <v>477</v>
      </c>
      <c r="D23" s="484">
        <v>0</v>
      </c>
      <c r="E23" s="485">
        <v>0</v>
      </c>
      <c r="F23" s="486">
        <v>0</v>
      </c>
      <c r="G23" s="506"/>
      <c r="H23" s="506"/>
      <c r="I23" s="1064"/>
      <c r="J23" s="1064"/>
      <c r="K23" s="1064"/>
      <c r="L23" s="1064"/>
      <c r="M23" s="1034"/>
      <c r="O23" s="1362" t="s">
        <v>689</v>
      </c>
    </row>
    <row r="24" spans="1:15" ht="12" customHeight="1">
      <c r="A24" s="454">
        <v>2018</v>
      </c>
      <c r="C24" s="405" t="s">
        <v>478</v>
      </c>
      <c r="D24" s="488">
        <v>-52765.667477023497</v>
      </c>
      <c r="E24" s="489">
        <f>D24</f>
        <v>-52765.667477023497</v>
      </c>
      <c r="F24" s="490">
        <v>0</v>
      </c>
      <c r="G24" s="508"/>
      <c r="H24" s="508"/>
      <c r="I24" s="1047"/>
      <c r="J24" s="1047"/>
      <c r="K24" s="1047"/>
      <c r="L24" s="1047"/>
      <c r="M24" s="1029"/>
      <c r="O24" s="1362" t="s">
        <v>690</v>
      </c>
    </row>
    <row r="25" spans="1:15" ht="12" customHeight="1">
      <c r="A25" s="454">
        <v>2019</v>
      </c>
      <c r="C25" s="405" t="s">
        <v>479</v>
      </c>
      <c r="D25" s="488">
        <v>-62057.379326415998</v>
      </c>
      <c r="E25" s="407"/>
      <c r="F25" s="490">
        <f>D25</f>
        <v>-62057.379326415998</v>
      </c>
      <c r="G25" s="508"/>
      <c r="H25" s="508"/>
      <c r="I25" s="1047"/>
      <c r="J25" s="1047"/>
      <c r="K25" s="1047"/>
      <c r="L25" s="1047"/>
      <c r="M25" s="1029"/>
      <c r="O25" s="1362" t="s">
        <v>691</v>
      </c>
    </row>
    <row r="26" spans="1:15" ht="12" customHeight="1">
      <c r="A26" s="454" t="s">
        <v>463</v>
      </c>
      <c r="C26" s="412" t="s">
        <v>480</v>
      </c>
      <c r="D26" s="413">
        <f>SUM(D23:D25)</f>
        <v>-114823.0468034395</v>
      </c>
      <c r="E26" s="414">
        <f t="shared" ref="E26:F26" si="2">SUM(E23:E25)</f>
        <v>-52765.667477023497</v>
      </c>
      <c r="F26" s="415">
        <f t="shared" si="2"/>
        <v>-62057.379326415998</v>
      </c>
      <c r="G26" s="416"/>
      <c r="H26" s="416"/>
      <c r="I26" s="1040"/>
      <c r="J26" s="1040"/>
      <c r="K26" s="1040"/>
      <c r="L26" s="1040"/>
      <c r="M26" s="1030"/>
    </row>
    <row r="27" spans="1:15" ht="12" customHeight="1">
      <c r="A27" s="454">
        <v>2020</v>
      </c>
      <c r="C27" s="397" t="s">
        <v>481</v>
      </c>
      <c r="D27" s="1020"/>
      <c r="E27" s="419"/>
      <c r="F27" s="400"/>
      <c r="G27" s="1021"/>
      <c r="H27" s="401"/>
      <c r="I27" s="401"/>
      <c r="J27" s="401"/>
      <c r="K27" s="401"/>
      <c r="L27" s="401"/>
      <c r="M27" s="1034"/>
      <c r="O27" s="1363" t="s">
        <v>692</v>
      </c>
    </row>
    <row r="28" spans="1:15" ht="12" customHeight="1">
      <c r="A28" s="454">
        <v>2021</v>
      </c>
      <c r="C28" s="405" t="s">
        <v>482</v>
      </c>
      <c r="D28" s="1020"/>
      <c r="E28" s="407"/>
      <c r="F28" s="421"/>
      <c r="G28" s="409"/>
      <c r="H28" s="1176"/>
      <c r="I28" s="1045"/>
      <c r="J28" s="422"/>
      <c r="K28" s="422"/>
      <c r="L28" s="422"/>
      <c r="M28" s="1029"/>
      <c r="O28" s="1363" t="s">
        <v>693</v>
      </c>
    </row>
    <row r="29" spans="1:15" ht="12" customHeight="1">
      <c r="A29" s="454">
        <v>2022</v>
      </c>
      <c r="C29" s="405" t="s">
        <v>483</v>
      </c>
      <c r="D29" s="1483"/>
      <c r="E29" s="407"/>
      <c r="F29" s="421"/>
      <c r="G29" s="409"/>
      <c r="H29" s="409"/>
      <c r="I29" s="1482"/>
      <c r="J29" s="409"/>
      <c r="K29" s="409"/>
      <c r="L29" s="409"/>
      <c r="M29" s="1029"/>
      <c r="O29" s="1363" t="s">
        <v>694</v>
      </c>
    </row>
    <row r="30" spans="1:15" ht="12" customHeight="1">
      <c r="A30" s="454" t="s">
        <v>468</v>
      </c>
      <c r="C30" s="412" t="s">
        <v>484</v>
      </c>
      <c r="D30" s="413">
        <f>SUM(D27:D29)</f>
        <v>0</v>
      </c>
      <c r="E30" s="1062"/>
      <c r="F30" s="1063"/>
      <c r="G30" s="415">
        <f>SUM(G27:G29)</f>
        <v>0</v>
      </c>
      <c r="H30" s="415">
        <f>SUM(H27:H29)</f>
        <v>0</v>
      </c>
      <c r="I30" s="415">
        <f>SUM(I27:I29)</f>
        <v>0</v>
      </c>
      <c r="J30" s="416"/>
      <c r="K30" s="416"/>
      <c r="L30" s="416"/>
      <c r="M30" s="1030"/>
      <c r="O30" s="1363" t="s">
        <v>695</v>
      </c>
    </row>
    <row r="31" spans="1:15" ht="12" customHeight="1">
      <c r="A31" s="454">
        <v>2023</v>
      </c>
      <c r="C31" s="405" t="s">
        <v>485</v>
      </c>
      <c r="D31" s="406">
        <f>'T2 ANSP'!F41</f>
        <v>0</v>
      </c>
      <c r="E31" s="407"/>
      <c r="F31" s="421"/>
      <c r="G31" s="409"/>
      <c r="H31" s="409"/>
      <c r="I31" s="409"/>
      <c r="J31" s="422">
        <f>D31</f>
        <v>0</v>
      </c>
      <c r="K31" s="409"/>
      <c r="L31" s="409"/>
      <c r="M31" s="1029"/>
    </row>
    <row r="32" spans="1:15" ht="12" customHeight="1">
      <c r="A32" s="454">
        <v>2024</v>
      </c>
      <c r="C32" s="405" t="s">
        <v>486</v>
      </c>
      <c r="D32" s="406">
        <f>'T2 ANSP'!G41</f>
        <v>0</v>
      </c>
      <c r="E32" s="407"/>
      <c r="F32" s="421"/>
      <c r="G32" s="409"/>
      <c r="H32" s="409"/>
      <c r="I32" s="409"/>
      <c r="J32" s="409"/>
      <c r="K32" s="422">
        <f>D32</f>
        <v>0</v>
      </c>
      <c r="L32" s="409"/>
      <c r="M32" s="1029"/>
    </row>
    <row r="33" spans="1:15" ht="12" customHeight="1">
      <c r="A33" s="454">
        <v>2025</v>
      </c>
      <c r="C33" s="405" t="s">
        <v>487</v>
      </c>
      <c r="D33" s="406">
        <f>'T2 ANSP'!H41</f>
        <v>0</v>
      </c>
      <c r="E33" s="407"/>
      <c r="F33" s="421"/>
      <c r="G33" s="409"/>
      <c r="H33" s="409"/>
      <c r="I33" s="409"/>
      <c r="J33" s="409"/>
      <c r="K33" s="409"/>
      <c r="L33" s="422">
        <f>D33</f>
        <v>0</v>
      </c>
      <c r="M33" s="1029"/>
    </row>
    <row r="34" spans="1:15" ht="12" customHeight="1">
      <c r="A34" s="454">
        <v>2026</v>
      </c>
      <c r="C34" s="405" t="s">
        <v>488</v>
      </c>
      <c r="D34" s="406">
        <f>'T2 ANSP'!I41</f>
        <v>0</v>
      </c>
      <c r="E34" s="407"/>
      <c r="F34" s="421"/>
      <c r="G34" s="409"/>
      <c r="H34" s="409"/>
      <c r="I34" s="409"/>
      <c r="J34" s="409"/>
      <c r="K34" s="409"/>
      <c r="L34" s="409"/>
      <c r="M34" s="1053">
        <f>D34</f>
        <v>0</v>
      </c>
    </row>
    <row r="35" spans="1:15" ht="12" customHeight="1">
      <c r="A35" s="454">
        <v>2027</v>
      </c>
      <c r="C35" s="405" t="s">
        <v>489</v>
      </c>
      <c r="D35" s="426">
        <f>'T2 ANSP'!J41</f>
        <v>0</v>
      </c>
      <c r="E35" s="427"/>
      <c r="F35" s="428"/>
      <c r="G35" s="428"/>
      <c r="H35" s="428"/>
      <c r="I35" s="428"/>
      <c r="J35" s="428"/>
      <c r="K35" s="428"/>
      <c r="L35" s="428"/>
      <c r="M35" s="1054">
        <f>D35</f>
        <v>0</v>
      </c>
    </row>
    <row r="36" spans="1:15" ht="12" customHeight="1">
      <c r="A36" s="454" t="s">
        <v>475</v>
      </c>
      <c r="C36" s="430" t="s">
        <v>913</v>
      </c>
      <c r="D36" s="1465">
        <f t="shared" ref="D36:J36" si="3">SUM(D31:D35)+D26+D30+D258</f>
        <v>862800.06278065313</v>
      </c>
      <c r="E36" s="479">
        <f t="shared" si="3"/>
        <v>-52765.667477023497</v>
      </c>
      <c r="F36" s="479">
        <f t="shared" si="3"/>
        <v>-62057.379326415998</v>
      </c>
      <c r="G36" s="479">
        <f t="shared" si="3"/>
        <v>0</v>
      </c>
      <c r="H36" s="479">
        <f>SUM(H31:H35)+H26+H30+H258</f>
        <v>24929.271489367136</v>
      </c>
      <c r="I36" s="479">
        <f t="shared" si="3"/>
        <v>18063.629153141708</v>
      </c>
      <c r="J36" s="479">
        <f t="shared" si="3"/>
        <v>151854.51401245283</v>
      </c>
      <c r="K36" s="479">
        <f t="shared" ref="K36:M36" si="4">SUM(K31:K35)+K26+K30+K258</f>
        <v>141163.67364776251</v>
      </c>
      <c r="L36" s="479">
        <f t="shared" si="4"/>
        <v>159554.09789316004</v>
      </c>
      <c r="M36" s="1055">
        <f t="shared" si="4"/>
        <v>482057.92338820838</v>
      </c>
      <c r="N36"/>
      <c r="O36" s="515"/>
    </row>
    <row r="37" spans="1:15" ht="4.2" customHeight="1">
      <c r="A37" s="748"/>
      <c r="C37" s="481"/>
      <c r="D37" s="481"/>
      <c r="E37" s="446"/>
      <c r="F37" s="446"/>
      <c r="G37" s="446"/>
      <c r="H37" s="446"/>
      <c r="I37" s="446"/>
      <c r="J37" s="446"/>
      <c r="K37" s="446"/>
      <c r="L37" s="446"/>
      <c r="M37" s="446"/>
    </row>
    <row r="38" spans="1:15" ht="12" customHeight="1">
      <c r="A38" s="454">
        <v>2020</v>
      </c>
      <c r="C38" s="397" t="s">
        <v>491</v>
      </c>
      <c r="D38" s="442">
        <f>'T2 ANSP'!C22</f>
        <v>0</v>
      </c>
      <c r="E38" s="419"/>
      <c r="F38" s="400"/>
      <c r="G38" s="486">
        <f>D38</f>
        <v>0</v>
      </c>
      <c r="H38" s="401"/>
      <c r="I38" s="1038"/>
      <c r="J38" s="401"/>
      <c r="K38" s="401"/>
      <c r="L38" s="401"/>
      <c r="M38" s="1034"/>
    </row>
    <row r="39" spans="1:15" ht="12" customHeight="1">
      <c r="A39" s="454">
        <v>2021</v>
      </c>
      <c r="C39" s="405" t="s">
        <v>492</v>
      </c>
      <c r="D39" s="443">
        <f>'T2 ANSP'!D22</f>
        <v>0</v>
      </c>
      <c r="E39" s="407"/>
      <c r="F39" s="421"/>
      <c r="G39" s="409"/>
      <c r="H39" s="490">
        <f>D39</f>
        <v>0</v>
      </c>
      <c r="I39" s="1039"/>
      <c r="J39" s="409"/>
      <c r="K39" s="409"/>
      <c r="L39" s="409"/>
      <c r="M39" s="1029"/>
    </row>
    <row r="40" spans="1:15" ht="12" customHeight="1">
      <c r="A40" s="454">
        <v>2022</v>
      </c>
      <c r="C40" s="405" t="s">
        <v>493</v>
      </c>
      <c r="D40" s="443">
        <f>'T2 ANSP'!E22</f>
        <v>0</v>
      </c>
      <c r="E40" s="407"/>
      <c r="F40" s="421"/>
      <c r="G40" s="409"/>
      <c r="H40" s="409"/>
      <c r="I40" s="1046">
        <f>D40</f>
        <v>0</v>
      </c>
      <c r="J40" s="409"/>
      <c r="K40" s="409"/>
      <c r="L40" s="409"/>
      <c r="M40" s="1029"/>
    </row>
    <row r="41" spans="1:15" ht="12" customHeight="1">
      <c r="A41" s="454" t="s">
        <v>468</v>
      </c>
      <c r="C41" s="412" t="s">
        <v>494</v>
      </c>
      <c r="D41" s="413">
        <f>SUM(D38:D40)</f>
        <v>0</v>
      </c>
      <c r="E41" s="1062"/>
      <c r="F41" s="1063"/>
      <c r="G41" s="415">
        <f>SUM(G38:G40)</f>
        <v>0</v>
      </c>
      <c r="H41" s="415">
        <f>SUM(H38:H40)</f>
        <v>0</v>
      </c>
      <c r="I41" s="415">
        <f>SUM(I38:I40)</f>
        <v>0</v>
      </c>
      <c r="J41" s="416"/>
      <c r="K41" s="416"/>
      <c r="L41" s="416"/>
      <c r="M41" s="1030"/>
    </row>
    <row r="42" spans="1:15" ht="12" customHeight="1">
      <c r="A42" s="454">
        <v>2023</v>
      </c>
      <c r="C42" s="405" t="s">
        <v>495</v>
      </c>
      <c r="D42" s="443">
        <f>'T2 ANSP'!F22</f>
        <v>0</v>
      </c>
      <c r="E42" s="407"/>
      <c r="F42" s="421"/>
      <c r="G42" s="409"/>
      <c r="H42" s="409"/>
      <c r="I42" s="1042"/>
      <c r="J42" s="1065">
        <f>D42</f>
        <v>0</v>
      </c>
      <c r="K42" s="1060"/>
      <c r="L42" s="401"/>
      <c r="M42" s="1034"/>
    </row>
    <row r="43" spans="1:15" ht="12" customHeight="1">
      <c r="A43" s="454">
        <v>2024</v>
      </c>
      <c r="C43" s="405" t="s">
        <v>496</v>
      </c>
      <c r="D43" s="443">
        <f>'T2 ANSP'!G22</f>
        <v>0</v>
      </c>
      <c r="E43" s="407"/>
      <c r="F43" s="421"/>
      <c r="G43" s="409"/>
      <c r="H43" s="409"/>
      <c r="I43" s="1042"/>
      <c r="J43" s="1060"/>
      <c r="K43" s="1065">
        <f>D43</f>
        <v>0</v>
      </c>
      <c r="L43" s="409"/>
      <c r="M43" s="1029"/>
    </row>
    <row r="44" spans="1:15" ht="12" customHeight="1">
      <c r="A44" s="454">
        <v>2025</v>
      </c>
      <c r="C44" s="405" t="s">
        <v>497</v>
      </c>
      <c r="D44" s="443">
        <f>'T2 ANSP'!H22</f>
        <v>0</v>
      </c>
      <c r="E44" s="407"/>
      <c r="F44" s="421"/>
      <c r="G44" s="409"/>
      <c r="H44" s="409"/>
      <c r="I44" s="1042"/>
      <c r="J44" s="1060"/>
      <c r="K44" s="1060"/>
      <c r="L44" s="1065">
        <f>D44</f>
        <v>0</v>
      </c>
      <c r="M44" s="1029"/>
    </row>
    <row r="45" spans="1:15" ht="12" customHeight="1">
      <c r="A45" s="454">
        <v>2026</v>
      </c>
      <c r="C45" s="405" t="s">
        <v>498</v>
      </c>
      <c r="D45" s="443">
        <f>'T2 ANSP'!I22</f>
        <v>0</v>
      </c>
      <c r="E45" s="407"/>
      <c r="F45" s="421"/>
      <c r="G45" s="409"/>
      <c r="H45" s="409"/>
      <c r="I45" s="1042"/>
      <c r="J45" s="1060"/>
      <c r="K45" s="1060"/>
      <c r="L45" s="1060"/>
      <c r="M45" s="439">
        <f>D45</f>
        <v>0</v>
      </c>
    </row>
    <row r="46" spans="1:15" ht="12" customHeight="1">
      <c r="A46" s="454">
        <v>2027</v>
      </c>
      <c r="C46" s="405" t="s">
        <v>499</v>
      </c>
      <c r="D46" s="444">
        <f>'T2 ANSP'!J22</f>
        <v>0</v>
      </c>
      <c r="E46" s="427"/>
      <c r="F46" s="428"/>
      <c r="G46" s="428"/>
      <c r="H46" s="428"/>
      <c r="I46" s="1043"/>
      <c r="J46" s="1061"/>
      <c r="K46" s="1061"/>
      <c r="L46" s="1061"/>
      <c r="M46" s="1054">
        <f>D46</f>
        <v>0</v>
      </c>
    </row>
    <row r="47" spans="1:15" ht="12" customHeight="1">
      <c r="A47" s="454" t="s">
        <v>475</v>
      </c>
      <c r="C47" s="430" t="s">
        <v>914</v>
      </c>
      <c r="D47" s="431">
        <f>SUM(D41:D46)</f>
        <v>0</v>
      </c>
      <c r="E47" s="493"/>
      <c r="F47" s="494"/>
      <c r="G47" s="479">
        <f t="shared" ref="G47:L47" si="5">SUM(G41:G46)</f>
        <v>0</v>
      </c>
      <c r="H47" s="479">
        <f t="shared" si="5"/>
        <v>0</v>
      </c>
      <c r="I47" s="479">
        <f t="shared" si="5"/>
        <v>0</v>
      </c>
      <c r="J47" s="479">
        <f t="shared" si="5"/>
        <v>0</v>
      </c>
      <c r="K47" s="479">
        <f t="shared" si="5"/>
        <v>0</v>
      </c>
      <c r="L47" s="479">
        <f t="shared" si="5"/>
        <v>0</v>
      </c>
      <c r="M47" s="1055">
        <f>SUM(M41:M46)</f>
        <v>0</v>
      </c>
    </row>
    <row r="48" spans="1:15" ht="4.2" customHeight="1">
      <c r="A48" s="748"/>
      <c r="C48" s="481"/>
      <c r="D48" s="481"/>
      <c r="E48" s="446"/>
      <c r="F48" s="446"/>
      <c r="G48" s="446"/>
      <c r="H48" s="446"/>
      <c r="I48" s="446"/>
      <c r="J48" s="446"/>
      <c r="K48" s="446"/>
      <c r="L48" s="446"/>
      <c r="M48" s="446"/>
    </row>
    <row r="49" spans="1:15" ht="12" customHeight="1">
      <c r="A49" s="454">
        <v>2020</v>
      </c>
      <c r="C49" s="397" t="s">
        <v>501</v>
      </c>
      <c r="D49" s="495"/>
      <c r="E49" s="419"/>
      <c r="F49" s="400"/>
      <c r="G49" s="401"/>
      <c r="H49" s="401"/>
      <c r="I49" s="401"/>
      <c r="J49" s="401"/>
      <c r="K49" s="401"/>
      <c r="L49" s="401"/>
      <c r="M49" s="1034"/>
    </row>
    <row r="50" spans="1:15" ht="12" customHeight="1">
      <c r="A50" s="454">
        <v>2021</v>
      </c>
      <c r="C50" s="405" t="s">
        <v>502</v>
      </c>
      <c r="D50" s="496"/>
      <c r="E50" s="407"/>
      <c r="F50" s="421"/>
      <c r="G50" s="409"/>
      <c r="H50" s="409"/>
      <c r="I50" s="409"/>
      <c r="J50" s="409"/>
      <c r="K50" s="409"/>
      <c r="L50" s="409"/>
      <c r="M50" s="1029"/>
    </row>
    <row r="51" spans="1:15" ht="12" customHeight="1">
      <c r="A51" s="454">
        <v>2022</v>
      </c>
      <c r="C51" s="405" t="s">
        <v>503</v>
      </c>
      <c r="D51" s="496"/>
      <c r="E51" s="407"/>
      <c r="F51" s="421"/>
      <c r="G51" s="409"/>
      <c r="H51" s="409"/>
      <c r="I51" s="409"/>
      <c r="J51" s="409"/>
      <c r="K51" s="409"/>
      <c r="L51" s="409"/>
      <c r="M51" s="1029"/>
    </row>
    <row r="52" spans="1:15" ht="12" customHeight="1">
      <c r="A52" s="454" t="s">
        <v>468</v>
      </c>
      <c r="C52" s="412" t="s">
        <v>504</v>
      </c>
      <c r="D52" s="418"/>
      <c r="E52" s="463"/>
      <c r="F52" s="416"/>
      <c r="G52" s="416"/>
      <c r="H52" s="416"/>
      <c r="I52" s="416"/>
      <c r="J52" s="416"/>
      <c r="K52" s="416"/>
      <c r="L52" s="416"/>
      <c r="M52" s="1030"/>
    </row>
    <row r="53" spans="1:15" ht="12" customHeight="1">
      <c r="A53" s="454">
        <v>2023</v>
      </c>
      <c r="C53" s="405" t="s">
        <v>505</v>
      </c>
      <c r="D53" s="496"/>
      <c r="E53" s="456"/>
      <c r="F53" s="409"/>
      <c r="G53" s="409"/>
      <c r="H53" s="409"/>
      <c r="I53" s="409"/>
      <c r="J53" s="409"/>
      <c r="K53" s="409"/>
      <c r="L53" s="409"/>
      <c r="M53" s="1029"/>
      <c r="O53" s="1"/>
    </row>
    <row r="54" spans="1:15" ht="12" customHeight="1">
      <c r="A54" s="454">
        <v>2024</v>
      </c>
      <c r="C54" s="405" t="s">
        <v>506</v>
      </c>
      <c r="D54" s="496"/>
      <c r="E54" s="456"/>
      <c r="F54" s="409"/>
      <c r="G54" s="409"/>
      <c r="H54" s="409"/>
      <c r="I54" s="409"/>
      <c r="J54" s="409"/>
      <c r="K54" s="409"/>
      <c r="L54" s="409"/>
      <c r="M54" s="1029"/>
      <c r="O54" s="1"/>
    </row>
    <row r="55" spans="1:15" ht="12" customHeight="1">
      <c r="A55" s="454">
        <v>2025</v>
      </c>
      <c r="C55" s="405" t="s">
        <v>507</v>
      </c>
      <c r="D55" s="496"/>
      <c r="E55" s="456"/>
      <c r="F55" s="409"/>
      <c r="G55" s="409"/>
      <c r="H55" s="409"/>
      <c r="I55" s="409"/>
      <c r="J55" s="409"/>
      <c r="K55" s="409"/>
      <c r="L55" s="409"/>
      <c r="M55" s="1029"/>
      <c r="O55" s="1"/>
    </row>
    <row r="56" spans="1:15" ht="12" customHeight="1">
      <c r="A56" s="454">
        <v>2026</v>
      </c>
      <c r="C56" s="405" t="s">
        <v>508</v>
      </c>
      <c r="D56" s="496"/>
      <c r="E56" s="456"/>
      <c r="F56" s="409"/>
      <c r="G56" s="409"/>
      <c r="H56" s="409"/>
      <c r="I56" s="409"/>
      <c r="J56" s="409"/>
      <c r="K56" s="409"/>
      <c r="L56" s="409"/>
      <c r="M56" s="1029"/>
      <c r="O56" s="1"/>
    </row>
    <row r="57" spans="1:15" ht="12" customHeight="1">
      <c r="A57" s="454">
        <v>2027</v>
      </c>
      <c r="C57" s="405" t="s">
        <v>509</v>
      </c>
      <c r="D57" s="497"/>
      <c r="E57" s="459"/>
      <c r="F57" s="460"/>
      <c r="G57" s="460"/>
      <c r="H57" s="460"/>
      <c r="I57" s="460"/>
      <c r="J57" s="460"/>
      <c r="K57" s="460"/>
      <c r="L57" s="460"/>
      <c r="M57" s="1035"/>
    </row>
    <row r="58" spans="1:15" ht="12" customHeight="1">
      <c r="A58" s="454" t="s">
        <v>475</v>
      </c>
      <c r="C58" s="430" t="s">
        <v>915</v>
      </c>
      <c r="D58" s="499"/>
      <c r="E58" s="493"/>
      <c r="F58" s="494"/>
      <c r="G58" s="494"/>
      <c r="H58" s="494"/>
      <c r="I58" s="494"/>
      <c r="J58" s="494"/>
      <c r="K58" s="494"/>
      <c r="L58" s="494"/>
      <c r="M58" s="1036"/>
    </row>
    <row r="59" spans="1:15" ht="4.95" customHeight="1">
      <c r="A59" s="748"/>
      <c r="C59" s="481"/>
      <c r="D59" s="446"/>
      <c r="E59" s="446"/>
      <c r="F59" s="446"/>
      <c r="G59" s="446"/>
      <c r="H59" s="446"/>
      <c r="I59" s="446"/>
      <c r="J59" s="446"/>
      <c r="K59" s="446"/>
      <c r="L59" s="446"/>
      <c r="M59" s="446"/>
    </row>
    <row r="60" spans="1:15" ht="12" customHeight="1">
      <c r="A60" s="454">
        <v>2020</v>
      </c>
      <c r="C60" s="397" t="s">
        <v>511</v>
      </c>
      <c r="D60" s="495"/>
      <c r="E60" s="455"/>
      <c r="F60" s="401"/>
      <c r="G60" s="401"/>
      <c r="H60" s="401"/>
      <c r="I60" s="401"/>
      <c r="J60" s="401"/>
      <c r="K60" s="401"/>
      <c r="L60" s="401"/>
      <c r="M60" s="1034"/>
    </row>
    <row r="61" spans="1:15" ht="12" customHeight="1">
      <c r="A61" s="454">
        <v>2021</v>
      </c>
      <c r="C61" s="405" t="s">
        <v>512</v>
      </c>
      <c r="D61" s="496"/>
      <c r="E61" s="456"/>
      <c r="F61" s="409"/>
      <c r="G61" s="409"/>
      <c r="H61" s="409"/>
      <c r="I61" s="409"/>
      <c r="J61" s="409"/>
      <c r="K61" s="409"/>
      <c r="L61" s="409"/>
      <c r="M61" s="1029"/>
      <c r="O61" s="1364"/>
    </row>
    <row r="62" spans="1:15" ht="12" customHeight="1">
      <c r="A62" s="454">
        <v>2022</v>
      </c>
      <c r="C62" s="405" t="s">
        <v>513</v>
      </c>
      <c r="D62" s="496"/>
      <c r="E62" s="456"/>
      <c r="F62" s="409"/>
      <c r="G62" s="409"/>
      <c r="H62" s="409"/>
      <c r="I62" s="409"/>
      <c r="J62" s="409"/>
      <c r="K62" s="409"/>
      <c r="L62" s="409"/>
      <c r="M62" s="1029"/>
    </row>
    <row r="63" spans="1:15" ht="12" customHeight="1">
      <c r="A63" s="454" t="s">
        <v>468</v>
      </c>
      <c r="C63" s="412" t="s">
        <v>514</v>
      </c>
      <c r="D63" s="418"/>
      <c r="E63" s="463"/>
      <c r="F63" s="416"/>
      <c r="G63" s="416"/>
      <c r="H63" s="416"/>
      <c r="I63" s="416"/>
      <c r="J63" s="416"/>
      <c r="K63" s="416"/>
      <c r="L63" s="416"/>
      <c r="M63" s="1030"/>
    </row>
    <row r="64" spans="1:15" ht="12" customHeight="1">
      <c r="A64" s="454">
        <v>2023</v>
      </c>
      <c r="C64" s="405" t="s">
        <v>515</v>
      </c>
      <c r="D64" s="496"/>
      <c r="E64" s="407"/>
      <c r="F64" s="421"/>
      <c r="G64" s="409"/>
      <c r="H64" s="409"/>
      <c r="I64" s="409"/>
      <c r="J64" s="409"/>
      <c r="K64" s="409"/>
      <c r="L64" s="409"/>
      <c r="M64" s="1029"/>
    </row>
    <row r="65" spans="1:13" ht="12" customHeight="1">
      <c r="A65" s="454">
        <v>2024</v>
      </c>
      <c r="C65" s="405" t="s">
        <v>516</v>
      </c>
      <c r="D65" s="496"/>
      <c r="E65" s="407"/>
      <c r="F65" s="421"/>
      <c r="G65" s="409"/>
      <c r="H65" s="409"/>
      <c r="I65" s="409"/>
      <c r="J65" s="409"/>
      <c r="K65" s="409"/>
      <c r="L65" s="409"/>
      <c r="M65" s="1029"/>
    </row>
    <row r="66" spans="1:13" ht="12" customHeight="1">
      <c r="A66" s="454">
        <v>2025</v>
      </c>
      <c r="C66" s="405" t="s">
        <v>517</v>
      </c>
      <c r="D66" s="496"/>
      <c r="E66" s="407"/>
      <c r="F66" s="421"/>
      <c r="G66" s="409"/>
      <c r="H66" s="409"/>
      <c r="I66" s="409"/>
      <c r="J66" s="409"/>
      <c r="K66" s="409"/>
      <c r="L66" s="409"/>
      <c r="M66" s="1029"/>
    </row>
    <row r="67" spans="1:13" ht="12" customHeight="1">
      <c r="A67" s="454">
        <v>2026</v>
      </c>
      <c r="C67" s="405" t="s">
        <v>518</v>
      </c>
      <c r="D67" s="496"/>
      <c r="E67" s="407"/>
      <c r="F67" s="421"/>
      <c r="G67" s="409"/>
      <c r="H67" s="409"/>
      <c r="I67" s="409"/>
      <c r="J67" s="409"/>
      <c r="K67" s="409"/>
      <c r="L67" s="409"/>
      <c r="M67" s="1029"/>
    </row>
    <row r="68" spans="1:13" ht="12" customHeight="1">
      <c r="A68" s="454">
        <v>2027</v>
      </c>
      <c r="C68" s="405" t="s">
        <v>519</v>
      </c>
      <c r="D68" s="497"/>
      <c r="E68" s="427"/>
      <c r="F68" s="428"/>
      <c r="G68" s="460"/>
      <c r="H68" s="460"/>
      <c r="I68" s="460"/>
      <c r="J68" s="460"/>
      <c r="K68" s="460"/>
      <c r="L68" s="460"/>
      <c r="M68" s="1035"/>
    </row>
    <row r="69" spans="1:13" ht="12" customHeight="1">
      <c r="A69" s="454" t="s">
        <v>475</v>
      </c>
      <c r="C69" s="430" t="s">
        <v>916</v>
      </c>
      <c r="D69" s="499"/>
      <c r="E69" s="493"/>
      <c r="F69" s="494"/>
      <c r="G69" s="494"/>
      <c r="H69" s="494"/>
      <c r="I69" s="494"/>
      <c r="J69" s="494"/>
      <c r="K69" s="494"/>
      <c r="L69" s="494"/>
      <c r="M69" s="1036"/>
    </row>
    <row r="70" spans="1:13" ht="4.95" customHeight="1">
      <c r="A70" s="748"/>
      <c r="C70" s="481"/>
      <c r="D70" s="481"/>
      <c r="E70" s="446"/>
      <c r="F70" s="446"/>
      <c r="G70" s="446"/>
      <c r="H70" s="446"/>
      <c r="I70" s="446"/>
      <c r="J70" s="446"/>
      <c r="K70" s="446"/>
      <c r="L70" s="446"/>
      <c r="M70" s="446"/>
    </row>
    <row r="71" spans="1:13" ht="12" customHeight="1">
      <c r="A71" s="454">
        <v>2020</v>
      </c>
      <c r="C71" s="397" t="s">
        <v>521</v>
      </c>
      <c r="D71" s="442">
        <f>'T2 ANSP'!C25</f>
        <v>0</v>
      </c>
      <c r="E71" s="419"/>
      <c r="F71" s="400"/>
      <c r="G71" s="486">
        <v>0</v>
      </c>
      <c r="H71" s="401"/>
      <c r="I71" s="1038"/>
      <c r="J71" s="1038"/>
      <c r="K71" s="1038"/>
      <c r="L71" s="1038"/>
      <c r="M71" s="436">
        <f>D71-SUM(E71:L71)</f>
        <v>0</v>
      </c>
    </row>
    <row r="72" spans="1:13" ht="12" customHeight="1">
      <c r="A72" s="454">
        <v>2021</v>
      </c>
      <c r="C72" s="405" t="s">
        <v>522</v>
      </c>
      <c r="D72" s="443">
        <f>'T2 ANSP'!D25</f>
        <v>0</v>
      </c>
      <c r="E72" s="407"/>
      <c r="F72" s="421"/>
      <c r="G72" s="409"/>
      <c r="H72" s="490">
        <v>0</v>
      </c>
      <c r="I72" s="1039"/>
      <c r="J72" s="1039"/>
      <c r="K72" s="1039"/>
      <c r="L72" s="1039"/>
      <c r="M72" s="439">
        <f>D72-SUM(E72:L72)</f>
        <v>0</v>
      </c>
    </row>
    <row r="73" spans="1:13" ht="12" customHeight="1">
      <c r="A73" s="454">
        <v>2022</v>
      </c>
      <c r="C73" s="405" t="s">
        <v>523</v>
      </c>
      <c r="D73" s="443">
        <f>'T2 ANSP'!E25</f>
        <v>0</v>
      </c>
      <c r="E73" s="407"/>
      <c r="F73" s="421"/>
      <c r="G73" s="409"/>
      <c r="H73" s="409"/>
      <c r="I73" s="1046">
        <v>0</v>
      </c>
      <c r="J73" s="1066"/>
      <c r="K73" s="1066"/>
      <c r="L73" s="1066"/>
      <c r="M73" s="439">
        <f>D73-SUM(E73:L73)</f>
        <v>0</v>
      </c>
    </row>
    <row r="74" spans="1:13" ht="12" customHeight="1">
      <c r="A74" s="454" t="s">
        <v>468</v>
      </c>
      <c r="C74" s="412" t="s">
        <v>524</v>
      </c>
      <c r="D74" s="413">
        <f>SUM(D71:D73)</f>
        <v>0</v>
      </c>
      <c r="E74" s="1062"/>
      <c r="F74" s="1063"/>
      <c r="G74" s="415">
        <f>SUM(G71:G73)</f>
        <v>0</v>
      </c>
      <c r="H74" s="415">
        <f>SUM(H71:H73)</f>
        <v>0</v>
      </c>
      <c r="I74" s="415">
        <f>SUM(I71:I73)</f>
        <v>0</v>
      </c>
      <c r="J74" s="416"/>
      <c r="K74" s="416"/>
      <c r="L74" s="416"/>
      <c r="M74" s="1030"/>
    </row>
    <row r="75" spans="1:13" ht="12" customHeight="1">
      <c r="A75" s="454">
        <v>2023</v>
      </c>
      <c r="C75" s="405" t="s">
        <v>525</v>
      </c>
      <c r="D75" s="443">
        <f>'T2 ANSP'!F25</f>
        <v>0</v>
      </c>
      <c r="E75" s="407"/>
      <c r="F75" s="421"/>
      <c r="G75" s="409"/>
      <c r="H75" s="409"/>
      <c r="I75" s="1042"/>
      <c r="J75" s="422">
        <f>D75</f>
        <v>0</v>
      </c>
      <c r="K75" s="409"/>
      <c r="L75" s="409"/>
      <c r="M75" s="1029"/>
    </row>
    <row r="76" spans="1:13" ht="12" customHeight="1">
      <c r="A76" s="454">
        <v>2024</v>
      </c>
      <c r="C76" s="405" t="s">
        <v>526</v>
      </c>
      <c r="D76" s="443">
        <f>'T2 ANSP'!G25</f>
        <v>0</v>
      </c>
      <c r="E76" s="407"/>
      <c r="F76" s="421"/>
      <c r="G76" s="409"/>
      <c r="H76" s="409"/>
      <c r="I76" s="1042"/>
      <c r="J76" s="409"/>
      <c r="K76" s="422">
        <f>D76</f>
        <v>0</v>
      </c>
      <c r="L76" s="409"/>
      <c r="M76" s="1029"/>
    </row>
    <row r="77" spans="1:13" ht="12" customHeight="1">
      <c r="A77" s="454">
        <v>2025</v>
      </c>
      <c r="C77" s="405" t="s">
        <v>527</v>
      </c>
      <c r="D77" s="443">
        <f>'T2 ANSP'!H25</f>
        <v>0</v>
      </c>
      <c r="E77" s="407"/>
      <c r="F77" s="421"/>
      <c r="G77" s="409"/>
      <c r="H77" s="409"/>
      <c r="I77" s="1042"/>
      <c r="J77" s="409"/>
      <c r="K77" s="409"/>
      <c r="L77" s="422">
        <f>D77</f>
        <v>0</v>
      </c>
      <c r="M77" s="1029"/>
    </row>
    <row r="78" spans="1:13" ht="12" customHeight="1">
      <c r="A78" s="454">
        <v>2026</v>
      </c>
      <c r="C78" s="405" t="s">
        <v>528</v>
      </c>
      <c r="D78" s="443">
        <f>'T2 ANSP'!I25</f>
        <v>0</v>
      </c>
      <c r="E78" s="407"/>
      <c r="F78" s="421"/>
      <c r="G78" s="409"/>
      <c r="H78" s="409"/>
      <c r="I78" s="1042"/>
      <c r="J78" s="409"/>
      <c r="K78" s="409"/>
      <c r="L78" s="409"/>
      <c r="M78" s="439">
        <f>D78</f>
        <v>0</v>
      </c>
    </row>
    <row r="79" spans="1:13" ht="12" customHeight="1">
      <c r="A79" s="454">
        <v>2027</v>
      </c>
      <c r="C79" s="405" t="s">
        <v>529</v>
      </c>
      <c r="D79" s="444">
        <f>'T2 ANSP'!J25</f>
        <v>0</v>
      </c>
      <c r="E79" s="427"/>
      <c r="F79" s="428"/>
      <c r="G79" s="428"/>
      <c r="H79" s="428"/>
      <c r="I79" s="1043"/>
      <c r="J79" s="460"/>
      <c r="K79" s="460"/>
      <c r="L79" s="460"/>
      <c r="M79" s="1056">
        <f>D79</f>
        <v>0</v>
      </c>
    </row>
    <row r="80" spans="1:13" ht="12" customHeight="1">
      <c r="A80" s="454" t="s">
        <v>475</v>
      </c>
      <c r="C80" s="430" t="s">
        <v>917</v>
      </c>
      <c r="D80" s="431">
        <f>SUM(D74:D79)</f>
        <v>0</v>
      </c>
      <c r="E80" s="493"/>
      <c r="F80" s="494"/>
      <c r="G80" s="433">
        <f>SUM(G74:G79)</f>
        <v>0</v>
      </c>
      <c r="H80" s="433">
        <f t="shared" ref="H80" si="6">SUM(H74:H79)</f>
        <v>0</v>
      </c>
      <c r="I80" s="433">
        <f t="shared" ref="I80" si="7">SUM(I74:I79)</f>
        <v>0</v>
      </c>
      <c r="J80" s="433">
        <f t="shared" ref="J80" si="8">SUM(J74:J79)</f>
        <v>0</v>
      </c>
      <c r="K80" s="433">
        <f t="shared" ref="K80" si="9">SUM(K74:K79)</f>
        <v>0</v>
      </c>
      <c r="L80" s="433">
        <f t="shared" ref="L80" si="10">SUM(L74:L79)</f>
        <v>0</v>
      </c>
      <c r="M80" s="1055">
        <f>SUM(M74:M79)</f>
        <v>0</v>
      </c>
    </row>
    <row r="81" spans="1:13" ht="3.6" customHeight="1">
      <c r="A81" s="748"/>
      <c r="C81" s="481"/>
      <c r="D81" s="481"/>
      <c r="E81" s="446"/>
      <c r="F81" s="446"/>
      <c r="G81" s="446"/>
      <c r="H81" s="446"/>
      <c r="I81" s="446"/>
      <c r="J81" s="446"/>
      <c r="K81" s="446"/>
      <c r="L81" s="446"/>
      <c r="M81" s="446"/>
    </row>
    <row r="82" spans="1:13" ht="12" customHeight="1">
      <c r="A82" s="454">
        <v>2020</v>
      </c>
      <c r="C82" s="397" t="s">
        <v>531</v>
      </c>
      <c r="D82" s="442">
        <f>'T2 ANSP'!C26</f>
        <v>0</v>
      </c>
      <c r="E82" s="419"/>
      <c r="F82" s="400"/>
      <c r="G82" s="486">
        <v>0</v>
      </c>
      <c r="H82" s="401"/>
      <c r="I82" s="1038"/>
      <c r="J82" s="1038"/>
      <c r="K82" s="1038"/>
      <c r="L82" s="1038"/>
      <c r="M82" s="436">
        <f>D82-SUM(E82:L82)</f>
        <v>0</v>
      </c>
    </row>
    <row r="83" spans="1:13" ht="12" customHeight="1">
      <c r="A83" s="454">
        <v>2021</v>
      </c>
      <c r="C83" s="405" t="s">
        <v>532</v>
      </c>
      <c r="D83" s="443">
        <f>'T2 ANSP'!D26</f>
        <v>0</v>
      </c>
      <c r="E83" s="407"/>
      <c r="F83" s="421"/>
      <c r="G83" s="409"/>
      <c r="H83" s="490">
        <v>0</v>
      </c>
      <c r="I83" s="1039"/>
      <c r="J83" s="409"/>
      <c r="K83" s="409"/>
      <c r="L83" s="409"/>
      <c r="M83" s="439">
        <f>D83-SUM(E83:L83)</f>
        <v>0</v>
      </c>
    </row>
    <row r="84" spans="1:13" ht="12" customHeight="1">
      <c r="A84" s="454">
        <v>2022</v>
      </c>
      <c r="C84" s="405" t="s">
        <v>533</v>
      </c>
      <c r="D84" s="443">
        <f>'T2 ANSP'!E26</f>
        <v>0</v>
      </c>
      <c r="E84" s="407"/>
      <c r="F84" s="421"/>
      <c r="G84" s="409"/>
      <c r="H84" s="409"/>
      <c r="I84" s="1046">
        <v>0</v>
      </c>
      <c r="J84" s="460"/>
      <c r="K84" s="460"/>
      <c r="L84" s="460"/>
      <c r="M84" s="439">
        <f>D84-SUM(E84:L84)</f>
        <v>0</v>
      </c>
    </row>
    <row r="85" spans="1:13" ht="12" customHeight="1">
      <c r="A85" s="454" t="s">
        <v>468</v>
      </c>
      <c r="C85" s="412" t="s">
        <v>534</v>
      </c>
      <c r="D85" s="413">
        <f>SUM(D82:D84)</f>
        <v>0</v>
      </c>
      <c r="E85" s="1062"/>
      <c r="F85" s="1063"/>
      <c r="G85" s="415">
        <f>SUM(G82:G84)</f>
        <v>0</v>
      </c>
      <c r="H85" s="415">
        <f>SUM(H82:H84)</f>
        <v>0</v>
      </c>
      <c r="I85" s="415">
        <f>SUM(I82:I84)</f>
        <v>0</v>
      </c>
      <c r="J85" s="416"/>
      <c r="K85" s="416"/>
      <c r="L85" s="416"/>
      <c r="M85" s="1030"/>
    </row>
    <row r="86" spans="1:13" ht="12" customHeight="1">
      <c r="A86" s="454">
        <v>2023</v>
      </c>
      <c r="C86" s="405" t="s">
        <v>535</v>
      </c>
      <c r="D86" s="442">
        <f>'T2 ANSP'!F26</f>
        <v>0</v>
      </c>
      <c r="E86" s="407"/>
      <c r="F86" s="421"/>
      <c r="G86" s="409"/>
      <c r="H86" s="409"/>
      <c r="I86" s="1042"/>
      <c r="J86" s="422">
        <f>D86</f>
        <v>0</v>
      </c>
      <c r="K86" s="409"/>
      <c r="L86" s="409"/>
      <c r="M86" s="1029"/>
    </row>
    <row r="87" spans="1:13" ht="12" customHeight="1">
      <c r="A87" s="454">
        <v>2024</v>
      </c>
      <c r="C87" s="405" t="s">
        <v>536</v>
      </c>
      <c r="D87" s="443">
        <f>'T2 ANSP'!G26</f>
        <v>0</v>
      </c>
      <c r="E87" s="407"/>
      <c r="F87" s="421"/>
      <c r="G87" s="409"/>
      <c r="H87" s="409"/>
      <c r="I87" s="1042"/>
      <c r="J87" s="409"/>
      <c r="K87" s="422">
        <f>D87</f>
        <v>0</v>
      </c>
      <c r="L87" s="409"/>
      <c r="M87" s="1029"/>
    </row>
    <row r="88" spans="1:13" ht="12" customHeight="1">
      <c r="A88" s="454">
        <v>2025</v>
      </c>
      <c r="C88" s="405" t="s">
        <v>537</v>
      </c>
      <c r="D88" s="443">
        <f>'T2 ANSP'!H26</f>
        <v>0</v>
      </c>
      <c r="E88" s="407"/>
      <c r="F88" s="421"/>
      <c r="G88" s="409"/>
      <c r="H88" s="409"/>
      <c r="I88" s="1042"/>
      <c r="J88" s="409"/>
      <c r="K88" s="409"/>
      <c r="L88" s="422">
        <f>D88</f>
        <v>0</v>
      </c>
      <c r="M88" s="1029"/>
    </row>
    <row r="89" spans="1:13" ht="12" customHeight="1">
      <c r="A89" s="454">
        <v>2026</v>
      </c>
      <c r="C89" s="405" t="s">
        <v>538</v>
      </c>
      <c r="D89" s="443">
        <f>'T2 ANSP'!I26</f>
        <v>0</v>
      </c>
      <c r="E89" s="407"/>
      <c r="F89" s="421"/>
      <c r="G89" s="409"/>
      <c r="H89" s="409"/>
      <c r="I89" s="1042"/>
      <c r="J89" s="409"/>
      <c r="K89" s="409"/>
      <c r="L89" s="409"/>
      <c r="M89" s="439">
        <f>D89</f>
        <v>0</v>
      </c>
    </row>
    <row r="90" spans="1:13" ht="12" customHeight="1">
      <c r="A90" s="454">
        <v>2027</v>
      </c>
      <c r="C90" s="405" t="s">
        <v>539</v>
      </c>
      <c r="D90" s="444">
        <f>'T2 ANSP'!J26</f>
        <v>0</v>
      </c>
      <c r="E90" s="427"/>
      <c r="F90" s="428"/>
      <c r="G90" s="428"/>
      <c r="H90" s="428"/>
      <c r="I90" s="1043"/>
      <c r="J90" s="460"/>
      <c r="K90" s="460"/>
      <c r="L90" s="460"/>
      <c r="M90" s="1056">
        <f>D90</f>
        <v>0</v>
      </c>
    </row>
    <row r="91" spans="1:13" ht="12" customHeight="1">
      <c r="A91" s="454" t="s">
        <v>475</v>
      </c>
      <c r="C91" s="430" t="s">
        <v>918</v>
      </c>
      <c r="D91" s="431">
        <f>SUM(D85:D90)</f>
        <v>0</v>
      </c>
      <c r="E91" s="493"/>
      <c r="F91" s="494"/>
      <c r="G91" s="433">
        <f>SUM(G85:G90)</f>
        <v>0</v>
      </c>
      <c r="H91" s="433">
        <f t="shared" ref="H91:L91" si="11">SUM(H85:H90)</f>
        <v>0</v>
      </c>
      <c r="I91" s="433">
        <f t="shared" si="11"/>
        <v>0</v>
      </c>
      <c r="J91" s="433">
        <f t="shared" si="11"/>
        <v>0</v>
      </c>
      <c r="K91" s="433">
        <f t="shared" si="11"/>
        <v>0</v>
      </c>
      <c r="L91" s="433">
        <f t="shared" si="11"/>
        <v>0</v>
      </c>
      <c r="M91" s="1055">
        <f>SUM(M85:M90)</f>
        <v>0</v>
      </c>
    </row>
    <row r="92" spans="1:13" ht="3.6" customHeight="1">
      <c r="A92" s="748"/>
      <c r="C92" s="481"/>
      <c r="D92" s="481"/>
      <c r="E92" s="446"/>
      <c r="F92" s="446"/>
      <c r="G92" s="446"/>
      <c r="H92" s="446"/>
      <c r="I92" s="446"/>
      <c r="J92" s="446"/>
      <c r="K92" s="446"/>
      <c r="L92" s="446"/>
      <c r="M92" s="446"/>
    </row>
    <row r="93" spans="1:13" ht="12" customHeight="1">
      <c r="A93" s="454">
        <v>2020</v>
      </c>
      <c r="C93" s="397" t="s">
        <v>541</v>
      </c>
      <c r="D93" s="442">
        <f>'T2 ANSP'!C27</f>
        <v>0</v>
      </c>
      <c r="E93" s="419"/>
      <c r="F93" s="400"/>
      <c r="G93" s="486">
        <v>0</v>
      </c>
      <c r="H93" s="401"/>
      <c r="I93" s="1038"/>
      <c r="J93" s="1038"/>
      <c r="K93" s="1038"/>
      <c r="L93" s="1038"/>
      <c r="M93" s="436">
        <f>D93-SUM(E93:L93)</f>
        <v>0</v>
      </c>
    </row>
    <row r="94" spans="1:13" ht="12" customHeight="1">
      <c r="A94" s="454">
        <v>2021</v>
      </c>
      <c r="C94" s="405" t="s">
        <v>542</v>
      </c>
      <c r="D94" s="443">
        <f>'T2 ANSP'!D27</f>
        <v>0</v>
      </c>
      <c r="E94" s="407"/>
      <c r="F94" s="421"/>
      <c r="G94" s="409"/>
      <c r="H94" s="490">
        <v>0</v>
      </c>
      <c r="I94" s="1039"/>
      <c r="J94" s="1039"/>
      <c r="K94" s="1039"/>
      <c r="L94" s="1039"/>
      <c r="M94" s="439">
        <f>D94-SUM(E94:L94)</f>
        <v>0</v>
      </c>
    </row>
    <row r="95" spans="1:13" ht="12" customHeight="1">
      <c r="A95" s="454">
        <v>2022</v>
      </c>
      <c r="C95" s="405" t="s">
        <v>543</v>
      </c>
      <c r="D95" s="443">
        <f>'T2 ANSP'!E27</f>
        <v>0</v>
      </c>
      <c r="E95" s="407"/>
      <c r="F95" s="421"/>
      <c r="G95" s="409"/>
      <c r="H95" s="409"/>
      <c r="I95" s="1046">
        <v>0</v>
      </c>
      <c r="J95" s="460"/>
      <c r="K95" s="460"/>
      <c r="L95" s="460"/>
      <c r="M95" s="439">
        <f>D95-SUM(E95:L95)</f>
        <v>0</v>
      </c>
    </row>
    <row r="96" spans="1:13" ht="12" customHeight="1">
      <c r="A96" s="454" t="s">
        <v>468</v>
      </c>
      <c r="C96" s="412" t="s">
        <v>928</v>
      </c>
      <c r="D96" s="413">
        <f>SUM(D93:D95)</f>
        <v>0</v>
      </c>
      <c r="E96" s="1062"/>
      <c r="F96" s="1063"/>
      <c r="G96" s="415">
        <f>SUM(G93:G95)</f>
        <v>0</v>
      </c>
      <c r="H96" s="415">
        <f>SUM(H93:H95)</f>
        <v>0</v>
      </c>
      <c r="I96" s="415">
        <f>SUM(I93:I95)</f>
        <v>0</v>
      </c>
      <c r="J96" s="416"/>
      <c r="K96" s="416"/>
      <c r="L96" s="416"/>
      <c r="M96" s="1030"/>
    </row>
    <row r="97" spans="1:15" ht="12" customHeight="1">
      <c r="A97" s="454">
        <v>2023</v>
      </c>
      <c r="C97" s="405" t="s">
        <v>544</v>
      </c>
      <c r="D97" s="443">
        <f>'T2 ANSP'!F27</f>
        <v>0</v>
      </c>
      <c r="E97" s="407"/>
      <c r="F97" s="421"/>
      <c r="G97" s="409"/>
      <c r="H97" s="409"/>
      <c r="I97" s="1042"/>
      <c r="J97" s="422">
        <v>0</v>
      </c>
      <c r="K97" s="409"/>
      <c r="L97" s="409"/>
      <c r="M97" s="1029"/>
    </row>
    <row r="98" spans="1:15" ht="12" customHeight="1">
      <c r="A98" s="454">
        <v>2024</v>
      </c>
      <c r="C98" s="405" t="s">
        <v>545</v>
      </c>
      <c r="D98" s="443">
        <f>'T2 ANSP'!G27</f>
        <v>0</v>
      </c>
      <c r="E98" s="407"/>
      <c r="F98" s="421"/>
      <c r="G98" s="409"/>
      <c r="H98" s="409"/>
      <c r="I98" s="1042"/>
      <c r="J98" s="409"/>
      <c r="K98" s="422">
        <v>0</v>
      </c>
      <c r="L98" s="409"/>
      <c r="M98" s="1029"/>
    </row>
    <row r="99" spans="1:15" ht="12" customHeight="1">
      <c r="A99" s="454">
        <v>2025</v>
      </c>
      <c r="C99" s="405" t="s">
        <v>546</v>
      </c>
      <c r="D99" s="443">
        <f>'T2 ANSP'!H27</f>
        <v>0</v>
      </c>
      <c r="E99" s="407"/>
      <c r="F99" s="421"/>
      <c r="G99" s="409"/>
      <c r="H99" s="409"/>
      <c r="I99" s="1042"/>
      <c r="J99" s="409"/>
      <c r="K99" s="409"/>
      <c r="L99" s="422">
        <v>0</v>
      </c>
      <c r="M99" s="1029"/>
    </row>
    <row r="100" spans="1:15" ht="12" customHeight="1">
      <c r="A100" s="454">
        <v>2026</v>
      </c>
      <c r="C100" s="405" t="s">
        <v>547</v>
      </c>
      <c r="D100" s="443">
        <f>'T2 ANSP'!I27</f>
        <v>0</v>
      </c>
      <c r="E100" s="407"/>
      <c r="F100" s="421"/>
      <c r="G100" s="409"/>
      <c r="H100" s="409"/>
      <c r="I100" s="1042"/>
      <c r="J100" s="409"/>
      <c r="K100" s="409"/>
      <c r="L100" s="409"/>
      <c r="M100" s="439">
        <v>0</v>
      </c>
    </row>
    <row r="101" spans="1:15" ht="12" customHeight="1">
      <c r="A101" s="454">
        <v>2027</v>
      </c>
      <c r="C101" s="405" t="s">
        <v>548</v>
      </c>
      <c r="D101" s="444">
        <f>'T2 ANSP'!J27</f>
        <v>0</v>
      </c>
      <c r="E101" s="427"/>
      <c r="F101" s="428"/>
      <c r="G101" s="428"/>
      <c r="H101" s="428"/>
      <c r="I101" s="1043"/>
      <c r="J101" s="460"/>
      <c r="K101" s="460"/>
      <c r="L101" s="460"/>
      <c r="M101" s="1056">
        <v>0</v>
      </c>
    </row>
    <row r="102" spans="1:15" ht="12" customHeight="1">
      <c r="A102" s="454" t="s">
        <v>475</v>
      </c>
      <c r="C102" s="430" t="s">
        <v>919</v>
      </c>
      <c r="D102" s="431">
        <f>SUM(D96:D101)</f>
        <v>0</v>
      </c>
      <c r="E102" s="493"/>
      <c r="F102" s="494"/>
      <c r="G102" s="433">
        <f>SUM(G96:G101)</f>
        <v>0</v>
      </c>
      <c r="H102" s="433">
        <f t="shared" ref="H102:L102" si="12">SUM(H96:H101)</f>
        <v>0</v>
      </c>
      <c r="I102" s="433">
        <f t="shared" si="12"/>
        <v>0</v>
      </c>
      <c r="J102" s="433">
        <f t="shared" si="12"/>
        <v>0</v>
      </c>
      <c r="K102" s="433">
        <f t="shared" si="12"/>
        <v>0</v>
      </c>
      <c r="L102" s="433">
        <f t="shared" si="12"/>
        <v>0</v>
      </c>
      <c r="M102" s="1055">
        <f>SUM(M96:M101)</f>
        <v>0</v>
      </c>
    </row>
    <row r="103" spans="1:15" ht="3.6" customHeight="1">
      <c r="A103" s="748"/>
      <c r="C103" s="481"/>
      <c r="D103" s="481"/>
      <c r="E103" s="446"/>
      <c r="F103" s="446"/>
      <c r="G103" s="446"/>
      <c r="H103" s="446"/>
      <c r="I103" s="446"/>
      <c r="J103" s="446"/>
      <c r="K103" s="446"/>
      <c r="L103" s="446"/>
      <c r="M103" s="446"/>
    </row>
    <row r="104" spans="1:15" ht="12" customHeight="1">
      <c r="A104" s="454">
        <v>2017</v>
      </c>
      <c r="C104" s="435" t="s">
        <v>550</v>
      </c>
      <c r="D104" s="973">
        <v>12063.436519568942</v>
      </c>
      <c r="E104" s="985">
        <v>0</v>
      </c>
      <c r="F104" s="985">
        <v>0</v>
      </c>
      <c r="G104" s="985">
        <v>8029.8140000000003</v>
      </c>
      <c r="H104" s="1067"/>
      <c r="I104" s="1068"/>
      <c r="J104" s="1068"/>
      <c r="K104" s="1068"/>
      <c r="L104" s="1068"/>
      <c r="M104" s="1057">
        <f>D104-SUM(E104:L104)</f>
        <v>4033.6225195689422</v>
      </c>
      <c r="O104" s="1362" t="s">
        <v>696</v>
      </c>
    </row>
    <row r="105" spans="1:15" ht="12" customHeight="1">
      <c r="A105" s="454">
        <v>2018</v>
      </c>
      <c r="C105" s="438" t="s">
        <v>551</v>
      </c>
      <c r="D105" s="974">
        <v>12769.668586475647</v>
      </c>
      <c r="E105" s="986">
        <v>1590.6636098454458</v>
      </c>
      <c r="F105" s="986">
        <v>7943.6378231149201</v>
      </c>
      <c r="G105" s="986">
        <v>0</v>
      </c>
      <c r="H105" s="1069"/>
      <c r="I105" s="1070"/>
      <c r="J105" s="1070"/>
      <c r="K105" s="1070"/>
      <c r="L105" s="1070"/>
      <c r="M105" s="1058">
        <f>D105-SUM(E105:L105)</f>
        <v>3235.3671535152807</v>
      </c>
      <c r="O105" s="1362" t="s">
        <v>697</v>
      </c>
    </row>
    <row r="106" spans="1:15" ht="12" customHeight="1">
      <c r="A106" s="454">
        <v>2019</v>
      </c>
      <c r="C106" s="438" t="s">
        <v>552</v>
      </c>
      <c r="D106" s="976">
        <v>15675.822893107554</v>
      </c>
      <c r="E106" s="986">
        <v>0</v>
      </c>
      <c r="F106" s="986">
        <v>0</v>
      </c>
      <c r="G106" s="986">
        <v>0</v>
      </c>
      <c r="H106" s="1069"/>
      <c r="I106" s="1070"/>
      <c r="J106" s="1070"/>
      <c r="K106" s="1070"/>
      <c r="L106" s="1070"/>
      <c r="M106" s="1058">
        <f>D106-SUM(E106:L106)</f>
        <v>15675.822893107554</v>
      </c>
      <c r="O106" s="1362" t="s">
        <v>697</v>
      </c>
    </row>
    <row r="107" spans="1:15">
      <c r="A107" s="454" t="s">
        <v>463</v>
      </c>
      <c r="C107" s="430" t="s">
        <v>553</v>
      </c>
      <c r="D107" s="980">
        <f>SUM(D104:D106,D256)</f>
        <v>90672.927999152147</v>
      </c>
      <c r="E107" s="981">
        <f>SUM(E104:E106,E256)</f>
        <v>1590.6636098454458</v>
      </c>
      <c r="F107" s="982">
        <f>SUM(F104:F106,F256)</f>
        <v>7943.6378231149201</v>
      </c>
      <c r="G107" s="982">
        <f>SUM(G104:G106,G256)</f>
        <v>8029.8140000000003</v>
      </c>
      <c r="H107" s="493"/>
      <c r="I107" s="1032"/>
      <c r="J107" s="1032"/>
      <c r="K107" s="1032"/>
      <c r="L107" s="1032"/>
      <c r="M107" s="983">
        <f>SUM(M104:M106,M256)</f>
        <v>42060.464791408114</v>
      </c>
      <c r="O107" s="1365"/>
    </row>
    <row r="108" spans="1:15">
      <c r="A108" s="454">
        <v>2020</v>
      </c>
      <c r="C108" s="435" t="s">
        <v>554</v>
      </c>
      <c r="D108" s="973">
        <f>D107-SUM(E107:G107)</f>
        <v>73108.812566191773</v>
      </c>
      <c r="E108" s="1067"/>
      <c r="F108" s="1067"/>
      <c r="G108" s="1067"/>
      <c r="H108" s="985">
        <f>H256</f>
        <v>9151.5062925344555</v>
      </c>
      <c r="I108" s="985">
        <f t="shared" ref="I108:L108" si="13">I256</f>
        <v>7789.8393842788555</v>
      </c>
      <c r="J108" s="985">
        <f t="shared" si="13"/>
        <v>4736.3740133098581</v>
      </c>
      <c r="K108" s="985">
        <f t="shared" si="13"/>
        <v>4687.164318203284</v>
      </c>
      <c r="L108" s="985">
        <f t="shared" si="13"/>
        <v>4683.4637664572128</v>
      </c>
      <c r="M108" s="1057">
        <f>D108-SUM(E108:I108)</f>
        <v>56167.466889378462</v>
      </c>
      <c r="O108" s="1366" t="s">
        <v>874</v>
      </c>
    </row>
    <row r="109" spans="1:15">
      <c r="A109" s="454">
        <v>2021</v>
      </c>
      <c r="C109" s="438" t="s">
        <v>555</v>
      </c>
      <c r="D109" s="974">
        <v>0</v>
      </c>
      <c r="E109" s="1069"/>
      <c r="F109" s="1069"/>
      <c r="G109" s="1069"/>
      <c r="H109" s="986">
        <v>0</v>
      </c>
      <c r="I109" s="986">
        <v>0</v>
      </c>
      <c r="J109" s="986">
        <v>0</v>
      </c>
      <c r="K109" s="986">
        <v>0</v>
      </c>
      <c r="L109" s="986">
        <v>0</v>
      </c>
      <c r="M109" s="1058">
        <f>D109-SUM(E109:I109)</f>
        <v>0</v>
      </c>
      <c r="O109" s="1365"/>
    </row>
    <row r="110" spans="1:15">
      <c r="A110" s="454">
        <v>2022</v>
      </c>
      <c r="C110" s="438" t="s">
        <v>556</v>
      </c>
      <c r="D110" s="976">
        <v>0</v>
      </c>
      <c r="E110" s="1069"/>
      <c r="F110" s="1069"/>
      <c r="G110" s="1069"/>
      <c r="H110" s="986">
        <v>0</v>
      </c>
      <c r="I110" s="986">
        <v>0</v>
      </c>
      <c r="J110" s="986">
        <v>0</v>
      </c>
      <c r="K110" s="986">
        <v>0</v>
      </c>
      <c r="L110" s="986">
        <v>0</v>
      </c>
      <c r="M110" s="1058">
        <f>D110-SUM(E110:I110)</f>
        <v>0</v>
      </c>
      <c r="O110" s="1365"/>
    </row>
    <row r="111" spans="1:15">
      <c r="A111" s="454" t="s">
        <v>475</v>
      </c>
      <c r="C111" s="430" t="s">
        <v>557</v>
      </c>
      <c r="D111" s="980">
        <f>SUM(D108:D110)</f>
        <v>73108.812566191773</v>
      </c>
      <c r="E111" s="982"/>
      <c r="F111" s="982"/>
      <c r="G111" s="982"/>
      <c r="H111" s="982">
        <f t="shared" ref="H111:M111" si="14">SUM(H108:H110)</f>
        <v>9151.5062925344555</v>
      </c>
      <c r="I111" s="982">
        <f t="shared" si="14"/>
        <v>7789.8393842788555</v>
      </c>
      <c r="J111" s="982">
        <f t="shared" si="14"/>
        <v>4736.3740133098581</v>
      </c>
      <c r="K111" s="982">
        <f t="shared" si="14"/>
        <v>4687.164318203284</v>
      </c>
      <c r="L111" s="982">
        <f t="shared" si="14"/>
        <v>4683.4637664572128</v>
      </c>
      <c r="M111" s="982">
        <f t="shared" si="14"/>
        <v>56167.466889378462</v>
      </c>
      <c r="N111"/>
      <c r="O111" s="515"/>
    </row>
    <row r="112" spans="1:15" ht="3.6" customHeight="1">
      <c r="A112" s="748"/>
      <c r="C112" s="481"/>
      <c r="D112" s="481"/>
      <c r="E112" s="446"/>
      <c r="F112" s="446"/>
      <c r="G112" s="446"/>
      <c r="H112" s="446"/>
      <c r="I112" s="446"/>
      <c r="J112" s="446"/>
      <c r="K112" s="446"/>
      <c r="L112" s="446"/>
      <c r="M112" s="446">
        <f>SUM(M111)</f>
        <v>56167.466889378462</v>
      </c>
    </row>
    <row r="113" spans="1:15" ht="12" customHeight="1">
      <c r="A113" s="454">
        <v>2017</v>
      </c>
      <c r="C113" s="435" t="s">
        <v>558</v>
      </c>
      <c r="D113" s="474">
        <v>0</v>
      </c>
      <c r="E113" s="779">
        <v>0</v>
      </c>
      <c r="F113" s="486">
        <v>0</v>
      </c>
      <c r="G113" s="486">
        <v>0</v>
      </c>
      <c r="H113" s="486">
        <v>0</v>
      </c>
      <c r="I113" s="1044">
        <v>0</v>
      </c>
      <c r="J113" s="1044"/>
      <c r="K113" s="1044"/>
      <c r="L113" s="1044"/>
      <c r="M113" s="436">
        <f t="shared" ref="M113" si="15">D113-SUM(E113:I113)</f>
        <v>0</v>
      </c>
      <c r="O113" s="1362" t="s">
        <v>698</v>
      </c>
    </row>
    <row r="114" spans="1:15" ht="12" customHeight="1">
      <c r="A114" s="454">
        <v>2018</v>
      </c>
      <c r="C114" s="438" t="s">
        <v>559</v>
      </c>
      <c r="D114" s="476">
        <v>-264.10899999999998</v>
      </c>
      <c r="E114" s="440">
        <f>+D114</f>
        <v>-264.10899999999998</v>
      </c>
      <c r="F114" s="409"/>
      <c r="G114" s="409"/>
      <c r="H114" s="409"/>
      <c r="I114" s="1042"/>
      <c r="J114" s="1042"/>
      <c r="K114" s="1042"/>
      <c r="L114" s="1042"/>
      <c r="M114" s="1029"/>
      <c r="O114" s="1362" t="s">
        <v>699</v>
      </c>
    </row>
    <row r="115" spans="1:15" ht="12" customHeight="1">
      <c r="A115" s="454">
        <v>2019</v>
      </c>
      <c r="C115" s="438" t="s">
        <v>560</v>
      </c>
      <c r="D115" s="502">
        <v>228.011</v>
      </c>
      <c r="E115" s="407"/>
      <c r="F115" s="408">
        <f>+D115</f>
        <v>228.011</v>
      </c>
      <c r="G115" s="409"/>
      <c r="H115" s="409"/>
      <c r="I115" s="1039"/>
      <c r="J115" s="1039"/>
      <c r="K115" s="1039"/>
      <c r="L115" s="1039"/>
      <c r="M115" s="1029"/>
      <c r="O115" s="1367" t="s">
        <v>700</v>
      </c>
    </row>
    <row r="116" spans="1:15" ht="12" customHeight="1">
      <c r="A116" s="454" t="s">
        <v>463</v>
      </c>
      <c r="C116" s="412" t="s">
        <v>561</v>
      </c>
      <c r="D116" s="413">
        <f>SUM(D113:D115)</f>
        <v>-36.097999999999985</v>
      </c>
      <c r="E116" s="414">
        <f t="shared" ref="E116:M116" si="16">SUM(E113:E115)</f>
        <v>-264.10899999999998</v>
      </c>
      <c r="F116" s="415">
        <f t="shared" si="16"/>
        <v>228.011</v>
      </c>
      <c r="G116" s="415">
        <f t="shared" si="16"/>
        <v>0</v>
      </c>
      <c r="H116" s="415">
        <f t="shared" si="16"/>
        <v>0</v>
      </c>
      <c r="I116" s="450">
        <f t="shared" si="16"/>
        <v>0</v>
      </c>
      <c r="J116" s="450"/>
      <c r="K116" s="450"/>
      <c r="L116" s="450"/>
      <c r="M116" s="1031">
        <f t="shared" si="16"/>
        <v>0</v>
      </c>
    </row>
    <row r="117" spans="1:15" ht="12" customHeight="1">
      <c r="A117" s="454">
        <v>2020</v>
      </c>
      <c r="C117" s="397" t="s">
        <v>562</v>
      </c>
      <c r="D117" s="1022">
        <f>'T2 ANSP'!C54</f>
        <v>0</v>
      </c>
      <c r="E117" s="419"/>
      <c r="F117" s="400"/>
      <c r="G117" s="1021">
        <f>D117</f>
        <v>0</v>
      </c>
      <c r="H117" s="401"/>
      <c r="I117" s="1038"/>
      <c r="J117" s="1060"/>
      <c r="K117" s="1038"/>
      <c r="L117" s="409"/>
      <c r="M117" s="1029"/>
      <c r="O117" s="1363" t="s">
        <v>701</v>
      </c>
    </row>
    <row r="118" spans="1:15" ht="12" customHeight="1">
      <c r="A118" s="454">
        <v>2021</v>
      </c>
      <c r="C118" s="405" t="s">
        <v>563</v>
      </c>
      <c r="D118" s="448">
        <f>'T2 ANSP'!D54</f>
        <v>0</v>
      </c>
      <c r="E118" s="407"/>
      <c r="F118" s="421"/>
      <c r="G118" s="409"/>
      <c r="H118" s="422">
        <f>D118</f>
        <v>0</v>
      </c>
      <c r="I118" s="1039"/>
      <c r="J118" s="1033"/>
      <c r="K118" s="1039"/>
      <c r="L118" s="409"/>
      <c r="M118" s="1029"/>
    </row>
    <row r="119" spans="1:15" ht="12" customHeight="1">
      <c r="A119" s="454">
        <v>2022</v>
      </c>
      <c r="C119" s="405" t="s">
        <v>564</v>
      </c>
      <c r="D119" s="448">
        <f>'T2 ANSP'!E54</f>
        <v>0</v>
      </c>
      <c r="E119" s="407"/>
      <c r="F119" s="421"/>
      <c r="G119" s="409"/>
      <c r="H119" s="409"/>
      <c r="I119" s="1041">
        <f>D119</f>
        <v>0</v>
      </c>
      <c r="J119" s="428"/>
      <c r="K119" s="460"/>
      <c r="L119" s="460"/>
      <c r="M119" s="1029"/>
    </row>
    <row r="120" spans="1:15" ht="12" customHeight="1">
      <c r="A120" s="454" t="s">
        <v>468</v>
      </c>
      <c r="C120" s="412" t="s">
        <v>565</v>
      </c>
      <c r="D120" s="413">
        <f>SUM(D117:D119)</f>
        <v>0</v>
      </c>
      <c r="E120" s="1062"/>
      <c r="F120" s="1063"/>
      <c r="G120" s="415">
        <f>SUM(G117:G119)</f>
        <v>0</v>
      </c>
      <c r="H120" s="415">
        <f>SUM(H117:H119)</f>
        <v>0</v>
      </c>
      <c r="I120" s="415">
        <f>SUM(I117:I119)</f>
        <v>0</v>
      </c>
      <c r="J120" s="416"/>
      <c r="K120" s="416"/>
      <c r="L120" s="416"/>
      <c r="M120" s="1030"/>
    </row>
    <row r="121" spans="1:15" ht="12" customHeight="1">
      <c r="A121" s="454">
        <v>2023</v>
      </c>
      <c r="C121" s="405" t="s">
        <v>566</v>
      </c>
      <c r="D121" s="448">
        <f>'T2 ANSP'!F54</f>
        <v>0</v>
      </c>
      <c r="E121" s="407"/>
      <c r="F121" s="421"/>
      <c r="G121" s="409"/>
      <c r="H121" s="409"/>
      <c r="I121" s="409"/>
      <c r="J121" s="422">
        <v>0</v>
      </c>
      <c r="K121" s="409"/>
      <c r="L121" s="409"/>
      <c r="M121" s="1029"/>
    </row>
    <row r="122" spans="1:15" ht="12" customHeight="1">
      <c r="A122" s="454">
        <v>2024</v>
      </c>
      <c r="C122" s="405" t="s">
        <v>567</v>
      </c>
      <c r="D122" s="448">
        <f>'T2 ANSP'!G54</f>
        <v>0</v>
      </c>
      <c r="E122" s="407"/>
      <c r="F122" s="421"/>
      <c r="G122" s="409"/>
      <c r="H122" s="409"/>
      <c r="I122" s="409"/>
      <c r="J122" s="409"/>
      <c r="K122" s="422">
        <v>0</v>
      </c>
      <c r="L122" s="409"/>
      <c r="M122" s="1029"/>
    </row>
    <row r="123" spans="1:15" ht="12" customHeight="1">
      <c r="A123" s="454">
        <v>2025</v>
      </c>
      <c r="C123" s="405" t="s">
        <v>568</v>
      </c>
      <c r="D123" s="448">
        <f>'T2 ANSP'!H54</f>
        <v>0</v>
      </c>
      <c r="E123" s="407"/>
      <c r="F123" s="421"/>
      <c r="G123" s="409"/>
      <c r="H123" s="409"/>
      <c r="I123" s="409"/>
      <c r="J123" s="409"/>
      <c r="K123" s="409"/>
      <c r="L123" s="422">
        <v>0</v>
      </c>
      <c r="M123" s="1029"/>
    </row>
    <row r="124" spans="1:15" ht="12" customHeight="1">
      <c r="A124" s="454">
        <v>2026</v>
      </c>
      <c r="C124" s="405" t="s">
        <v>569</v>
      </c>
      <c r="D124" s="448">
        <f>'T2 ANSP'!I54</f>
        <v>0</v>
      </c>
      <c r="E124" s="407"/>
      <c r="F124" s="421"/>
      <c r="G124" s="409"/>
      <c r="H124" s="409"/>
      <c r="I124" s="409"/>
      <c r="J124" s="409"/>
      <c r="K124" s="409"/>
      <c r="L124" s="409"/>
      <c r="M124" s="439">
        <v>0</v>
      </c>
    </row>
    <row r="125" spans="1:15" ht="12" customHeight="1">
      <c r="A125" s="454">
        <v>2027</v>
      </c>
      <c r="C125" s="405" t="s">
        <v>570</v>
      </c>
      <c r="D125" s="449">
        <f>'T2 ANSP'!J54</f>
        <v>0</v>
      </c>
      <c r="E125" s="427"/>
      <c r="F125" s="428"/>
      <c r="G125" s="428"/>
      <c r="H125" s="428"/>
      <c r="I125" s="428"/>
      <c r="J125" s="428"/>
      <c r="K125" s="428"/>
      <c r="L125" s="428"/>
      <c r="M125" s="1056">
        <v>0</v>
      </c>
    </row>
    <row r="126" spans="1:15" ht="12" customHeight="1">
      <c r="A126" s="454" t="s">
        <v>475</v>
      </c>
      <c r="C126" s="430" t="s">
        <v>920</v>
      </c>
      <c r="D126" s="431">
        <f>SUM(D121:D125)+D116+D120</f>
        <v>-36.097999999999985</v>
      </c>
      <c r="E126" s="479">
        <f>SUM(E121:E125)+E116+E120</f>
        <v>-264.10899999999998</v>
      </c>
      <c r="F126" s="479">
        <f>SUM(F121:F125)+F116+F120</f>
        <v>228.011</v>
      </c>
      <c r="G126" s="479">
        <f>SUM(G121:G125)+G116+G120</f>
        <v>0</v>
      </c>
      <c r="H126" s="479">
        <f t="shared" ref="H126:M126" si="17">SUM(H121:H125)+H116+H120</f>
        <v>0</v>
      </c>
      <c r="I126" s="479">
        <f>SUM(I121:I125)+I116+I120</f>
        <v>0</v>
      </c>
      <c r="J126" s="479">
        <f t="shared" si="17"/>
        <v>0</v>
      </c>
      <c r="K126" s="479">
        <f>SUM(K121:K125)+K116+K120</f>
        <v>0</v>
      </c>
      <c r="L126" s="479">
        <f t="shared" si="17"/>
        <v>0</v>
      </c>
      <c r="M126" s="1055">
        <f t="shared" si="17"/>
        <v>0</v>
      </c>
    </row>
    <row r="127" spans="1:15" ht="4.2" customHeight="1">
      <c r="A127" s="748"/>
      <c r="C127" s="481"/>
      <c r="D127" s="481"/>
      <c r="E127" s="481"/>
      <c r="F127" s="481"/>
      <c r="G127" s="481"/>
      <c r="H127" s="481"/>
      <c r="I127" s="504"/>
      <c r="J127" s="504"/>
      <c r="K127" s="504"/>
      <c r="L127" s="504"/>
      <c r="M127" s="481"/>
    </row>
    <row r="128" spans="1:15" ht="12" customHeight="1">
      <c r="A128" s="454">
        <v>2017</v>
      </c>
      <c r="C128" s="397" t="s">
        <v>572</v>
      </c>
      <c r="D128" s="474">
        <v>0</v>
      </c>
      <c r="E128" s="485">
        <v>0</v>
      </c>
      <c r="F128" s="486">
        <v>0</v>
      </c>
      <c r="G128" s="486">
        <v>0</v>
      </c>
      <c r="H128" s="486">
        <v>0</v>
      </c>
      <c r="I128" s="1044">
        <v>0</v>
      </c>
      <c r="J128" s="1044">
        <v>0</v>
      </c>
      <c r="K128" s="1044">
        <v>0</v>
      </c>
      <c r="L128" s="1044">
        <v>0</v>
      </c>
      <c r="M128" s="1034"/>
    </row>
    <row r="129" spans="1:15" ht="12" customHeight="1">
      <c r="A129" s="454">
        <v>2018</v>
      </c>
      <c r="C129" s="405" t="s">
        <v>573</v>
      </c>
      <c r="D129" s="476">
        <v>0</v>
      </c>
      <c r="E129" s="489">
        <v>0</v>
      </c>
      <c r="F129" s="490">
        <v>0</v>
      </c>
      <c r="G129" s="490">
        <v>0</v>
      </c>
      <c r="H129" s="490">
        <v>0</v>
      </c>
      <c r="I129" s="1045">
        <v>0</v>
      </c>
      <c r="J129" s="1045">
        <v>0</v>
      </c>
      <c r="K129" s="1045">
        <v>0</v>
      </c>
      <c r="L129" s="1045">
        <v>0</v>
      </c>
      <c r="M129" s="1029"/>
    </row>
    <row r="130" spans="1:15" ht="12" customHeight="1">
      <c r="A130" s="454">
        <v>2019</v>
      </c>
      <c r="C130" s="405" t="s">
        <v>574</v>
      </c>
      <c r="D130" s="476">
        <v>0</v>
      </c>
      <c r="E130" s="490">
        <v>0</v>
      </c>
      <c r="F130" s="490">
        <v>0</v>
      </c>
      <c r="G130" s="490">
        <v>0</v>
      </c>
      <c r="H130" s="490">
        <v>0</v>
      </c>
      <c r="I130" s="1045">
        <v>0</v>
      </c>
      <c r="J130" s="1045">
        <v>0</v>
      </c>
      <c r="K130" s="1045">
        <v>0</v>
      </c>
      <c r="L130" s="1045">
        <v>0</v>
      </c>
      <c r="M130" s="1029"/>
    </row>
    <row r="131" spans="1:15" ht="12" customHeight="1">
      <c r="A131" s="454" t="s">
        <v>463</v>
      </c>
      <c r="C131" s="412" t="s">
        <v>575</v>
      </c>
      <c r="D131" s="413">
        <f>SUM(D128:D130)</f>
        <v>0</v>
      </c>
      <c r="E131" s="414">
        <f t="shared" ref="E131:I131" si="18">SUM(E128:E130)</f>
        <v>0</v>
      </c>
      <c r="F131" s="415">
        <f t="shared" si="18"/>
        <v>0</v>
      </c>
      <c r="G131" s="415">
        <f t="shared" si="18"/>
        <v>0</v>
      </c>
      <c r="H131" s="415">
        <f t="shared" si="18"/>
        <v>0</v>
      </c>
      <c r="I131" s="450">
        <f t="shared" si="18"/>
        <v>0</v>
      </c>
      <c r="J131" s="450">
        <f t="shared" ref="J131:L131" si="19">SUM(J128:J130)</f>
        <v>0</v>
      </c>
      <c r="K131" s="450">
        <f t="shared" si="19"/>
        <v>0</v>
      </c>
      <c r="L131" s="450">
        <f t="shared" si="19"/>
        <v>0</v>
      </c>
      <c r="M131" s="1030"/>
    </row>
    <row r="132" spans="1:15" ht="12" customHeight="1">
      <c r="A132" s="454">
        <v>2020</v>
      </c>
      <c r="C132" s="397" t="s">
        <v>576</v>
      </c>
      <c r="D132" s="451">
        <f>'T2 ANSP'!C59</f>
        <v>0</v>
      </c>
      <c r="E132" s="419"/>
      <c r="F132" s="400"/>
      <c r="G132" s="420">
        <f>+D132</f>
        <v>0</v>
      </c>
      <c r="H132" s="401"/>
      <c r="I132" s="1038"/>
      <c r="J132" s="1060"/>
      <c r="K132" s="1060"/>
      <c r="L132" s="1060"/>
      <c r="M132" s="1034"/>
    </row>
    <row r="133" spans="1:15" ht="12" customHeight="1">
      <c r="A133" s="454">
        <v>2021</v>
      </c>
      <c r="C133" s="405" t="s">
        <v>577</v>
      </c>
      <c r="D133" s="452">
        <f>'T2 ANSP'!D59</f>
        <v>0</v>
      </c>
      <c r="E133" s="407"/>
      <c r="F133" s="421"/>
      <c r="G133" s="409"/>
      <c r="H133" s="422">
        <f>+D133</f>
        <v>0</v>
      </c>
      <c r="I133" s="1039"/>
      <c r="J133" s="1033"/>
      <c r="K133" s="1033"/>
      <c r="L133" s="1033"/>
      <c r="M133" s="1029"/>
    </row>
    <row r="134" spans="1:15" ht="12" customHeight="1">
      <c r="A134" s="454">
        <v>2022</v>
      </c>
      <c r="C134" s="405" t="s">
        <v>578</v>
      </c>
      <c r="D134" s="452">
        <f>'T2 ANSP'!E59</f>
        <v>0</v>
      </c>
      <c r="E134" s="407"/>
      <c r="F134" s="421"/>
      <c r="G134" s="409"/>
      <c r="H134" s="409"/>
      <c r="I134" s="1041">
        <f>+D134</f>
        <v>0</v>
      </c>
      <c r="J134" s="446"/>
      <c r="K134" s="446"/>
      <c r="L134" s="446"/>
      <c r="M134" s="1029"/>
    </row>
    <row r="135" spans="1:15" ht="12" customHeight="1">
      <c r="A135" s="454" t="s">
        <v>468</v>
      </c>
      <c r="C135" s="412" t="s">
        <v>579</v>
      </c>
      <c r="D135" s="413">
        <f>SUM(D132:D134)</f>
        <v>0</v>
      </c>
      <c r="E135" s="1062"/>
      <c r="F135" s="1063"/>
      <c r="G135" s="415">
        <f>SUM(G132:G134)</f>
        <v>0</v>
      </c>
      <c r="H135" s="415">
        <f>SUM(H132:H134)</f>
        <v>0</v>
      </c>
      <c r="I135" s="415">
        <f>SUM(I132:I134)</f>
        <v>0</v>
      </c>
      <c r="J135" s="416"/>
      <c r="K135" s="416"/>
      <c r="L135" s="416"/>
      <c r="M135" s="1030"/>
    </row>
    <row r="136" spans="1:15" ht="12" customHeight="1">
      <c r="A136" s="454">
        <v>2023</v>
      </c>
      <c r="C136" s="405" t="s">
        <v>580</v>
      </c>
      <c r="D136" s="452">
        <f>'T2 ANSP'!F59</f>
        <v>0</v>
      </c>
      <c r="E136" s="407"/>
      <c r="F136" s="421"/>
      <c r="G136" s="409"/>
      <c r="H136" s="409"/>
      <c r="I136" s="409"/>
      <c r="J136" s="422">
        <f>D136</f>
        <v>0</v>
      </c>
      <c r="K136" s="409"/>
      <c r="L136" s="409"/>
      <c r="M136" s="1029"/>
    </row>
    <row r="137" spans="1:15" ht="12" customHeight="1">
      <c r="A137" s="454">
        <v>2024</v>
      </c>
      <c r="C137" s="405" t="s">
        <v>581</v>
      </c>
      <c r="D137" s="452">
        <f>'T2 ANSP'!G59</f>
        <v>0</v>
      </c>
      <c r="E137" s="407"/>
      <c r="F137" s="421"/>
      <c r="G137" s="409"/>
      <c r="H137" s="409"/>
      <c r="I137" s="409"/>
      <c r="J137" s="409"/>
      <c r="K137" s="422">
        <f>D137</f>
        <v>0</v>
      </c>
      <c r="L137" s="409"/>
      <c r="M137" s="1029"/>
    </row>
    <row r="138" spans="1:15" ht="12" customHeight="1">
      <c r="A138" s="454">
        <v>2025</v>
      </c>
      <c r="C138" s="405" t="s">
        <v>582</v>
      </c>
      <c r="D138" s="452">
        <f>'T2 ANSP'!H59</f>
        <v>0</v>
      </c>
      <c r="E138" s="407"/>
      <c r="F138" s="421"/>
      <c r="G138" s="409"/>
      <c r="H138" s="409"/>
      <c r="I138" s="409"/>
      <c r="J138" s="409"/>
      <c r="K138" s="409"/>
      <c r="L138" s="422">
        <f>D138</f>
        <v>0</v>
      </c>
      <c r="M138" s="1029"/>
    </row>
    <row r="139" spans="1:15" ht="12" customHeight="1">
      <c r="A139" s="454">
        <v>2026</v>
      </c>
      <c r="C139" s="405" t="s">
        <v>583</v>
      </c>
      <c r="D139" s="452">
        <f>'T2 ANSP'!I59</f>
        <v>0</v>
      </c>
      <c r="E139" s="407"/>
      <c r="F139" s="421"/>
      <c r="G139" s="409"/>
      <c r="H139" s="409"/>
      <c r="I139" s="409"/>
      <c r="J139" s="409"/>
      <c r="K139" s="409"/>
      <c r="L139" s="409"/>
      <c r="M139" s="439">
        <f>D139</f>
        <v>0</v>
      </c>
    </row>
    <row r="140" spans="1:15" ht="12" customHeight="1">
      <c r="A140" s="454">
        <v>2027</v>
      </c>
      <c r="C140" s="405" t="s">
        <v>584</v>
      </c>
      <c r="D140" s="453">
        <f>'T2 ANSP'!J59</f>
        <v>0</v>
      </c>
      <c r="E140" s="427"/>
      <c r="F140" s="428"/>
      <c r="G140" s="428"/>
      <c r="H140" s="428"/>
      <c r="I140" s="428"/>
      <c r="J140" s="428"/>
      <c r="K140" s="428"/>
      <c r="L140" s="428"/>
      <c r="M140" s="1056">
        <f>D140</f>
        <v>0</v>
      </c>
    </row>
    <row r="141" spans="1:15" ht="12" customHeight="1">
      <c r="A141" s="454" t="s">
        <v>475</v>
      </c>
      <c r="C141" s="430" t="s">
        <v>921</v>
      </c>
      <c r="D141" s="431">
        <f>SUM(D136:D140)+D131+D135+D260</f>
        <v>0</v>
      </c>
      <c r="E141" s="479">
        <f>SUM(E136:E140)+E131+E135+E260</f>
        <v>0</v>
      </c>
      <c r="F141" s="433">
        <f>SUM(F136:F140)+F131+F135+F260</f>
        <v>0</v>
      </c>
      <c r="G141" s="433">
        <f t="shared" ref="G141" si="20">SUM(G136:G140)+G131+G135+G260</f>
        <v>0</v>
      </c>
      <c r="H141" s="433">
        <f>SUM(H136:H140)+H131+H135+H260</f>
        <v>0</v>
      </c>
      <c r="I141" s="480">
        <f t="shared" ref="I141:M141" si="21">SUM(I136:I140)+I131+I135+I260</f>
        <v>0</v>
      </c>
      <c r="J141" s="480">
        <f t="shared" si="21"/>
        <v>0</v>
      </c>
      <c r="K141" s="480">
        <f t="shared" si="21"/>
        <v>0</v>
      </c>
      <c r="L141" s="480">
        <f t="shared" si="21"/>
        <v>0</v>
      </c>
      <c r="M141" s="1055">
        <f t="shared" si="21"/>
        <v>0</v>
      </c>
    </row>
    <row r="142" spans="1:15" ht="4.95" customHeight="1">
      <c r="A142" s="748"/>
      <c r="C142" s="481"/>
      <c r="D142" s="481"/>
      <c r="E142" s="446"/>
      <c r="F142" s="446"/>
      <c r="G142" s="446"/>
      <c r="H142" s="446"/>
      <c r="I142" s="446"/>
      <c r="J142" s="446"/>
      <c r="K142" s="446"/>
      <c r="L142" s="446"/>
      <c r="M142" s="446"/>
    </row>
    <row r="143" spans="1:15" ht="12" customHeight="1">
      <c r="A143" s="454">
        <v>2017</v>
      </c>
      <c r="C143" s="397" t="s">
        <v>586</v>
      </c>
      <c r="D143" s="474">
        <v>0</v>
      </c>
      <c r="E143" s="485">
        <v>0</v>
      </c>
      <c r="F143" s="486">
        <v>0</v>
      </c>
      <c r="G143" s="486">
        <v>0</v>
      </c>
      <c r="H143" s="486">
        <v>0</v>
      </c>
      <c r="I143" s="1044">
        <v>0</v>
      </c>
      <c r="J143" s="1044"/>
      <c r="K143" s="1044"/>
      <c r="L143" s="1044"/>
      <c r="M143" s="436">
        <f t="shared" ref="M143:M155" si="22">D143-SUM(E143:I143)</f>
        <v>0</v>
      </c>
    </row>
    <row r="144" spans="1:15" ht="14.25" customHeight="1">
      <c r="A144" s="454">
        <v>2018</v>
      </c>
      <c r="C144" s="405" t="s">
        <v>587</v>
      </c>
      <c r="D144" s="502">
        <v>4076.59238370824</v>
      </c>
      <c r="E144" s="489">
        <f>D144</f>
        <v>4076.59238370824</v>
      </c>
      <c r="F144" s="490">
        <v>0</v>
      </c>
      <c r="G144" s="490">
        <v>0</v>
      </c>
      <c r="H144" s="490">
        <v>0</v>
      </c>
      <c r="I144" s="1045">
        <v>0</v>
      </c>
      <c r="J144" s="1045"/>
      <c r="K144" s="1045"/>
      <c r="L144" s="1045"/>
      <c r="M144" s="439">
        <f t="shared" si="22"/>
        <v>0</v>
      </c>
      <c r="O144" s="1365"/>
    </row>
    <row r="145" spans="1:15" ht="12" customHeight="1">
      <c r="A145" s="454">
        <v>2019</v>
      </c>
      <c r="C145" s="405" t="s">
        <v>588</v>
      </c>
      <c r="D145" s="502">
        <f>7758.36575479722+6076</f>
        <v>13834.36575479722</v>
      </c>
      <c r="E145" s="503"/>
      <c r="F145" s="490">
        <f>D145</f>
        <v>13834.36575479722</v>
      </c>
      <c r="G145" s="490">
        <v>0</v>
      </c>
      <c r="H145" s="490">
        <v>0</v>
      </c>
      <c r="I145" s="1045">
        <v>0</v>
      </c>
      <c r="J145" s="1045"/>
      <c r="K145" s="1045"/>
      <c r="L145" s="1045"/>
      <c r="M145" s="439">
        <f t="shared" si="22"/>
        <v>0</v>
      </c>
      <c r="O145" s="1362" t="s">
        <v>702</v>
      </c>
    </row>
    <row r="146" spans="1:15" ht="12" customHeight="1">
      <c r="A146" s="454" t="s">
        <v>463</v>
      </c>
      <c r="C146" s="412" t="s">
        <v>589</v>
      </c>
      <c r="D146" s="413">
        <f t="shared" ref="D146:I146" si="23">SUM(D143:D145)</f>
        <v>17910.958138505459</v>
      </c>
      <c r="E146" s="414">
        <f t="shared" si="23"/>
        <v>4076.59238370824</v>
      </c>
      <c r="F146" s="415">
        <f t="shared" si="23"/>
        <v>13834.36575479722</v>
      </c>
      <c r="G146" s="415">
        <f t="shared" si="23"/>
        <v>0</v>
      </c>
      <c r="H146" s="415">
        <f t="shared" si="23"/>
        <v>0</v>
      </c>
      <c r="I146" s="450">
        <f t="shared" si="23"/>
        <v>0</v>
      </c>
      <c r="J146" s="450"/>
      <c r="K146" s="450"/>
      <c r="L146" s="450"/>
      <c r="M146" s="1031">
        <f>SUM(M143:M145)</f>
        <v>0</v>
      </c>
      <c r="O146" s="1362" t="s">
        <v>703</v>
      </c>
    </row>
    <row r="147" spans="1:15" ht="12" customHeight="1">
      <c r="A147" s="454">
        <v>2020</v>
      </c>
      <c r="C147" s="397" t="s">
        <v>590</v>
      </c>
      <c r="D147" s="398">
        <f>(E21+E36+E107+E126+E141+E166)*-'T2 ANSP'!C40</f>
        <v>-36073.723825947636</v>
      </c>
      <c r="E147" s="505"/>
      <c r="F147" s="506"/>
      <c r="G147" s="486">
        <f>D147</f>
        <v>-36073.723825947636</v>
      </c>
      <c r="H147" s="506"/>
      <c r="I147" s="506"/>
      <c r="J147" s="506"/>
      <c r="K147" s="506"/>
      <c r="L147" s="506"/>
      <c r="M147" s="436">
        <f>D147-SUM(E147:L147)</f>
        <v>0</v>
      </c>
    </row>
    <row r="148" spans="1:15" ht="12" customHeight="1">
      <c r="A148" s="454">
        <v>2021</v>
      </c>
      <c r="C148" s="405" t="s">
        <v>591</v>
      </c>
      <c r="D148" s="1384">
        <f>(F21+F36+F107+F126+F141+F166)*-'T2 ANSP'!D40</f>
        <v>-30832.215491926887</v>
      </c>
      <c r="E148" s="507"/>
      <c r="F148" s="508"/>
      <c r="G148" s="508"/>
      <c r="H148" s="1384">
        <f>D148</f>
        <v>-30832.215491926887</v>
      </c>
      <c r="I148" s="508"/>
      <c r="J148" s="508"/>
      <c r="K148" s="508"/>
      <c r="L148" s="508"/>
      <c r="M148" s="439">
        <f>D148-SUM(E148:L148)</f>
        <v>0</v>
      </c>
      <c r="O148" s="1363" t="s">
        <v>871</v>
      </c>
    </row>
    <row r="149" spans="1:15" ht="12" customHeight="1">
      <c r="A149" s="454">
        <v>2022</v>
      </c>
      <c r="C149" s="405" t="s">
        <v>592</v>
      </c>
      <c r="D149" s="1384">
        <f>(G21+G36+G156+G107+G126+G141)*-'T2 ANSP'!E40</f>
        <v>-6475.6109293177697</v>
      </c>
      <c r="E149" s="507"/>
      <c r="F149" s="508"/>
      <c r="G149" s="508"/>
      <c r="H149" s="508"/>
      <c r="I149" s="490">
        <f>D149</f>
        <v>-6475.6109293177697</v>
      </c>
      <c r="J149" s="508"/>
      <c r="K149" s="508"/>
      <c r="L149" s="508"/>
      <c r="M149" s="439">
        <f>D149-SUM(E149:L149)</f>
        <v>0</v>
      </c>
      <c r="O149" s="1363" t="s">
        <v>872</v>
      </c>
    </row>
    <row r="150" spans="1:15" ht="12" customHeight="1">
      <c r="A150" s="454" t="s">
        <v>468</v>
      </c>
      <c r="C150" s="412" t="s">
        <v>593</v>
      </c>
      <c r="D150" s="413">
        <f>SUM(D147:D149)</f>
        <v>-73381.550247192296</v>
      </c>
      <c r="E150" s="1062"/>
      <c r="F150" s="1063"/>
      <c r="G150" s="415">
        <f>SUM(G147:G149)</f>
        <v>-36073.723825947636</v>
      </c>
      <c r="H150" s="415">
        <f>SUM(H147:H149)</f>
        <v>-30832.215491926887</v>
      </c>
      <c r="I150" s="415">
        <f>SUM(I147:I149)</f>
        <v>-6475.6109293177697</v>
      </c>
      <c r="J150" s="416"/>
      <c r="K150" s="416"/>
      <c r="L150" s="416"/>
      <c r="M150" s="1030"/>
      <c r="O150" s="1363" t="s">
        <v>873</v>
      </c>
    </row>
    <row r="151" spans="1:15" ht="12" customHeight="1">
      <c r="A151" s="454">
        <v>2023</v>
      </c>
      <c r="C151" s="405" t="s">
        <v>594</v>
      </c>
      <c r="D151" s="406">
        <f>IFERROR((H21+H36+H111+H126+H141+H166)*-'T2 ANSP'!F40,0)</f>
        <v>0</v>
      </c>
      <c r="E151" s="507"/>
      <c r="F151" s="508"/>
      <c r="G151" s="508"/>
      <c r="H151" s="508"/>
      <c r="I151" s="508"/>
      <c r="J151" s="422">
        <f>D151</f>
        <v>0</v>
      </c>
      <c r="K151" s="409"/>
      <c r="L151" s="409"/>
      <c r="M151" s="1029"/>
    </row>
    <row r="152" spans="1:15" ht="12" customHeight="1">
      <c r="A152" s="454">
        <v>2024</v>
      </c>
      <c r="C152" s="405" t="s">
        <v>595</v>
      </c>
      <c r="D152" s="406">
        <f>IFERROR((H22+H37+H112+H127+H142+H167)*-'T2 ANSP'!F41,0)</f>
        <v>0</v>
      </c>
      <c r="E152" s="507"/>
      <c r="F152" s="508"/>
      <c r="G152" s="508"/>
      <c r="H152" s="508"/>
      <c r="I152" s="508"/>
      <c r="J152" s="409"/>
      <c r="K152" s="422">
        <f>D152</f>
        <v>0</v>
      </c>
      <c r="L152" s="409"/>
      <c r="M152" s="1029"/>
    </row>
    <row r="153" spans="1:15" ht="12" customHeight="1">
      <c r="A153" s="454">
        <v>2025</v>
      </c>
      <c r="C153" s="405" t="s">
        <v>596</v>
      </c>
      <c r="D153" s="406">
        <f>IFERROR((H23+H38+H113+H128+H143+H168)*-'T2 ANSP'!F42,0)</f>
        <v>0</v>
      </c>
      <c r="E153" s="507"/>
      <c r="F153" s="508"/>
      <c r="G153" s="508"/>
      <c r="H153" s="508"/>
      <c r="I153" s="508"/>
      <c r="J153" s="409"/>
      <c r="K153" s="409"/>
      <c r="L153" s="422">
        <f>D153</f>
        <v>0</v>
      </c>
      <c r="M153" s="1029"/>
    </row>
    <row r="154" spans="1:15" ht="12" customHeight="1">
      <c r="A154" s="454">
        <v>2026</v>
      </c>
      <c r="C154" s="405" t="s">
        <v>597</v>
      </c>
      <c r="D154" s="406">
        <f>IFERROR((H24+H39+H114+H129+H144+H169)*-'T2 ANSP'!F43,0)</f>
        <v>0</v>
      </c>
      <c r="E154" s="507"/>
      <c r="F154" s="508"/>
      <c r="G154" s="508"/>
      <c r="H154" s="508"/>
      <c r="I154" s="508"/>
      <c r="J154" s="508"/>
      <c r="K154" s="508"/>
      <c r="L154" s="508"/>
      <c r="M154" s="439">
        <f t="shared" si="22"/>
        <v>0</v>
      </c>
    </row>
    <row r="155" spans="1:15" ht="12" customHeight="1">
      <c r="A155" s="454">
        <v>2027</v>
      </c>
      <c r="C155" s="405" t="s">
        <v>598</v>
      </c>
      <c r="D155" s="406">
        <f>IFERROR((H25+H40+H115+H130+H145+H170)*-'T2 ANSP'!F44,0)</f>
        <v>0</v>
      </c>
      <c r="E155" s="507"/>
      <c r="F155" s="508"/>
      <c r="G155" s="508"/>
      <c r="H155" s="508"/>
      <c r="I155" s="508"/>
      <c r="J155" s="508"/>
      <c r="K155" s="508"/>
      <c r="L155" s="508"/>
      <c r="M155" s="439">
        <f t="shared" si="22"/>
        <v>0</v>
      </c>
    </row>
    <row r="156" spans="1:15" ht="12" customHeight="1">
      <c r="A156" s="454" t="s">
        <v>463</v>
      </c>
      <c r="C156" s="412" t="s">
        <v>599</v>
      </c>
      <c r="D156" s="413">
        <f>SUM(D151:D155)+D146+D150</f>
        <v>-55470.592108686833</v>
      </c>
      <c r="E156" s="414">
        <f t="shared" ref="E156:M156" si="24">SUM(E151:E155)+E146+E150</f>
        <v>4076.59238370824</v>
      </c>
      <c r="F156" s="415">
        <f t="shared" si="24"/>
        <v>13834.36575479722</v>
      </c>
      <c r="G156" s="415">
        <f t="shared" si="24"/>
        <v>-36073.723825947636</v>
      </c>
      <c r="H156" s="415">
        <f t="shared" si="24"/>
        <v>-30832.215491926887</v>
      </c>
      <c r="I156" s="450">
        <f t="shared" si="24"/>
        <v>-6475.6109293177697</v>
      </c>
      <c r="J156" s="450">
        <f t="shared" si="24"/>
        <v>0</v>
      </c>
      <c r="K156" s="450">
        <f t="shared" si="24"/>
        <v>0</v>
      </c>
      <c r="L156" s="450">
        <f t="shared" si="24"/>
        <v>0</v>
      </c>
      <c r="M156" s="1031">
        <f t="shared" si="24"/>
        <v>0</v>
      </c>
    </row>
    <row r="157" spans="1:15" ht="12" customHeight="1">
      <c r="A157" s="454">
        <v>2020</v>
      </c>
      <c r="C157" s="397" t="s">
        <v>600</v>
      </c>
      <c r="D157" s="451">
        <f>'T2 ANSP'!C46</f>
        <v>-4460.2106973964655</v>
      </c>
      <c r="E157" s="419"/>
      <c r="F157" s="400"/>
      <c r="G157" s="1010">
        <f>D157</f>
        <v>-4460.2106973964655</v>
      </c>
      <c r="H157" s="401"/>
      <c r="I157" s="1038"/>
      <c r="J157" s="1060"/>
      <c r="K157" s="1060"/>
      <c r="L157" s="1060"/>
      <c r="M157" s="1034"/>
    </row>
    <row r="158" spans="1:15" ht="12" customHeight="1">
      <c r="A158" s="454">
        <v>2021</v>
      </c>
      <c r="C158" s="405" t="s">
        <v>601</v>
      </c>
      <c r="D158" s="1384">
        <f>'T2 ANSP'!D46</f>
        <v>-7443.1509429317057</v>
      </c>
      <c r="E158" s="407"/>
      <c r="F158" s="421"/>
      <c r="G158" s="421"/>
      <c r="H158" s="1384">
        <f>D158</f>
        <v>-7443.1509429317057</v>
      </c>
      <c r="I158" s="1042"/>
      <c r="J158" s="1060"/>
      <c r="K158" s="1060"/>
      <c r="L158" s="1060"/>
      <c r="M158" s="1029"/>
      <c r="O158" s="1363" t="s">
        <v>871</v>
      </c>
    </row>
    <row r="159" spans="1:15" ht="12" customHeight="1">
      <c r="A159" s="454">
        <v>2022</v>
      </c>
      <c r="C159" s="405" t="s">
        <v>602</v>
      </c>
      <c r="D159" s="422">
        <f>'T2 ANSP'!E46</f>
        <v>-5649.8990680928482</v>
      </c>
      <c r="E159" s="407"/>
      <c r="F159" s="421"/>
      <c r="G159" s="421"/>
      <c r="H159" s="421"/>
      <c r="I159" s="422">
        <f>D159</f>
        <v>-5649.8990680928482</v>
      </c>
      <c r="J159" s="1033"/>
      <c r="K159" s="1033"/>
      <c r="L159" s="1033"/>
      <c r="M159" s="1029"/>
      <c r="O159" s="1363" t="s">
        <v>875</v>
      </c>
    </row>
    <row r="160" spans="1:15" ht="12" customHeight="1">
      <c r="A160" s="454" t="s">
        <v>468</v>
      </c>
      <c r="C160" s="412" t="s">
        <v>603</v>
      </c>
      <c r="D160" s="413">
        <f>SUM(D157:D159)</f>
        <v>-17553.260708421018</v>
      </c>
      <c r="E160" s="1062"/>
      <c r="F160" s="1063"/>
      <c r="G160" s="415">
        <f>SUM(G157:G159)</f>
        <v>-4460.2106973964655</v>
      </c>
      <c r="H160" s="415">
        <f>SUM(H157:H159)</f>
        <v>-7443.1509429317057</v>
      </c>
      <c r="I160" s="415">
        <f>SUM(I157:I159)</f>
        <v>-5649.8990680928482</v>
      </c>
      <c r="J160" s="416"/>
      <c r="K160" s="416"/>
      <c r="L160" s="416"/>
      <c r="M160" s="1030"/>
      <c r="O160" s="515"/>
    </row>
    <row r="161" spans="1:15" ht="12" customHeight="1">
      <c r="A161" s="454">
        <v>2023</v>
      </c>
      <c r="C161" s="405" t="s">
        <v>604</v>
      </c>
      <c r="D161" s="452">
        <f>'T2 ANSP'!F46</f>
        <v>0</v>
      </c>
      <c r="E161" s="407"/>
      <c r="F161" s="421"/>
      <c r="G161" s="421"/>
      <c r="H161" s="421"/>
      <c r="I161" s="421"/>
      <c r="J161" s="422">
        <f>D161</f>
        <v>0</v>
      </c>
      <c r="K161" s="421"/>
      <c r="L161" s="421"/>
      <c r="M161" s="1029"/>
    </row>
    <row r="162" spans="1:15" ht="12" customHeight="1">
      <c r="A162" s="454">
        <v>2024</v>
      </c>
      <c r="C162" s="405" t="s">
        <v>605</v>
      </c>
      <c r="D162" s="452">
        <f>'T2 ANSP'!G46</f>
        <v>0</v>
      </c>
      <c r="E162" s="407"/>
      <c r="F162" s="421"/>
      <c r="G162" s="421"/>
      <c r="H162" s="421"/>
      <c r="I162" s="421"/>
      <c r="J162" s="421"/>
      <c r="K162" s="422">
        <f>D162</f>
        <v>0</v>
      </c>
      <c r="L162" s="421"/>
      <c r="M162" s="1029"/>
    </row>
    <row r="163" spans="1:15" ht="12" customHeight="1">
      <c r="A163" s="454">
        <v>2025</v>
      </c>
      <c r="C163" s="405" t="s">
        <v>606</v>
      </c>
      <c r="D163" s="452">
        <f>'T2 ANSP'!H46</f>
        <v>0</v>
      </c>
      <c r="E163" s="407"/>
      <c r="F163" s="421"/>
      <c r="G163" s="421"/>
      <c r="H163" s="421"/>
      <c r="I163" s="421"/>
      <c r="J163" s="421"/>
      <c r="K163" s="421"/>
      <c r="L163" s="422">
        <f>D163</f>
        <v>0</v>
      </c>
      <c r="M163" s="1029"/>
    </row>
    <row r="164" spans="1:15" ht="12" customHeight="1">
      <c r="A164" s="454">
        <v>2026</v>
      </c>
      <c r="C164" s="405" t="s">
        <v>607</v>
      </c>
      <c r="D164" s="452">
        <f>'T2 ANSP'!I46</f>
        <v>0</v>
      </c>
      <c r="E164" s="407"/>
      <c r="F164" s="421"/>
      <c r="G164" s="421"/>
      <c r="H164" s="421"/>
      <c r="I164" s="421"/>
      <c r="J164" s="421"/>
      <c r="K164" s="421"/>
      <c r="L164" s="421"/>
      <c r="M164" s="439">
        <f>D164</f>
        <v>0</v>
      </c>
    </row>
    <row r="165" spans="1:15" ht="12" customHeight="1">
      <c r="A165" s="454">
        <v>2027</v>
      </c>
      <c r="C165" s="405" t="s">
        <v>608</v>
      </c>
      <c r="D165" s="453">
        <f>'T2 ANSP'!J46</f>
        <v>0</v>
      </c>
      <c r="E165" s="427"/>
      <c r="F165" s="428"/>
      <c r="G165" s="428"/>
      <c r="H165" s="428"/>
      <c r="I165" s="428"/>
      <c r="J165" s="428"/>
      <c r="K165" s="428"/>
      <c r="L165" s="428"/>
      <c r="M165" s="1056">
        <f>D165</f>
        <v>0</v>
      </c>
    </row>
    <row r="166" spans="1:15" ht="12" customHeight="1">
      <c r="A166" s="454" t="s">
        <v>475</v>
      </c>
      <c r="C166" s="430" t="s">
        <v>922</v>
      </c>
      <c r="D166" s="431">
        <f>SUM(D161:D165)+D156+D160</f>
        <v>-73023.852817107851</v>
      </c>
      <c r="E166" s="479">
        <f t="shared" ref="E166:M166" si="25">SUM(E161:E165)+E156+E160</f>
        <v>4076.59238370824</v>
      </c>
      <c r="F166" s="433">
        <f t="shared" si="25"/>
        <v>13834.36575479722</v>
      </c>
      <c r="G166" s="433">
        <f t="shared" si="25"/>
        <v>-40533.934523344098</v>
      </c>
      <c r="H166" s="433">
        <v>-37869.75</v>
      </c>
      <c r="I166" s="433">
        <v>-11116.31</v>
      </c>
      <c r="J166" s="433">
        <f t="shared" si="25"/>
        <v>0</v>
      </c>
      <c r="K166" s="433">
        <f t="shared" si="25"/>
        <v>0</v>
      </c>
      <c r="L166" s="433">
        <f t="shared" si="25"/>
        <v>0</v>
      </c>
      <c r="M166" s="1055">
        <f t="shared" si="25"/>
        <v>0</v>
      </c>
    </row>
    <row r="167" spans="1:15" ht="4.2" customHeight="1">
      <c r="A167" s="748"/>
    </row>
    <row r="168" spans="1:15" ht="12" customHeight="1">
      <c r="A168" s="454">
        <v>2017</v>
      </c>
      <c r="C168" s="397" t="s">
        <v>610</v>
      </c>
      <c r="D168" s="474">
        <v>0</v>
      </c>
      <c r="E168" s="485">
        <v>0</v>
      </c>
      <c r="F168" s="486">
        <v>0</v>
      </c>
      <c r="G168" s="486">
        <v>0</v>
      </c>
      <c r="H168" s="486">
        <v>0</v>
      </c>
      <c r="I168" s="486">
        <v>0</v>
      </c>
      <c r="J168" s="486"/>
      <c r="K168" s="486"/>
      <c r="L168" s="486"/>
      <c r="M168" s="436">
        <f t="shared" ref="M168:M169" si="26">D168-SUM(E168:I168)</f>
        <v>0</v>
      </c>
    </row>
    <row r="169" spans="1:15" ht="12" customHeight="1">
      <c r="A169" s="454">
        <v>2018</v>
      </c>
      <c r="C169" s="405" t="s">
        <v>611</v>
      </c>
      <c r="D169" s="476">
        <v>0</v>
      </c>
      <c r="E169" s="489">
        <f>+D169</f>
        <v>0</v>
      </c>
      <c r="F169" s="490">
        <v>0</v>
      </c>
      <c r="G169" s="490">
        <v>0</v>
      </c>
      <c r="H169" s="490">
        <v>0</v>
      </c>
      <c r="I169" s="490">
        <v>0</v>
      </c>
      <c r="J169" s="490"/>
      <c r="K169" s="490"/>
      <c r="L169" s="490"/>
      <c r="M169" s="439">
        <f t="shared" si="26"/>
        <v>0</v>
      </c>
    </row>
    <row r="170" spans="1:15" ht="12" customHeight="1">
      <c r="A170" s="454">
        <v>2019</v>
      </c>
      <c r="C170" s="405" t="s">
        <v>612</v>
      </c>
      <c r="D170" s="476"/>
      <c r="E170" s="489">
        <v>0</v>
      </c>
      <c r="F170" s="490">
        <v>0</v>
      </c>
      <c r="G170" s="490">
        <v>0</v>
      </c>
      <c r="H170" s="490">
        <v>0</v>
      </c>
      <c r="I170" s="490">
        <v>0</v>
      </c>
      <c r="J170" s="490"/>
      <c r="K170" s="490"/>
      <c r="L170" s="490"/>
      <c r="M170" s="439">
        <v>0</v>
      </c>
    </row>
    <row r="171" spans="1:15" ht="12" customHeight="1">
      <c r="A171" s="454" t="s">
        <v>463</v>
      </c>
      <c r="C171" s="412" t="s">
        <v>613</v>
      </c>
      <c r="D171" s="413">
        <f>SUM(D168:D170)</f>
        <v>0</v>
      </c>
      <c r="E171" s="414">
        <f t="shared" ref="E171:M171" si="27">SUM(E168:E170)</f>
        <v>0</v>
      </c>
      <c r="F171" s="415">
        <f t="shared" si="27"/>
        <v>0</v>
      </c>
      <c r="G171" s="415">
        <f t="shared" si="27"/>
        <v>0</v>
      </c>
      <c r="H171" s="415">
        <f t="shared" si="27"/>
        <v>0</v>
      </c>
      <c r="I171" s="415">
        <f t="shared" ref="I171" si="28">SUM(I168:I170)</f>
        <v>0</v>
      </c>
      <c r="J171" s="415"/>
      <c r="K171" s="415"/>
      <c r="L171" s="415"/>
      <c r="M171" s="1031">
        <f t="shared" si="27"/>
        <v>0</v>
      </c>
    </row>
    <row r="172" spans="1:15" s="539" customFormat="1" ht="12" customHeight="1">
      <c r="A172" s="962">
        <v>2020</v>
      </c>
      <c r="B172" s="385"/>
      <c r="C172" s="435" t="s">
        <v>614</v>
      </c>
      <c r="D172" s="451">
        <f>'T2 ANSP'!C69</f>
        <v>-166.68438219613321</v>
      </c>
      <c r="E172" s="485">
        <f>D172</f>
        <v>-166.68438219613321</v>
      </c>
      <c r="F172" s="506"/>
      <c r="G172" s="506"/>
      <c r="H172" s="506"/>
      <c r="I172" s="1064"/>
      <c r="J172" s="506"/>
      <c r="K172" s="506"/>
      <c r="L172" s="506"/>
      <c r="M172" s="436">
        <f>D172-SUM(E172:L172)</f>
        <v>0</v>
      </c>
      <c r="O172" s="1362"/>
    </row>
    <row r="173" spans="1:15" ht="12" customHeight="1">
      <c r="A173" s="454">
        <v>2021</v>
      </c>
      <c r="C173" s="405" t="s">
        <v>615</v>
      </c>
      <c r="D173" s="452">
        <f>'T2 ANSP'!D69</f>
        <v>-10399.967789999999</v>
      </c>
      <c r="E173" s="507"/>
      <c r="F173" s="490">
        <f>D173</f>
        <v>-10399.967789999999</v>
      </c>
      <c r="G173" s="508"/>
      <c r="H173" s="508"/>
      <c r="I173" s="1047"/>
      <c r="J173" s="508"/>
      <c r="K173" s="508"/>
      <c r="L173" s="508"/>
      <c r="M173" s="439">
        <f t="shared" ref="M173:M174" si="29">D173-SUM(E173:L173)</f>
        <v>0</v>
      </c>
      <c r="N173" s="539"/>
      <c r="O173" s="1368"/>
    </row>
    <row r="174" spans="1:15" ht="12" customHeight="1">
      <c r="A174" s="454">
        <v>2022</v>
      </c>
      <c r="C174" s="405" t="s">
        <v>616</v>
      </c>
      <c r="D174" s="452">
        <f>'T2 ANSP'!E69</f>
        <v>-31197.739202655848</v>
      </c>
      <c r="E174" s="507"/>
      <c r="F174" s="508"/>
      <c r="G174" s="511">
        <f>D174</f>
        <v>-31197.739202655848</v>
      </c>
      <c r="H174" s="1072"/>
      <c r="I174" s="1066"/>
      <c r="J174" s="508"/>
      <c r="K174" s="508"/>
      <c r="L174" s="508"/>
      <c r="M174" s="439">
        <f t="shared" si="29"/>
        <v>0</v>
      </c>
      <c r="N174" s="539"/>
    </row>
    <row r="175" spans="1:15" ht="12" customHeight="1">
      <c r="A175" s="454" t="s">
        <v>468</v>
      </c>
      <c r="C175" s="412" t="s">
        <v>617</v>
      </c>
      <c r="D175" s="413">
        <f t="shared" ref="D175:I175" si="30">SUM(D172:D174)</f>
        <v>-41764.391374851984</v>
      </c>
      <c r="E175" s="413">
        <f t="shared" si="30"/>
        <v>-166.68438219613321</v>
      </c>
      <c r="F175" s="413">
        <f t="shared" si="30"/>
        <v>-10399.967789999999</v>
      </c>
      <c r="G175" s="415">
        <f t="shared" si="30"/>
        <v>-31197.739202655848</v>
      </c>
      <c r="H175" s="415">
        <f t="shared" si="30"/>
        <v>0</v>
      </c>
      <c r="I175" s="415">
        <f t="shared" si="30"/>
        <v>0</v>
      </c>
      <c r="J175" s="416"/>
      <c r="K175" s="416"/>
      <c r="L175" s="416"/>
      <c r="M175" s="1030"/>
      <c r="N175" s="539"/>
    </row>
    <row r="176" spans="1:15" ht="12" customHeight="1">
      <c r="A176" s="454">
        <v>2023</v>
      </c>
      <c r="C176" s="405" t="s">
        <v>618</v>
      </c>
      <c r="D176" s="452">
        <f>'T2 ANSP'!F69</f>
        <v>-5462.5367855259528</v>
      </c>
      <c r="E176" s="507"/>
      <c r="F176" s="508"/>
      <c r="G176" s="508"/>
      <c r="H176" s="490">
        <f>D176</f>
        <v>-5462.5367855259528</v>
      </c>
      <c r="I176" s="1047"/>
      <c r="J176" s="508"/>
      <c r="K176" s="508"/>
      <c r="L176" s="508"/>
      <c r="M176" s="439">
        <f t="shared" ref="M176:M180" si="31">D176-SUM(E176:L176)</f>
        <v>0</v>
      </c>
      <c r="N176" s="539"/>
    </row>
    <row r="177" spans="1:14" ht="12" customHeight="1">
      <c r="A177" s="454">
        <v>2024</v>
      </c>
      <c r="C177" s="405" t="s">
        <v>619</v>
      </c>
      <c r="D177" s="452">
        <f>'T2 ANSP'!G69</f>
        <v>-3040.8225124284572</v>
      </c>
      <c r="E177" s="507"/>
      <c r="F177" s="508"/>
      <c r="G177" s="508"/>
      <c r="H177" s="508"/>
      <c r="I177" s="1045">
        <f>D177</f>
        <v>-3040.8225124284572</v>
      </c>
      <c r="J177" s="508"/>
      <c r="K177" s="508"/>
      <c r="L177" s="508"/>
      <c r="M177" s="439">
        <f t="shared" si="31"/>
        <v>0</v>
      </c>
      <c r="N177" s="539"/>
    </row>
    <row r="178" spans="1:14" ht="12" customHeight="1">
      <c r="A178" s="454">
        <v>2025</v>
      </c>
      <c r="C178" s="405" t="s">
        <v>620</v>
      </c>
      <c r="D178" s="452">
        <f>'T2 ANSP'!H69</f>
        <v>-7111.2418160925463</v>
      </c>
      <c r="E178" s="507"/>
      <c r="F178" s="508"/>
      <c r="G178" s="508"/>
      <c r="H178" s="508"/>
      <c r="I178" s="1047"/>
      <c r="J178" s="490">
        <f>D178</f>
        <v>-7111.2418160925463</v>
      </c>
      <c r="K178" s="508"/>
      <c r="L178" s="508"/>
      <c r="M178" s="439">
        <f t="shared" si="31"/>
        <v>0</v>
      </c>
      <c r="N178" s="539"/>
    </row>
    <row r="179" spans="1:14" ht="12" customHeight="1">
      <c r="A179" s="454">
        <v>2026</v>
      </c>
      <c r="C179" s="405" t="s">
        <v>621</v>
      </c>
      <c r="D179" s="452">
        <f>'T2 ANSP'!I69</f>
        <v>0</v>
      </c>
      <c r="E179" s="507"/>
      <c r="F179" s="508"/>
      <c r="G179" s="508"/>
      <c r="H179" s="508"/>
      <c r="I179" s="1047"/>
      <c r="J179" s="508"/>
      <c r="K179" s="490">
        <f>D179</f>
        <v>0</v>
      </c>
      <c r="L179" s="508"/>
      <c r="M179" s="439">
        <f t="shared" si="31"/>
        <v>0</v>
      </c>
      <c r="N179" s="539"/>
    </row>
    <row r="180" spans="1:14" ht="12" customHeight="1">
      <c r="A180" s="454">
        <v>2027</v>
      </c>
      <c r="C180" s="405" t="s">
        <v>622</v>
      </c>
      <c r="D180" s="452">
        <f>'T2 ANSP'!J69</f>
        <v>0</v>
      </c>
      <c r="E180" s="512"/>
      <c r="F180" s="513"/>
      <c r="G180" s="513"/>
      <c r="H180" s="513"/>
      <c r="I180" s="1073"/>
      <c r="J180" s="508"/>
      <c r="K180" s="508"/>
      <c r="L180" s="490">
        <f>D180</f>
        <v>0</v>
      </c>
      <c r="M180" s="1056">
        <f t="shared" si="31"/>
        <v>0</v>
      </c>
      <c r="N180" s="539"/>
    </row>
    <row r="181" spans="1:14" ht="12" customHeight="1">
      <c r="A181" s="454" t="s">
        <v>475</v>
      </c>
      <c r="C181" s="430" t="s">
        <v>923</v>
      </c>
      <c r="D181" s="431">
        <f>SUM(D176:D180)+D171+D175</f>
        <v>-57378.992488898941</v>
      </c>
      <c r="E181" s="479">
        <f t="shared" ref="E181:M181" si="32">SUM(E176:E180)+E171+E175</f>
        <v>-166.68438219613321</v>
      </c>
      <c r="F181" s="1334">
        <f t="shared" si="32"/>
        <v>-10399.967789999999</v>
      </c>
      <c r="G181" s="433">
        <f t="shared" si="32"/>
        <v>-31197.739202655848</v>
      </c>
      <c r="H181" s="433">
        <f>SUM(H176:H180)+H171+H175</f>
        <v>-5462.5367855259528</v>
      </c>
      <c r="I181" s="433">
        <f t="shared" si="32"/>
        <v>-3040.8225124284572</v>
      </c>
      <c r="J181" s="433">
        <f t="shared" si="32"/>
        <v>-7111.2418160925463</v>
      </c>
      <c r="K181" s="433">
        <f t="shared" si="32"/>
        <v>0</v>
      </c>
      <c r="L181" s="433">
        <f t="shared" si="32"/>
        <v>0</v>
      </c>
      <c r="M181" s="1055">
        <f t="shared" si="32"/>
        <v>0</v>
      </c>
      <c r="N181" s="539"/>
    </row>
    <row r="182" spans="1:14" ht="4.2" customHeight="1">
      <c r="A182" s="748"/>
    </row>
    <row r="183" spans="1:14" ht="12" customHeight="1">
      <c r="A183" s="454">
        <v>2017</v>
      </c>
      <c r="C183" s="397" t="s">
        <v>624</v>
      </c>
      <c r="D183" s="474">
        <v>0</v>
      </c>
      <c r="E183" s="485">
        <v>0</v>
      </c>
      <c r="F183" s="486">
        <v>0</v>
      </c>
      <c r="G183" s="486">
        <v>0</v>
      </c>
      <c r="H183" s="486">
        <v>0</v>
      </c>
      <c r="I183" s="1044">
        <v>0</v>
      </c>
      <c r="J183" s="1044">
        <v>0</v>
      </c>
      <c r="K183" s="1044">
        <v>0</v>
      </c>
      <c r="L183" s="1044">
        <v>0</v>
      </c>
      <c r="M183" s="436">
        <f>D183-SUM(E183:L183)</f>
        <v>0</v>
      </c>
    </row>
    <row r="184" spans="1:14" ht="12" customHeight="1">
      <c r="A184" s="454">
        <v>2018</v>
      </c>
      <c r="C184" s="405" t="s">
        <v>625</v>
      </c>
      <c r="D184" s="476">
        <v>0</v>
      </c>
      <c r="E184" s="489">
        <v>0</v>
      </c>
      <c r="F184" s="490">
        <v>0</v>
      </c>
      <c r="G184" s="490">
        <v>0</v>
      </c>
      <c r="H184" s="490">
        <v>0</v>
      </c>
      <c r="I184" s="1045">
        <v>0</v>
      </c>
      <c r="J184" s="1045">
        <v>0</v>
      </c>
      <c r="K184" s="1045">
        <v>0</v>
      </c>
      <c r="L184" s="1045">
        <v>0</v>
      </c>
      <c r="M184" s="439">
        <f t="shared" ref="M184:M185" si="33">D184-SUM(E184:L184)</f>
        <v>0</v>
      </c>
    </row>
    <row r="185" spans="1:14" ht="12" customHeight="1">
      <c r="A185" s="454">
        <v>2019</v>
      </c>
      <c r="C185" s="405" t="s">
        <v>626</v>
      </c>
      <c r="D185" s="476"/>
      <c r="E185" s="489">
        <v>0</v>
      </c>
      <c r="F185" s="490">
        <v>0</v>
      </c>
      <c r="G185" s="490">
        <v>0</v>
      </c>
      <c r="H185" s="490">
        <v>0</v>
      </c>
      <c r="I185" s="1045">
        <v>0</v>
      </c>
      <c r="J185" s="1045">
        <v>0</v>
      </c>
      <c r="K185" s="1045">
        <v>0</v>
      </c>
      <c r="L185" s="1045">
        <v>0</v>
      </c>
      <c r="M185" s="439">
        <f t="shared" si="33"/>
        <v>0</v>
      </c>
    </row>
    <row r="186" spans="1:14" ht="12" customHeight="1">
      <c r="A186" s="454" t="s">
        <v>463</v>
      </c>
      <c r="C186" s="412" t="s">
        <v>627</v>
      </c>
      <c r="D186" s="413">
        <f>SUM(D183:D185)</f>
        <v>0</v>
      </c>
      <c r="E186" s="414">
        <f t="shared" ref="E186:M186" si="34">SUM(E183:E185)</f>
        <v>0</v>
      </c>
      <c r="F186" s="415">
        <f t="shared" si="34"/>
        <v>0</v>
      </c>
      <c r="G186" s="415">
        <f t="shared" si="34"/>
        <v>0</v>
      </c>
      <c r="H186" s="415">
        <f t="shared" si="34"/>
        <v>0</v>
      </c>
      <c r="I186" s="415">
        <f t="shared" si="34"/>
        <v>0</v>
      </c>
      <c r="J186" s="415">
        <f t="shared" ref="J186:L186" si="35">SUM(J183:J185)</f>
        <v>0</v>
      </c>
      <c r="K186" s="415">
        <f t="shared" si="35"/>
        <v>0</v>
      </c>
      <c r="L186" s="415">
        <f t="shared" si="35"/>
        <v>0</v>
      </c>
      <c r="M186" s="1031">
        <f t="shared" si="34"/>
        <v>0</v>
      </c>
    </row>
    <row r="187" spans="1:14" s="515" customFormat="1">
      <c r="A187" s="454">
        <v>2020</v>
      </c>
      <c r="B187" s="385"/>
      <c r="C187" s="397" t="s">
        <v>628</v>
      </c>
      <c r="D187" s="451">
        <f>'T2 ANSP'!C70</f>
        <v>0</v>
      </c>
      <c r="E187" s="485">
        <v>0</v>
      </c>
      <c r="F187" s="486">
        <v>0</v>
      </c>
      <c r="G187" s="486">
        <v>0</v>
      </c>
      <c r="H187" s="486">
        <v>0</v>
      </c>
      <c r="I187" s="486">
        <v>0</v>
      </c>
      <c r="J187" s="486">
        <v>0</v>
      </c>
      <c r="K187" s="486">
        <v>0</v>
      </c>
      <c r="L187" s="486">
        <v>0</v>
      </c>
      <c r="M187" s="436">
        <f>D187-SUM(E187:L187)</f>
        <v>0</v>
      </c>
    </row>
    <row r="188" spans="1:14" ht="12" customHeight="1">
      <c r="A188" s="454">
        <v>2021</v>
      </c>
      <c r="C188" s="405" t="s">
        <v>629</v>
      </c>
      <c r="D188" s="452">
        <f>'T2 ANSP'!D70</f>
        <v>0</v>
      </c>
      <c r="E188" s="507"/>
      <c r="F188" s="490">
        <v>0</v>
      </c>
      <c r="G188" s="490">
        <v>0</v>
      </c>
      <c r="H188" s="490">
        <v>0</v>
      </c>
      <c r="I188" s="490">
        <v>0</v>
      </c>
      <c r="J188" s="490">
        <v>0</v>
      </c>
      <c r="K188" s="490">
        <v>0</v>
      </c>
      <c r="L188" s="490">
        <v>0</v>
      </c>
      <c r="M188" s="439">
        <f t="shared" ref="M188:M189" si="36">D188-SUM(E188:L188)</f>
        <v>0</v>
      </c>
    </row>
    <row r="189" spans="1:14" ht="12" customHeight="1">
      <c r="A189" s="454">
        <v>2022</v>
      </c>
      <c r="C189" s="405" t="s">
        <v>630</v>
      </c>
      <c r="D189" s="452">
        <f>'T2 ANSP'!E70</f>
        <v>0</v>
      </c>
      <c r="E189" s="507"/>
      <c r="F189" s="508"/>
      <c r="G189" s="511">
        <v>0</v>
      </c>
      <c r="H189" s="511">
        <v>0</v>
      </c>
      <c r="I189" s="511">
        <v>0</v>
      </c>
      <c r="J189" s="511">
        <v>0</v>
      </c>
      <c r="K189" s="511">
        <v>0</v>
      </c>
      <c r="L189" s="511">
        <v>0</v>
      </c>
      <c r="M189" s="439">
        <f t="shared" si="36"/>
        <v>0</v>
      </c>
    </row>
    <row r="190" spans="1:14" ht="12" customHeight="1">
      <c r="A190" s="454" t="s">
        <v>468</v>
      </c>
      <c r="C190" s="412" t="s">
        <v>631</v>
      </c>
      <c r="D190" s="413">
        <f t="shared" ref="D190:L190" si="37">SUM(D187:D189)</f>
        <v>0</v>
      </c>
      <c r="E190" s="415">
        <f t="shared" si="37"/>
        <v>0</v>
      </c>
      <c r="F190" s="415">
        <f t="shared" si="37"/>
        <v>0</v>
      </c>
      <c r="G190" s="415">
        <f t="shared" si="37"/>
        <v>0</v>
      </c>
      <c r="H190" s="415">
        <f t="shared" si="37"/>
        <v>0</v>
      </c>
      <c r="I190" s="415">
        <f t="shared" si="37"/>
        <v>0</v>
      </c>
      <c r="J190" s="415">
        <f t="shared" si="37"/>
        <v>0</v>
      </c>
      <c r="K190" s="415">
        <f t="shared" si="37"/>
        <v>0</v>
      </c>
      <c r="L190" s="415">
        <f t="shared" si="37"/>
        <v>0</v>
      </c>
      <c r="M190" s="1031">
        <f t="shared" ref="M190" si="38">SUM(M187:M189)</f>
        <v>0</v>
      </c>
    </row>
    <row r="191" spans="1:14" ht="12" customHeight="1">
      <c r="A191" s="454">
        <v>2023</v>
      </c>
      <c r="C191" s="405" t="s">
        <v>632</v>
      </c>
      <c r="D191" s="452">
        <f>'T2 ANSP'!F70</f>
        <v>0</v>
      </c>
      <c r="E191" s="507"/>
      <c r="F191" s="508"/>
      <c r="G191" s="508"/>
      <c r="H191" s="511">
        <v>0</v>
      </c>
      <c r="I191" s="511">
        <v>0</v>
      </c>
      <c r="J191" s="1046">
        <v>0</v>
      </c>
      <c r="K191" s="490">
        <v>0</v>
      </c>
      <c r="L191" s="490">
        <v>0</v>
      </c>
      <c r="M191" s="439">
        <f>D191-SUM(E191:L191)</f>
        <v>0</v>
      </c>
    </row>
    <row r="192" spans="1:14" ht="12" customHeight="1">
      <c r="A192" s="454">
        <v>2024</v>
      </c>
      <c r="C192" s="405" t="s">
        <v>633</v>
      </c>
      <c r="D192" s="452">
        <f>'T2 ANSP'!G70</f>
        <v>0</v>
      </c>
      <c r="E192" s="507"/>
      <c r="F192" s="508"/>
      <c r="G192" s="508"/>
      <c r="H192" s="508"/>
      <c r="I192" s="511">
        <v>0</v>
      </c>
      <c r="J192" s="1046">
        <v>0</v>
      </c>
      <c r="K192" s="490">
        <v>0</v>
      </c>
      <c r="L192" s="490">
        <v>0</v>
      </c>
      <c r="M192" s="439">
        <f t="shared" ref="M192:M195" si="39">D192-SUM(E192:L192)</f>
        <v>0</v>
      </c>
    </row>
    <row r="193" spans="1:15" ht="12" customHeight="1">
      <c r="A193" s="454">
        <v>2025</v>
      </c>
      <c r="C193" s="405" t="s">
        <v>634</v>
      </c>
      <c r="D193" s="452">
        <f>'T2 ANSP'!H70</f>
        <v>0</v>
      </c>
      <c r="E193" s="507"/>
      <c r="F193" s="508"/>
      <c r="G193" s="508"/>
      <c r="H193" s="508"/>
      <c r="I193" s="508"/>
      <c r="J193" s="511">
        <v>0</v>
      </c>
      <c r="K193" s="490">
        <v>0</v>
      </c>
      <c r="L193" s="490">
        <v>0</v>
      </c>
      <c r="M193" s="439">
        <f t="shared" si="39"/>
        <v>0</v>
      </c>
    </row>
    <row r="194" spans="1:15" ht="12" customHeight="1">
      <c r="A194" s="454">
        <v>2026</v>
      </c>
      <c r="C194" s="405" t="s">
        <v>635</v>
      </c>
      <c r="D194" s="452">
        <f>'T2 ANSP'!I70</f>
        <v>0</v>
      </c>
      <c r="E194" s="507"/>
      <c r="F194" s="508"/>
      <c r="G194" s="508"/>
      <c r="H194" s="508"/>
      <c r="I194" s="508"/>
      <c r="J194" s="508"/>
      <c r="K194" s="490">
        <v>0</v>
      </c>
      <c r="L194" s="490">
        <v>0</v>
      </c>
      <c r="M194" s="439">
        <f t="shared" si="39"/>
        <v>0</v>
      </c>
    </row>
    <row r="195" spans="1:15" ht="12" customHeight="1">
      <c r="A195" s="454">
        <v>2027</v>
      </c>
      <c r="C195" s="405" t="s">
        <v>636</v>
      </c>
      <c r="D195" s="453">
        <f>'T2 ANSP'!J70</f>
        <v>0</v>
      </c>
      <c r="E195" s="512"/>
      <c r="F195" s="513"/>
      <c r="G195" s="513"/>
      <c r="H195" s="513"/>
      <c r="I195" s="513"/>
      <c r="J195" s="513"/>
      <c r="K195" s="513"/>
      <c r="L195" s="490">
        <v>0</v>
      </c>
      <c r="M195" s="1056">
        <f t="shared" si="39"/>
        <v>0</v>
      </c>
    </row>
    <row r="196" spans="1:15" ht="12" customHeight="1">
      <c r="A196" s="454" t="s">
        <v>475</v>
      </c>
      <c r="C196" s="430" t="s">
        <v>924</v>
      </c>
      <c r="D196" s="431">
        <f>SUM(D191:D195)+D186+D190</f>
        <v>0</v>
      </c>
      <c r="E196" s="479">
        <f t="shared" ref="E196:M196" si="40">SUM(E191:E195)+E186+E190</f>
        <v>0</v>
      </c>
      <c r="F196" s="433">
        <f t="shared" si="40"/>
        <v>0</v>
      </c>
      <c r="G196" s="433">
        <f t="shared" si="40"/>
        <v>0</v>
      </c>
      <c r="H196" s="433">
        <f t="shared" si="40"/>
        <v>0</v>
      </c>
      <c r="I196" s="433">
        <f t="shared" si="40"/>
        <v>0</v>
      </c>
      <c r="J196" s="433">
        <f t="shared" si="40"/>
        <v>0</v>
      </c>
      <c r="K196" s="433">
        <f t="shared" si="40"/>
        <v>0</v>
      </c>
      <c r="L196" s="433">
        <f t="shared" si="40"/>
        <v>0</v>
      </c>
      <c r="M196" s="1055">
        <f t="shared" si="40"/>
        <v>0</v>
      </c>
    </row>
    <row r="197" spans="1:15" ht="4.2" customHeight="1">
      <c r="A197" s="748"/>
    </row>
    <row r="198" spans="1:15" ht="12" customHeight="1">
      <c r="A198" s="454">
        <v>2017</v>
      </c>
      <c r="C198" s="397" t="s">
        <v>638</v>
      </c>
      <c r="D198" s="516">
        <v>0</v>
      </c>
      <c r="E198" s="485">
        <v>0</v>
      </c>
      <c r="F198" s="486">
        <v>0</v>
      </c>
      <c r="G198" s="486">
        <v>0</v>
      </c>
      <c r="H198" s="486">
        <v>0</v>
      </c>
      <c r="I198" s="486">
        <v>0</v>
      </c>
      <c r="J198" s="486"/>
      <c r="K198" s="486"/>
      <c r="L198" s="486"/>
      <c r="M198" s="436">
        <f>D198-SUM(E198:L198)</f>
        <v>0</v>
      </c>
    </row>
    <row r="199" spans="1:15" ht="12" customHeight="1">
      <c r="A199" s="454">
        <v>2018</v>
      </c>
      <c r="C199" s="405" t="s">
        <v>639</v>
      </c>
      <c r="D199" s="517">
        <v>0</v>
      </c>
      <c r="E199" s="489">
        <v>0</v>
      </c>
      <c r="F199" s="490">
        <v>0</v>
      </c>
      <c r="G199" s="490">
        <v>0</v>
      </c>
      <c r="H199" s="490">
        <v>0</v>
      </c>
      <c r="I199" s="490">
        <v>0</v>
      </c>
      <c r="J199" s="490"/>
      <c r="K199" s="490"/>
      <c r="L199" s="490"/>
      <c r="M199" s="439">
        <f t="shared" ref="M199:M200" si="41">D199-SUM(E199:L199)</f>
        <v>0</v>
      </c>
    </row>
    <row r="200" spans="1:15" ht="12" customHeight="1">
      <c r="A200" s="454">
        <v>2019</v>
      </c>
      <c r="C200" s="405" t="s">
        <v>640</v>
      </c>
      <c r="D200" s="406">
        <v>0</v>
      </c>
      <c r="E200" s="489">
        <v>0</v>
      </c>
      <c r="F200" s="490">
        <v>0</v>
      </c>
      <c r="G200" s="490">
        <v>0</v>
      </c>
      <c r="H200" s="490">
        <v>0</v>
      </c>
      <c r="I200" s="490">
        <v>0</v>
      </c>
      <c r="J200" s="490"/>
      <c r="K200" s="490"/>
      <c r="L200" s="490"/>
      <c r="M200" s="439">
        <f t="shared" si="41"/>
        <v>0</v>
      </c>
    </row>
    <row r="201" spans="1:15" ht="12" customHeight="1">
      <c r="A201" s="454" t="s">
        <v>463</v>
      </c>
      <c r="C201" s="412" t="s">
        <v>641</v>
      </c>
      <c r="D201" s="413">
        <f>SUM(D198:D200)</f>
        <v>0</v>
      </c>
      <c r="E201" s="414">
        <f t="shared" ref="E201:M201" si="42">SUM(E198:E200)</f>
        <v>0</v>
      </c>
      <c r="F201" s="415">
        <f t="shared" si="42"/>
        <v>0</v>
      </c>
      <c r="G201" s="415">
        <f t="shared" si="42"/>
        <v>0</v>
      </c>
      <c r="H201" s="415">
        <f t="shared" si="42"/>
        <v>0</v>
      </c>
      <c r="I201" s="415">
        <f t="shared" ref="I201" si="43">SUM(I198:I200)</f>
        <v>0</v>
      </c>
      <c r="J201" s="415"/>
      <c r="K201" s="415"/>
      <c r="L201" s="415"/>
      <c r="M201" s="1031">
        <f t="shared" si="42"/>
        <v>0</v>
      </c>
    </row>
    <row r="202" spans="1:15" s="966" customFormat="1">
      <c r="A202" s="962">
        <v>2020</v>
      </c>
      <c r="B202" s="539"/>
      <c r="C202" s="435" t="s">
        <v>642</v>
      </c>
      <c r="D202" s="963">
        <f>'T2 ANSP'!C71</f>
        <v>-7306.3912952168575</v>
      </c>
      <c r="E202" s="964">
        <f>+D202</f>
        <v>-7306.3912952168575</v>
      </c>
      <c r="F202" s="965">
        <v>0</v>
      </c>
      <c r="G202" s="965">
        <v>0</v>
      </c>
      <c r="H202" s="965">
        <v>0</v>
      </c>
      <c r="I202" s="965">
        <v>0</v>
      </c>
      <c r="J202" s="965">
        <v>0</v>
      </c>
      <c r="K202" s="965">
        <v>0</v>
      </c>
      <c r="L202" s="965">
        <v>0</v>
      </c>
      <c r="M202" s="436">
        <f>D202-SUM(E202:L202)</f>
        <v>0</v>
      </c>
      <c r="N202" s="515"/>
      <c r="O202" s="1361"/>
    </row>
    <row r="203" spans="1:15" ht="12" customHeight="1">
      <c r="A203" s="454">
        <v>2021</v>
      </c>
      <c r="C203" s="405" t="s">
        <v>643</v>
      </c>
      <c r="D203" s="452">
        <f>'T2 ANSP'!D71</f>
        <v>-2637.4695319517432</v>
      </c>
      <c r="E203" s="507"/>
      <c r="F203" s="490">
        <f>D203</f>
        <v>-2637.4695319517432</v>
      </c>
      <c r="G203" s="490">
        <v>0</v>
      </c>
      <c r="H203" s="490">
        <v>0</v>
      </c>
      <c r="I203" s="490">
        <v>0</v>
      </c>
      <c r="J203" s="490">
        <v>0</v>
      </c>
      <c r="K203" s="490">
        <v>0</v>
      </c>
      <c r="L203" s="490">
        <v>0</v>
      </c>
      <c r="M203" s="439">
        <f t="shared" ref="M203:M204" si="44">D203-SUM(E203:L203)</f>
        <v>0</v>
      </c>
    </row>
    <row r="204" spans="1:15" ht="12" customHeight="1">
      <c r="A204" s="454">
        <v>2022</v>
      </c>
      <c r="C204" s="405" t="s">
        <v>644</v>
      </c>
      <c r="D204" s="452">
        <f>'T2 ANSP'!E71</f>
        <v>0</v>
      </c>
      <c r="E204" s="507"/>
      <c r="F204" s="507"/>
      <c r="G204" s="490">
        <v>0</v>
      </c>
      <c r="H204" s="490">
        <v>0</v>
      </c>
      <c r="I204" s="490">
        <v>0</v>
      </c>
      <c r="J204" s="490">
        <v>0</v>
      </c>
      <c r="K204" s="490">
        <v>0</v>
      </c>
      <c r="L204" s="490">
        <v>0</v>
      </c>
      <c r="M204" s="439">
        <f t="shared" si="44"/>
        <v>0</v>
      </c>
    </row>
    <row r="205" spans="1:15" ht="12" customHeight="1">
      <c r="A205" s="454" t="s">
        <v>468</v>
      </c>
      <c r="C205" s="412" t="s">
        <v>645</v>
      </c>
      <c r="D205" s="413">
        <f t="shared" ref="D205:L205" si="45">SUM(D202:D204)</f>
        <v>-9943.8608271686007</v>
      </c>
      <c r="E205" s="415">
        <f t="shared" si="45"/>
        <v>-7306.3912952168575</v>
      </c>
      <c r="F205" s="415">
        <f t="shared" si="45"/>
        <v>-2637.4695319517432</v>
      </c>
      <c r="G205" s="415">
        <f t="shared" si="45"/>
        <v>0</v>
      </c>
      <c r="H205" s="415">
        <f t="shared" si="45"/>
        <v>0</v>
      </c>
      <c r="I205" s="415">
        <f t="shared" si="45"/>
        <v>0</v>
      </c>
      <c r="J205" s="415">
        <f t="shared" si="45"/>
        <v>0</v>
      </c>
      <c r="K205" s="415">
        <f t="shared" si="45"/>
        <v>0</v>
      </c>
      <c r="L205" s="415">
        <f t="shared" si="45"/>
        <v>0</v>
      </c>
      <c r="M205" s="1031">
        <f t="shared" ref="M205" si="46">SUM(M202:M204)</f>
        <v>0</v>
      </c>
    </row>
    <row r="206" spans="1:15" ht="12" customHeight="1">
      <c r="A206" s="454">
        <v>2023</v>
      </c>
      <c r="C206" s="405" t="s">
        <v>646</v>
      </c>
      <c r="D206" s="452">
        <f>'T2 ANSP'!F71</f>
        <v>0</v>
      </c>
      <c r="E206" s="507"/>
      <c r="F206" s="508"/>
      <c r="G206" s="508"/>
      <c r="H206" s="490">
        <v>0</v>
      </c>
      <c r="I206" s="490">
        <v>0</v>
      </c>
      <c r="J206" s="490">
        <v>0</v>
      </c>
      <c r="K206" s="490">
        <v>0</v>
      </c>
      <c r="L206" s="490">
        <v>0</v>
      </c>
      <c r="M206" s="439">
        <f>D206-SUM(E206:L206)</f>
        <v>0</v>
      </c>
    </row>
    <row r="207" spans="1:15" ht="12" customHeight="1">
      <c r="A207" s="454">
        <v>2024</v>
      </c>
      <c r="C207" s="405" t="s">
        <v>647</v>
      </c>
      <c r="D207" s="452">
        <f>'T2 ANSP'!G71</f>
        <v>0</v>
      </c>
      <c r="E207" s="507"/>
      <c r="F207" s="508"/>
      <c r="G207" s="508"/>
      <c r="H207" s="508"/>
      <c r="I207" s="490">
        <v>0</v>
      </c>
      <c r="J207" s="490">
        <v>0</v>
      </c>
      <c r="K207" s="490">
        <v>0</v>
      </c>
      <c r="L207" s="490">
        <v>0</v>
      </c>
      <c r="M207" s="439">
        <f t="shared" ref="M207:M210" si="47">D207-SUM(E207:L207)</f>
        <v>0</v>
      </c>
    </row>
    <row r="208" spans="1:15" ht="12" customHeight="1">
      <c r="A208" s="454">
        <v>2025</v>
      </c>
      <c r="C208" s="405" t="s">
        <v>648</v>
      </c>
      <c r="D208" s="452">
        <f>'T2 ANSP'!H71</f>
        <v>0</v>
      </c>
      <c r="E208" s="507"/>
      <c r="F208" s="508"/>
      <c r="G208" s="508"/>
      <c r="H208" s="508"/>
      <c r="I208" s="508"/>
      <c r="J208" s="490">
        <v>0</v>
      </c>
      <c r="K208" s="490">
        <v>0</v>
      </c>
      <c r="L208" s="490">
        <v>0</v>
      </c>
      <c r="M208" s="439">
        <f t="shared" si="47"/>
        <v>0</v>
      </c>
    </row>
    <row r="209" spans="1:13" ht="12" customHeight="1">
      <c r="A209" s="454">
        <v>2026</v>
      </c>
      <c r="C209" s="405" t="s">
        <v>649</v>
      </c>
      <c r="D209" s="452">
        <f>'T2 ANSP'!I71</f>
        <v>0</v>
      </c>
      <c r="E209" s="507"/>
      <c r="F209" s="508"/>
      <c r="G209" s="508"/>
      <c r="H209" s="508"/>
      <c r="I209" s="508"/>
      <c r="J209" s="508"/>
      <c r="K209" s="490">
        <v>0</v>
      </c>
      <c r="L209" s="490">
        <v>0</v>
      </c>
      <c r="M209" s="439">
        <f t="shared" si="47"/>
        <v>0</v>
      </c>
    </row>
    <row r="210" spans="1:13" ht="12" customHeight="1">
      <c r="A210" s="454">
        <v>2027</v>
      </c>
      <c r="C210" s="405" t="s">
        <v>650</v>
      </c>
      <c r="D210" s="453">
        <f>'T2 ANSP'!J71</f>
        <v>0</v>
      </c>
      <c r="E210" s="512"/>
      <c r="F210" s="513"/>
      <c r="G210" s="513"/>
      <c r="H210" s="513"/>
      <c r="I210" s="513"/>
      <c r="J210" s="513"/>
      <c r="K210" s="513"/>
      <c r="L210" s="521">
        <v>0</v>
      </c>
      <c r="M210" s="1056">
        <f t="shared" si="47"/>
        <v>0</v>
      </c>
    </row>
    <row r="211" spans="1:13" ht="12" customHeight="1">
      <c r="A211" s="454" t="s">
        <v>475</v>
      </c>
      <c r="C211" s="430" t="s">
        <v>925</v>
      </c>
      <c r="D211" s="431">
        <f>SUM(D206:D210)+D201+D205</f>
        <v>-9943.8608271686007</v>
      </c>
      <c r="E211" s="479">
        <f t="shared" ref="E211:M211" si="48">SUM(E206:E210)+E201+E205</f>
        <v>-7306.3912952168575</v>
      </c>
      <c r="F211" s="1334">
        <f t="shared" si="48"/>
        <v>-2637.4695319517432</v>
      </c>
      <c r="G211" s="433">
        <f t="shared" si="48"/>
        <v>0</v>
      </c>
      <c r="H211" s="433">
        <f t="shared" si="48"/>
        <v>0</v>
      </c>
      <c r="I211" s="480">
        <f t="shared" si="48"/>
        <v>0</v>
      </c>
      <c r="J211" s="480">
        <f t="shared" si="48"/>
        <v>0</v>
      </c>
      <c r="K211" s="480">
        <f t="shared" si="48"/>
        <v>0</v>
      </c>
      <c r="L211" s="480">
        <f t="shared" si="48"/>
        <v>0</v>
      </c>
      <c r="M211" s="1055">
        <f t="shared" si="48"/>
        <v>0</v>
      </c>
    </row>
    <row r="212" spans="1:13" ht="4.2" customHeight="1">
      <c r="A212" s="748"/>
    </row>
    <row r="213" spans="1:13" ht="12" customHeight="1">
      <c r="A213" s="454">
        <v>2017</v>
      </c>
      <c r="C213" s="397" t="s">
        <v>652</v>
      </c>
      <c r="D213" s="403"/>
      <c r="E213" s="455"/>
      <c r="F213" s="401"/>
      <c r="G213" s="401"/>
      <c r="H213" s="401"/>
      <c r="I213" s="1038"/>
      <c r="J213" s="1038"/>
      <c r="K213" s="1038"/>
      <c r="L213" s="1038"/>
      <c r="M213" s="1034"/>
    </row>
    <row r="214" spans="1:13" ht="12" customHeight="1">
      <c r="A214" s="454">
        <v>2018</v>
      </c>
      <c r="C214" s="405" t="s">
        <v>653</v>
      </c>
      <c r="D214" s="411"/>
      <c r="E214" s="456"/>
      <c r="F214" s="409"/>
      <c r="G214" s="409"/>
      <c r="H214" s="409"/>
      <c r="I214" s="1042"/>
      <c r="J214" s="1042"/>
      <c r="K214" s="1042"/>
      <c r="L214" s="1042"/>
      <c r="M214" s="1029"/>
    </row>
    <row r="215" spans="1:13" ht="12" customHeight="1">
      <c r="A215" s="454">
        <v>2019</v>
      </c>
      <c r="C215" s="405" t="s">
        <v>654</v>
      </c>
      <c r="D215" s="411"/>
      <c r="E215" s="456"/>
      <c r="F215" s="409"/>
      <c r="G215" s="409"/>
      <c r="H215" s="409"/>
      <c r="I215" s="1039"/>
      <c r="J215" s="1039"/>
      <c r="K215" s="1039"/>
      <c r="L215" s="1039"/>
      <c r="M215" s="1029"/>
    </row>
    <row r="216" spans="1:13" ht="12" customHeight="1">
      <c r="A216" s="454" t="s">
        <v>463</v>
      </c>
      <c r="C216" s="412" t="s">
        <v>655</v>
      </c>
      <c r="D216" s="418"/>
      <c r="E216" s="463"/>
      <c r="F216" s="416"/>
      <c r="G216" s="416"/>
      <c r="H216" s="416"/>
      <c r="I216" s="1040"/>
      <c r="J216" s="1040"/>
      <c r="K216" s="1040"/>
      <c r="L216" s="1040"/>
      <c r="M216" s="1030"/>
    </row>
    <row r="217" spans="1:13" s="515" customFormat="1">
      <c r="A217" s="454">
        <v>2020</v>
      </c>
      <c r="B217" s="385"/>
      <c r="C217" s="397" t="s">
        <v>656</v>
      </c>
      <c r="D217" s="464"/>
      <c r="E217" s="455"/>
      <c r="F217" s="401"/>
      <c r="G217" s="401"/>
      <c r="H217" s="401"/>
      <c r="I217" s="1038"/>
      <c r="J217" s="1038"/>
      <c r="K217" s="1038"/>
      <c r="L217" s="1038"/>
      <c r="M217" s="1034"/>
    </row>
    <row r="218" spans="1:13" ht="12" customHeight="1">
      <c r="A218" s="454">
        <v>2021</v>
      </c>
      <c r="C218" s="405" t="s">
        <v>657</v>
      </c>
      <c r="D218" s="465"/>
      <c r="E218" s="456"/>
      <c r="F218" s="409"/>
      <c r="G218" s="409"/>
      <c r="H218" s="409"/>
      <c r="I218" s="1042"/>
      <c r="J218" s="1042"/>
      <c r="K218" s="1042"/>
      <c r="L218" s="1042"/>
      <c r="M218" s="1029"/>
    </row>
    <row r="219" spans="1:13" ht="12" customHeight="1">
      <c r="A219" s="454">
        <v>2022</v>
      </c>
      <c r="C219" s="405" t="s">
        <v>658</v>
      </c>
      <c r="D219" s="465"/>
      <c r="E219" s="456"/>
      <c r="F219" s="409"/>
      <c r="G219" s="409"/>
      <c r="H219" s="409"/>
      <c r="I219" s="1042"/>
      <c r="J219" s="1042"/>
      <c r="K219" s="1042"/>
      <c r="L219" s="1042"/>
      <c r="M219" s="1029"/>
    </row>
    <row r="220" spans="1:13" ht="12" customHeight="1">
      <c r="A220" s="454" t="s">
        <v>468</v>
      </c>
      <c r="C220" s="412" t="s">
        <v>659</v>
      </c>
      <c r="D220" s="418"/>
      <c r="E220" s="463"/>
      <c r="F220" s="416"/>
      <c r="G220" s="416"/>
      <c r="H220" s="416"/>
      <c r="I220" s="1040"/>
      <c r="J220" s="1040"/>
      <c r="K220" s="1040"/>
      <c r="L220" s="1040"/>
      <c r="M220" s="1030"/>
    </row>
    <row r="221" spans="1:13" ht="12" customHeight="1">
      <c r="A221" s="454">
        <v>2023</v>
      </c>
      <c r="C221" s="405" t="s">
        <v>660</v>
      </c>
      <c r="D221" s="465"/>
      <c r="E221" s="456"/>
      <c r="F221" s="409"/>
      <c r="G221" s="409"/>
      <c r="H221" s="409"/>
      <c r="I221" s="1042"/>
      <c r="J221" s="1042"/>
      <c r="K221" s="1042"/>
      <c r="L221" s="1042"/>
      <c r="M221" s="1029"/>
    </row>
    <row r="222" spans="1:13" ht="12" customHeight="1">
      <c r="A222" s="454">
        <v>2024</v>
      </c>
      <c r="C222" s="405" t="s">
        <v>661</v>
      </c>
      <c r="D222" s="465"/>
      <c r="E222" s="456"/>
      <c r="F222" s="409"/>
      <c r="G222" s="409"/>
      <c r="H222" s="409"/>
      <c r="I222" s="1042"/>
      <c r="J222" s="1042"/>
      <c r="K222" s="1042"/>
      <c r="L222" s="1042"/>
      <c r="M222" s="1029"/>
    </row>
    <row r="223" spans="1:13" ht="12" customHeight="1">
      <c r="A223" s="454">
        <v>2025</v>
      </c>
      <c r="C223" s="405" t="s">
        <v>662</v>
      </c>
      <c r="D223" s="465"/>
      <c r="E223" s="456"/>
      <c r="F223" s="409"/>
      <c r="G223" s="409"/>
      <c r="H223" s="409"/>
      <c r="I223" s="1039"/>
      <c r="J223" s="1039"/>
      <c r="K223" s="1039"/>
      <c r="L223" s="1039"/>
      <c r="M223" s="1029"/>
    </row>
    <row r="224" spans="1:13" ht="12" customHeight="1">
      <c r="A224" s="454">
        <v>2026</v>
      </c>
      <c r="C224" s="405" t="s">
        <v>663</v>
      </c>
      <c r="D224" s="465"/>
      <c r="E224" s="456"/>
      <c r="F224" s="409"/>
      <c r="G224" s="409"/>
      <c r="H224" s="409"/>
      <c r="I224" s="1039"/>
      <c r="J224" s="1039"/>
      <c r="K224" s="1039"/>
      <c r="L224" s="1039"/>
      <c r="M224" s="1029"/>
    </row>
    <row r="225" spans="1:15" ht="12" customHeight="1">
      <c r="A225" s="454">
        <v>2027</v>
      </c>
      <c r="C225" s="405" t="s">
        <v>664</v>
      </c>
      <c r="D225" s="466"/>
      <c r="E225" s="459"/>
      <c r="F225" s="460"/>
      <c r="G225" s="460"/>
      <c r="H225" s="460"/>
      <c r="I225" s="1049"/>
      <c r="J225" s="1049"/>
      <c r="K225" s="1049"/>
      <c r="L225" s="1049"/>
      <c r="M225" s="1035"/>
    </row>
    <row r="226" spans="1:15" ht="12" customHeight="1">
      <c r="A226" s="454" t="s">
        <v>475</v>
      </c>
      <c r="C226" s="430" t="s">
        <v>926</v>
      </c>
      <c r="D226" s="499"/>
      <c r="E226" s="493"/>
      <c r="F226" s="494"/>
      <c r="G226" s="494"/>
      <c r="H226" s="494"/>
      <c r="I226" s="500"/>
      <c r="J226" s="500"/>
      <c r="K226" s="500"/>
      <c r="L226" s="500"/>
      <c r="M226" s="1036"/>
    </row>
    <row r="227" spans="1:15" ht="4.2" customHeight="1">
      <c r="A227" s="748"/>
    </row>
    <row r="228" spans="1:15" ht="12" customHeight="1">
      <c r="A228" s="454">
        <v>2020</v>
      </c>
      <c r="C228" s="468" t="s">
        <v>666</v>
      </c>
      <c r="D228" s="447">
        <f>'T2 ANSP'!C63</f>
        <v>4635.6626138413685</v>
      </c>
      <c r="E228" s="456"/>
      <c r="F228" s="409"/>
      <c r="G228" s="1024">
        <f>D228</f>
        <v>4635.6626138413685</v>
      </c>
      <c r="H228" s="506"/>
      <c r="I228" s="506"/>
      <c r="J228" s="506"/>
      <c r="K228" s="506"/>
      <c r="L228" s="506"/>
      <c r="M228" s="436">
        <f>D228-SUM(E228:L228)</f>
        <v>0</v>
      </c>
      <c r="O228" s="1369" t="s">
        <v>704</v>
      </c>
    </row>
    <row r="229" spans="1:15" ht="12" customHeight="1">
      <c r="A229" s="454">
        <v>2021</v>
      </c>
      <c r="C229" s="469" t="s">
        <v>667</v>
      </c>
      <c r="D229" s="448">
        <f>'T2 ANSP'!D63</f>
        <v>0</v>
      </c>
      <c r="E229" s="456"/>
      <c r="F229" s="409"/>
      <c r="G229" s="409"/>
      <c r="H229" s="409"/>
      <c r="I229" s="409"/>
      <c r="J229" s="409"/>
      <c r="K229" s="409"/>
      <c r="L229" s="409"/>
      <c r="M229" s="439">
        <f>D229-SUM(E229:L229)</f>
        <v>0</v>
      </c>
    </row>
    <row r="230" spans="1:15" ht="12" customHeight="1">
      <c r="A230" s="454">
        <v>2022</v>
      </c>
      <c r="C230" s="469" t="s">
        <v>668</v>
      </c>
      <c r="D230" s="448">
        <f>'T2 ANSP'!E63</f>
        <v>0</v>
      </c>
      <c r="E230" s="503"/>
      <c r="F230" s="522"/>
      <c r="G230" s="522"/>
      <c r="H230" s="508"/>
      <c r="I230" s="508"/>
      <c r="J230" s="522"/>
      <c r="K230" s="522"/>
      <c r="L230" s="522"/>
      <c r="M230" s="439">
        <f>D230-SUM(E230:L230)</f>
        <v>0</v>
      </c>
    </row>
    <row r="231" spans="1:15" ht="12" customHeight="1">
      <c r="A231" s="454" t="s">
        <v>468</v>
      </c>
      <c r="C231" s="412" t="s">
        <v>669</v>
      </c>
      <c r="D231" s="413">
        <f>SUM(D228:D230)</f>
        <v>4635.6626138413685</v>
      </c>
      <c r="E231" s="414">
        <f t="shared" ref="E231:I231" si="49">SUM(E228:E230)</f>
        <v>0</v>
      </c>
      <c r="F231" s="415">
        <f t="shared" si="49"/>
        <v>0</v>
      </c>
      <c r="G231" s="415">
        <f t="shared" si="49"/>
        <v>4635.6626138413685</v>
      </c>
      <c r="H231" s="415">
        <f t="shared" si="49"/>
        <v>0</v>
      </c>
      <c r="I231" s="450">
        <f t="shared" si="49"/>
        <v>0</v>
      </c>
      <c r="J231" s="1040"/>
      <c r="K231" s="1040"/>
      <c r="L231" s="1040"/>
      <c r="M231" s="1030"/>
    </row>
    <row r="232" spans="1:15" ht="12" customHeight="1">
      <c r="A232" s="454">
        <v>2023</v>
      </c>
      <c r="C232" s="469" t="s">
        <v>670</v>
      </c>
      <c r="D232" s="448">
        <f>'T2 ANSP'!F63</f>
        <v>0</v>
      </c>
      <c r="E232" s="503"/>
      <c r="F232" s="522"/>
      <c r="G232" s="522"/>
      <c r="H232" s="522"/>
      <c r="I232" s="522"/>
      <c r="J232" s="490"/>
      <c r="K232" s="522"/>
      <c r="L232" s="522"/>
      <c r="M232" s="436">
        <f>D232-SUM(E232:L232)</f>
        <v>0</v>
      </c>
    </row>
    <row r="233" spans="1:15" ht="12" customHeight="1">
      <c r="A233" s="454">
        <v>2024</v>
      </c>
      <c r="C233" s="469" t="s">
        <v>671</v>
      </c>
      <c r="D233" s="448">
        <f>'T2 ANSP'!G63</f>
        <v>0</v>
      </c>
      <c r="E233" s="503"/>
      <c r="F233" s="522"/>
      <c r="G233" s="522"/>
      <c r="H233" s="522"/>
      <c r="I233" s="522"/>
      <c r="J233" s="522"/>
      <c r="K233" s="490"/>
      <c r="L233" s="522"/>
      <c r="M233" s="439">
        <f>D233-SUM(E233:L233)</f>
        <v>0</v>
      </c>
    </row>
    <row r="234" spans="1:15" ht="12" customHeight="1">
      <c r="A234" s="454">
        <v>2025</v>
      </c>
      <c r="C234" s="469" t="s">
        <v>672</v>
      </c>
      <c r="D234" s="448">
        <f>'T2 ANSP'!H63</f>
        <v>0</v>
      </c>
      <c r="E234" s="503"/>
      <c r="F234" s="522"/>
      <c r="G234" s="522"/>
      <c r="H234" s="522"/>
      <c r="I234" s="522"/>
      <c r="J234" s="522"/>
      <c r="K234" s="522"/>
      <c r="L234" s="490"/>
      <c r="M234" s="439">
        <f>D234-SUM(E234:L234)</f>
        <v>0</v>
      </c>
    </row>
    <row r="235" spans="1:15" ht="12" customHeight="1">
      <c r="A235" s="454">
        <v>2026</v>
      </c>
      <c r="C235" s="469" t="s">
        <v>673</v>
      </c>
      <c r="D235" s="448">
        <f>'T2 ANSP'!I63</f>
        <v>0</v>
      </c>
      <c r="E235" s="503"/>
      <c r="F235" s="522"/>
      <c r="G235" s="522"/>
      <c r="H235" s="522"/>
      <c r="I235" s="522"/>
      <c r="J235" s="522"/>
      <c r="K235" s="522"/>
      <c r="L235" s="522"/>
      <c r="M235" s="439">
        <f>D235-SUM(E235:L235)</f>
        <v>0</v>
      </c>
    </row>
    <row r="236" spans="1:15" ht="12" customHeight="1">
      <c r="A236" s="454">
        <v>2027</v>
      </c>
      <c r="C236" s="469" t="s">
        <v>674</v>
      </c>
      <c r="D236" s="449">
        <f>'T2 ANSP'!J63</f>
        <v>0</v>
      </c>
      <c r="E236" s="523"/>
      <c r="F236" s="524"/>
      <c r="G236" s="524"/>
      <c r="H236" s="524"/>
      <c r="I236" s="524"/>
      <c r="J236" s="524"/>
      <c r="K236" s="524"/>
      <c r="L236" s="524"/>
      <c r="M236" s="1056">
        <f>D236-SUM(E236:L236)</f>
        <v>0</v>
      </c>
    </row>
    <row r="237" spans="1:15" ht="12" customHeight="1">
      <c r="A237" s="454" t="s">
        <v>475</v>
      </c>
      <c r="C237" s="525" t="s">
        <v>927</v>
      </c>
      <c r="D237" s="431">
        <f>SUM(D231:D236)</f>
        <v>4635.6626138413685</v>
      </c>
      <c r="E237" s="526">
        <f t="shared" ref="E237:M237" si="50">SUM(E231:E236)</f>
        <v>0</v>
      </c>
      <c r="F237" s="527">
        <f t="shared" si="50"/>
        <v>0</v>
      </c>
      <c r="G237" s="527">
        <f t="shared" si="50"/>
        <v>4635.6626138413685</v>
      </c>
      <c r="H237" s="527">
        <f t="shared" si="50"/>
        <v>0</v>
      </c>
      <c r="I237" s="1050">
        <f t="shared" si="50"/>
        <v>0</v>
      </c>
      <c r="J237" s="1050">
        <f t="shared" si="50"/>
        <v>0</v>
      </c>
      <c r="K237" s="1050">
        <f t="shared" si="50"/>
        <v>0</v>
      </c>
      <c r="L237" s="1050">
        <f t="shared" si="50"/>
        <v>0</v>
      </c>
      <c r="M237" s="1055">
        <f t="shared" si="50"/>
        <v>0</v>
      </c>
    </row>
    <row r="238" spans="1:15" ht="3" customHeight="1"/>
    <row r="239" spans="1:15" ht="12" customHeight="1">
      <c r="A239" s="454">
        <v>2020</v>
      </c>
      <c r="C239" s="468" t="s">
        <v>676</v>
      </c>
      <c r="D239" s="540"/>
      <c r="E239" s="455"/>
      <c r="F239" s="401"/>
      <c r="G239" s="401"/>
      <c r="H239" s="401"/>
      <c r="I239" s="1051"/>
      <c r="J239" s="1051"/>
      <c r="K239" s="1051"/>
      <c r="L239" s="1051"/>
      <c r="M239" s="1034"/>
      <c r="O239" s="1370"/>
    </row>
    <row r="240" spans="1:15" ht="12" customHeight="1">
      <c r="A240" s="454">
        <v>2021</v>
      </c>
      <c r="C240" s="469" t="s">
        <v>677</v>
      </c>
      <c r="D240" s="541"/>
      <c r="E240" s="456"/>
      <c r="F240" s="409"/>
      <c r="G240" s="409"/>
      <c r="H240" s="409"/>
      <c r="I240" s="1039"/>
      <c r="J240" s="1039"/>
      <c r="K240" s="1039"/>
      <c r="L240" s="1039"/>
      <c r="M240" s="1029"/>
      <c r="O240" s="1370"/>
    </row>
    <row r="241" spans="1:15" ht="12" customHeight="1">
      <c r="A241" s="454">
        <v>2022</v>
      </c>
      <c r="C241" s="469" t="s">
        <v>678</v>
      </c>
      <c r="D241" s="541"/>
      <c r="E241" s="456"/>
      <c r="F241" s="409"/>
      <c r="G241" s="409"/>
      <c r="H241" s="409"/>
      <c r="I241" s="1039"/>
      <c r="J241" s="1039"/>
      <c r="K241" s="1039"/>
      <c r="L241" s="1039"/>
      <c r="M241" s="1029"/>
      <c r="O241" s="1370"/>
    </row>
    <row r="242" spans="1:15" ht="12" customHeight="1">
      <c r="A242" s="454" t="s">
        <v>468</v>
      </c>
      <c r="C242" s="412" t="s">
        <v>679</v>
      </c>
      <c r="D242" s="1040"/>
      <c r="E242" s="1040"/>
      <c r="F242" s="1040"/>
      <c r="G242" s="1040"/>
      <c r="H242" s="1040"/>
      <c r="I242" s="1040"/>
      <c r="J242" s="1040"/>
      <c r="K242" s="1040"/>
      <c r="L242" s="1040"/>
      <c r="M242" s="1030"/>
      <c r="O242" s="1370"/>
    </row>
    <row r="243" spans="1:15" ht="12" customHeight="1">
      <c r="A243" s="454">
        <v>2023</v>
      </c>
      <c r="C243" s="469" t="s">
        <v>680</v>
      </c>
      <c r="D243" s="541"/>
      <c r="E243" s="456"/>
      <c r="F243" s="409"/>
      <c r="G243" s="409"/>
      <c r="H243" s="409"/>
      <c r="I243" s="1039"/>
      <c r="J243" s="1039"/>
      <c r="K243" s="1039"/>
      <c r="L243" s="1039"/>
      <c r="M243" s="1029"/>
      <c r="O243" s="1370"/>
    </row>
    <row r="244" spans="1:15" ht="12" customHeight="1">
      <c r="A244" s="454">
        <v>2024</v>
      </c>
      <c r="C244" s="469" t="s">
        <v>681</v>
      </c>
      <c r="D244" s="541"/>
      <c r="E244" s="456"/>
      <c r="F244" s="409"/>
      <c r="G244" s="409"/>
      <c r="H244" s="409"/>
      <c r="I244" s="1039"/>
      <c r="J244" s="1039"/>
      <c r="K244" s="1039"/>
      <c r="L244" s="1039"/>
      <c r="M244" s="1029"/>
      <c r="O244" s="1370"/>
    </row>
    <row r="245" spans="1:15" ht="12" customHeight="1">
      <c r="A245" s="454">
        <v>2025</v>
      </c>
      <c r="C245" s="469" t="s">
        <v>682</v>
      </c>
      <c r="D245" s="541"/>
      <c r="E245" s="456"/>
      <c r="F245" s="409"/>
      <c r="G245" s="409"/>
      <c r="H245" s="409"/>
      <c r="I245" s="1039"/>
      <c r="J245" s="1039"/>
      <c r="K245" s="1039"/>
      <c r="L245" s="1039"/>
      <c r="M245" s="1029"/>
      <c r="O245" s="1370"/>
    </row>
    <row r="246" spans="1:15" ht="12" customHeight="1">
      <c r="A246" s="454">
        <v>2026</v>
      </c>
      <c r="C246" s="469" t="s">
        <v>683</v>
      </c>
      <c r="D246" s="541"/>
      <c r="E246" s="456"/>
      <c r="F246" s="409"/>
      <c r="G246" s="409"/>
      <c r="H246" s="409"/>
      <c r="I246" s="1039"/>
      <c r="J246" s="1039"/>
      <c r="K246" s="1039"/>
      <c r="L246" s="1039"/>
      <c r="M246" s="1029"/>
      <c r="O246" s="1370"/>
    </row>
    <row r="247" spans="1:15" ht="12" customHeight="1">
      <c r="A247" s="454">
        <v>2027</v>
      </c>
      <c r="C247" s="469" t="s">
        <v>684</v>
      </c>
      <c r="D247" s="542"/>
      <c r="E247" s="459"/>
      <c r="F247" s="460"/>
      <c r="G247" s="460"/>
      <c r="H247" s="460"/>
      <c r="I247" s="1049"/>
      <c r="J247" s="1049"/>
      <c r="K247" s="1049"/>
      <c r="L247" s="1049"/>
      <c r="M247" s="1035"/>
      <c r="O247" s="1370"/>
    </row>
    <row r="248" spans="1:15" ht="12" customHeight="1">
      <c r="A248" s="454" t="s">
        <v>475</v>
      </c>
      <c r="C248" s="430" t="s">
        <v>685</v>
      </c>
      <c r="D248" s="499"/>
      <c r="E248" s="533"/>
      <c r="F248" s="494"/>
      <c r="G248" s="494"/>
      <c r="H248" s="494"/>
      <c r="I248" s="500"/>
      <c r="J248" s="500"/>
      <c r="K248" s="500"/>
      <c r="L248" s="500"/>
      <c r="M248" s="1036"/>
      <c r="O248" s="1370"/>
    </row>
    <row r="249" spans="1:15" ht="4.2" customHeight="1">
      <c r="C249" s="471"/>
      <c r="D249" s="471"/>
      <c r="E249" s="471"/>
      <c r="F249" s="472"/>
      <c r="G249" s="471"/>
      <c r="H249" s="471"/>
      <c r="I249" s="471"/>
      <c r="J249" s="471"/>
      <c r="K249" s="471"/>
      <c r="L249" s="471"/>
      <c r="M249" s="471"/>
    </row>
    <row r="250" spans="1:15" ht="3" customHeight="1"/>
    <row r="251" spans="1:15" ht="12" customHeight="1">
      <c r="B251" s="395"/>
      <c r="C251" s="430" t="s">
        <v>686</v>
      </c>
      <c r="D251" s="431">
        <f t="shared" ref="D251:G251" si="51">D21+D36+D47+D58+D69+D80+D91+D102+D107+D126+D141+D166+D181+D196+D211+D226+D237+D248</f>
        <v>823417.45320850972</v>
      </c>
      <c r="E251" s="431">
        <f t="shared" si="51"/>
        <v>-67914.540533493477</v>
      </c>
      <c r="F251" s="431">
        <f t="shared" si="51"/>
        <v>-67043.204510461466</v>
      </c>
      <c r="G251" s="431">
        <f t="shared" si="51"/>
        <v>-66578.367170454614</v>
      </c>
      <c r="H251" s="431">
        <f>H21+H36+H47+H58+H69+H80+H91+H102+H107+H111+H126+H141+H166+H181+H196+H211+H226+H237+H248</f>
        <v>-13221.374934804429</v>
      </c>
      <c r="I251" s="431">
        <f>I21+I36+I47+I58+I69+I80+I91+I102+I107+I111+I126+I141+I166+I181+I196+I211+I226+I237+I248</f>
        <v>55903.322775123212</v>
      </c>
      <c r="J251" s="431">
        <f>J21+J36+J47+J58+J69+J80+J91+J102+J107+J111+J126+J141+J166+J181+J196+J211+J226+J237+J248</f>
        <v>149479.64620967014</v>
      </c>
      <c r="K251" s="431">
        <f t="shared" ref="K251:M251" si="52">K21+K36+K47+K58+K69+K80+K91+K102+K107+K111+K126+K141+K166+K181+K196+K211+K226+K237+K248</f>
        <v>145850.83796596579</v>
      </c>
      <c r="L251" s="431">
        <f t="shared" si="52"/>
        <v>164237.56165961726</v>
      </c>
      <c r="M251" s="431">
        <f t="shared" si="52"/>
        <v>580285.85506899492</v>
      </c>
      <c r="O251" s="1355"/>
    </row>
    <row r="252" spans="1:15" ht="3" customHeight="1"/>
    <row r="253" spans="1:15" ht="12" customHeight="1">
      <c r="C253" s="1" t="s">
        <v>705</v>
      </c>
      <c r="F253" s="385"/>
    </row>
    <row r="254" spans="1:15" ht="12" customHeight="1">
      <c r="C254" s="1" t="s">
        <v>706</v>
      </c>
      <c r="D254" s="143"/>
      <c r="E254" s="473"/>
      <c r="F254" s="473"/>
      <c r="G254" s="473"/>
      <c r="H254" s="473"/>
      <c r="I254" s="473"/>
      <c r="J254" s="473"/>
      <c r="K254" s="473"/>
      <c r="L254" s="473"/>
      <c r="M254" s="515"/>
    </row>
    <row r="255" spans="1:15">
      <c r="E255" s="188"/>
      <c r="F255" s="188"/>
      <c r="G255" s="188"/>
      <c r="H255" s="188"/>
      <c r="I255" s="188"/>
      <c r="J255" s="188"/>
      <c r="K255" s="188"/>
      <c r="L255" s="188"/>
    </row>
    <row r="256" spans="1:15" ht="12" customHeight="1">
      <c r="C256" s="978" t="s">
        <v>707</v>
      </c>
      <c r="D256" s="975">
        <v>50164</v>
      </c>
      <c r="E256" s="984">
        <v>0</v>
      </c>
      <c r="F256" s="984">
        <v>0</v>
      </c>
      <c r="G256" s="984">
        <v>0</v>
      </c>
      <c r="H256" s="1331">
        <v>9151.5062925344555</v>
      </c>
      <c r="I256" s="1331">
        <v>7789.8393842788555</v>
      </c>
      <c r="J256" s="1331">
        <v>4736.3740133098581</v>
      </c>
      <c r="K256" s="1331">
        <v>4687.164318203284</v>
      </c>
      <c r="L256" s="1331">
        <v>4683.4637664572128</v>
      </c>
      <c r="M256" s="1059">
        <f>D256-SUM(H256:L256)</f>
        <v>19115.652225216334</v>
      </c>
      <c r="O256" s="1362" t="s">
        <v>967</v>
      </c>
    </row>
    <row r="257" spans="3:15">
      <c r="E257" s="434"/>
    </row>
    <row r="258" spans="3:15">
      <c r="C258" s="978" t="s">
        <v>708</v>
      </c>
      <c r="D258" s="975">
        <f>SUM('[7]UKATS_T2 ANSP'!$AI$105:$BJ$105)</f>
        <v>977623.10958409263</v>
      </c>
      <c r="E258" s="1071"/>
      <c r="F258" s="1071"/>
      <c r="G258" s="1071"/>
      <c r="H258" s="984">
        <v>24929.271489367136</v>
      </c>
      <c r="I258" s="984">
        <v>18063.629153141708</v>
      </c>
      <c r="J258" s="984">
        <v>151854.51401245283</v>
      </c>
      <c r="K258" s="984">
        <v>141163.67364776251</v>
      </c>
      <c r="L258" s="984">
        <v>159554.09789316004</v>
      </c>
      <c r="M258" s="1059">
        <f>D258-SUM(H258:L258)</f>
        <v>482057.92338820838</v>
      </c>
      <c r="O258" s="1362" t="s">
        <v>964</v>
      </c>
    </row>
    <row r="260" spans="3:15">
      <c r="C260" s="978" t="s">
        <v>709</v>
      </c>
      <c r="D260" s="975">
        <f>SUM('[7]UKATS_T2 ANSP'!$AI$108:$BJ$108)</f>
        <v>0</v>
      </c>
      <c r="E260" s="1071"/>
      <c r="F260" s="1071"/>
      <c r="G260" s="1071"/>
      <c r="H260" s="984">
        <f xml:space="preserve"> '[7]UKATS_T2 ANSP'!AI108</f>
        <v>0</v>
      </c>
      <c r="I260" s="984">
        <f xml:space="preserve"> '[7]UKATS_T2 ANSP'!AJ108</f>
        <v>0</v>
      </c>
      <c r="J260" s="984">
        <f xml:space="preserve"> '[7]UKATS_T2 ANSP'!AK108</f>
        <v>0</v>
      </c>
      <c r="K260" s="984">
        <f xml:space="preserve"> '[7]UKATS_T2 ANSP'!AL108</f>
        <v>0</v>
      </c>
      <c r="L260" s="984">
        <f xml:space="preserve"> '[7]UKATS_T2 ANSP'!AM108</f>
        <v>0</v>
      </c>
      <c r="M260" s="1059">
        <f>D260-SUM(H260:L260)</f>
        <v>0</v>
      </c>
    </row>
    <row r="261" spans="3:15">
      <c r="F261" s="385"/>
    </row>
  </sheetData>
  <mergeCells count="1">
    <mergeCell ref="C1:M1"/>
  </mergeCells>
  <phoneticPr fontId="239" type="noConversion"/>
  <pageMargins left="0.7" right="0.7" top="0.75" bottom="0.75" header="0.3" footer="0.3"/>
  <pageSetup paperSize="9" scale="38" orientation="portrait" r:id="rId1"/>
  <customProperties>
    <customPr name="_pios_id" r:id="rId2"/>
  </customPropertie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261"/>
  <sheetViews>
    <sheetView zoomScaleNormal="100" workbookViewId="0">
      <pane xSplit="4" ySplit="7" topLeftCell="E251" activePane="bottomRight" state="frozen"/>
      <selection activeCell="L255" sqref="L255"/>
      <selection pane="topRight" activeCell="L255" sqref="L255"/>
      <selection pane="bottomLeft" activeCell="L255" sqref="L255"/>
      <selection pane="bottomRight" activeCell="I251" sqref="I251"/>
    </sheetView>
  </sheetViews>
  <sheetFormatPr defaultColWidth="1.6640625" defaultRowHeight="14.4"/>
  <cols>
    <col min="1" max="1" width="12.5546875" style="454" customWidth="1"/>
    <col min="2" max="2" width="2.33203125" style="385" customWidth="1"/>
    <col min="3" max="3" width="57.6640625" style="385" customWidth="1"/>
    <col min="4" max="4" width="10.5546875" style="385" bestFit="1" customWidth="1"/>
    <col min="5" max="5" width="5.44140625" style="385" bestFit="1" customWidth="1"/>
    <col min="6" max="6" width="5.44140625" style="218" bestFit="1" customWidth="1"/>
    <col min="7" max="8" width="5.6640625" style="385" bestFit="1" customWidth="1"/>
    <col min="9" max="9" width="6" style="385" customWidth="1"/>
    <col min="10" max="12" width="4.44140625" style="385" bestFit="1" customWidth="1"/>
    <col min="13" max="13" width="6.6640625" style="385" bestFit="1" customWidth="1"/>
    <col min="14" max="14" width="3.44140625" style="385" customWidth="1"/>
    <col min="15" max="15" width="31.33203125" style="1362" bestFit="1" customWidth="1"/>
    <col min="16" max="16384" width="1.6640625" style="385"/>
  </cols>
  <sheetData>
    <row r="1" spans="1:17" ht="12" customHeight="1">
      <c r="C1" s="1568" t="s">
        <v>456</v>
      </c>
      <c r="D1" s="1568"/>
      <c r="E1" s="1568"/>
      <c r="F1" s="1568"/>
      <c r="G1" s="1568"/>
      <c r="H1" s="1568"/>
      <c r="I1" s="1568"/>
      <c r="J1" s="1568"/>
      <c r="K1" s="1568"/>
      <c r="L1" s="1568"/>
      <c r="M1" s="1568"/>
      <c r="N1" s="386"/>
      <c r="O1" s="386"/>
      <c r="P1" s="386"/>
      <c r="Q1" s="386"/>
    </row>
    <row r="2" spans="1:17" ht="12" customHeight="1">
      <c r="C2" s="781"/>
      <c r="D2" s="387"/>
      <c r="E2" s="387"/>
      <c r="G2" s="387"/>
      <c r="H2" s="387"/>
      <c r="I2" s="387"/>
      <c r="J2" s="387"/>
      <c r="K2" s="387"/>
      <c r="L2" s="387"/>
      <c r="M2" s="387"/>
      <c r="N2" s="387"/>
    </row>
    <row r="3" spans="1:17" ht="12" customHeight="1">
      <c r="C3" s="674" t="str">
        <f>'T2 ANSP'!A3</f>
        <v>United Kingdom</v>
      </c>
      <c r="D3" s="387"/>
      <c r="E3" s="387"/>
      <c r="G3" s="387"/>
      <c r="H3" s="387"/>
      <c r="I3" s="387"/>
      <c r="J3" s="387"/>
      <c r="K3" s="387"/>
      <c r="L3" s="387"/>
      <c r="M3" s="387"/>
      <c r="N3" s="387"/>
    </row>
    <row r="4" spans="1:17" ht="12" customHeight="1">
      <c r="C4" s="83" t="str">
        <f>'T2 ANSP'!A4</f>
        <v>Currency : GBP £</v>
      </c>
      <c r="D4" s="387"/>
      <c r="E4" s="387"/>
      <c r="G4" s="387"/>
      <c r="H4" s="387"/>
      <c r="I4" s="979"/>
      <c r="J4" s="979"/>
      <c r="K4" s="979"/>
      <c r="L4" s="979"/>
      <c r="M4" s="387"/>
      <c r="N4" s="387"/>
    </row>
    <row r="5" spans="1:17" ht="12" customHeight="1">
      <c r="C5" s="146" t="str">
        <f>'T2 ANSP'!A5</f>
        <v>NERL</v>
      </c>
      <c r="D5" s="387"/>
      <c r="E5" s="389"/>
      <c r="G5" s="389"/>
      <c r="H5" s="883"/>
      <c r="I5" s="387"/>
      <c r="J5" s="387"/>
      <c r="K5" s="387"/>
      <c r="L5" s="387"/>
      <c r="M5" s="387"/>
      <c r="N5" s="387"/>
    </row>
    <row r="6" spans="1:17" ht="12" customHeight="1">
      <c r="C6" s="389"/>
      <c r="D6" s="389"/>
      <c r="E6" s="389"/>
      <c r="F6" s="389"/>
      <c r="G6" s="389"/>
      <c r="H6" s="389"/>
      <c r="I6" s="389"/>
      <c r="J6" s="389"/>
      <c r="K6" s="389"/>
      <c r="L6" s="389"/>
      <c r="M6" s="389"/>
      <c r="N6" s="389"/>
    </row>
    <row r="7" spans="1:17" ht="12" customHeight="1">
      <c r="A7" s="454" t="s">
        <v>457</v>
      </c>
      <c r="C7" s="390" t="s">
        <v>458</v>
      </c>
      <c r="D7" s="391" t="s">
        <v>459</v>
      </c>
      <c r="E7" s="392">
        <v>2020</v>
      </c>
      <c r="F7" s="393">
        <v>2021</v>
      </c>
      <c r="G7" s="393">
        <v>2022</v>
      </c>
      <c r="H7" s="393">
        <v>2023</v>
      </c>
      <c r="I7" s="1037">
        <v>2024</v>
      </c>
      <c r="J7" s="393">
        <v>2025</v>
      </c>
      <c r="K7" s="1037">
        <v>2026</v>
      </c>
      <c r="L7" s="393">
        <v>2027</v>
      </c>
      <c r="M7" s="1028" t="s">
        <v>460</v>
      </c>
      <c r="N7" s="387"/>
    </row>
    <row r="8" spans="1:17" ht="11.1" customHeight="1">
      <c r="C8" s="396"/>
      <c r="D8" s="396"/>
      <c r="E8" s="396"/>
      <c r="F8" s="396"/>
      <c r="G8" s="396"/>
      <c r="H8" s="396"/>
      <c r="I8" s="396"/>
      <c r="M8" s="396"/>
      <c r="N8" s="387"/>
    </row>
    <row r="9" spans="1:17" ht="12" customHeight="1">
      <c r="A9" s="454">
        <v>2018</v>
      </c>
      <c r="C9" s="397" t="s">
        <v>461</v>
      </c>
      <c r="D9" s="501">
        <v>-609.86563758111561</v>
      </c>
      <c r="E9" s="399">
        <v>-610</v>
      </c>
      <c r="F9" s="400"/>
      <c r="G9" s="401"/>
      <c r="H9" s="401"/>
      <c r="I9" s="1038"/>
      <c r="J9" s="1038"/>
      <c r="K9" s="1038"/>
      <c r="L9" s="1038"/>
      <c r="M9" s="1038"/>
      <c r="O9" s="1362" t="s">
        <v>710</v>
      </c>
    </row>
    <row r="10" spans="1:17" ht="12" customHeight="1">
      <c r="A10" s="454">
        <v>2019</v>
      </c>
      <c r="C10" s="405" t="s">
        <v>462</v>
      </c>
      <c r="D10" s="476">
        <v>-658.94394173630394</v>
      </c>
      <c r="E10" s="407"/>
      <c r="F10" s="408">
        <f>D10</f>
        <v>-658.94394173630394</v>
      </c>
      <c r="G10" s="409"/>
      <c r="H10" s="409"/>
      <c r="I10" s="1039"/>
      <c r="J10" s="1039"/>
      <c r="K10" s="1039"/>
      <c r="L10" s="1039"/>
      <c r="M10" s="1039"/>
      <c r="O10" s="1362" t="s">
        <v>711</v>
      </c>
    </row>
    <row r="11" spans="1:17" ht="12" customHeight="1">
      <c r="A11" s="454" t="s">
        <v>463</v>
      </c>
      <c r="C11" s="412" t="s">
        <v>464</v>
      </c>
      <c r="D11" s="413">
        <f>SUM(D9:D10)</f>
        <v>-1268.8095793174195</v>
      </c>
      <c r="E11" s="414">
        <f t="shared" ref="E11:F11" si="0">SUM(E9:E10)</f>
        <v>-610</v>
      </c>
      <c r="F11" s="415">
        <f t="shared" si="0"/>
        <v>-658.94394173630394</v>
      </c>
      <c r="G11" s="416"/>
      <c r="H11" s="416"/>
      <c r="I11" s="1040"/>
      <c r="J11" s="1040"/>
      <c r="K11" s="1040"/>
      <c r="L11" s="1040"/>
      <c r="M11" s="1040"/>
    </row>
    <row r="12" spans="1:17" ht="12" customHeight="1">
      <c r="A12" s="454">
        <v>2020</v>
      </c>
      <c r="C12" s="397" t="s">
        <v>465</v>
      </c>
      <c r="D12" s="897">
        <f>'T2 MET'!C19</f>
        <v>-336.8495792190696</v>
      </c>
      <c r="E12" s="419"/>
      <c r="F12" s="400"/>
      <c r="G12" s="420">
        <f>D12</f>
        <v>-336.8495792190696</v>
      </c>
      <c r="H12" s="401"/>
      <c r="I12" s="409"/>
      <c r="J12" s="409"/>
      <c r="K12" s="409"/>
      <c r="L12" s="409"/>
      <c r="M12" s="1034"/>
    </row>
    <row r="13" spans="1:17" ht="12" customHeight="1">
      <c r="A13" s="454">
        <v>2021</v>
      </c>
      <c r="C13" s="405" t="s">
        <v>466</v>
      </c>
      <c r="D13" s="406">
        <f>'T2 MET'!D19</f>
        <v>-153.07113773851486</v>
      </c>
      <c r="E13" s="407"/>
      <c r="F13" s="421"/>
      <c r="G13" s="409"/>
      <c r="H13" s="422">
        <f>D13</f>
        <v>-153.07113773851486</v>
      </c>
      <c r="I13" s="409"/>
      <c r="J13" s="409"/>
      <c r="K13" s="409"/>
      <c r="L13" s="409"/>
      <c r="M13" s="1029"/>
    </row>
    <row r="14" spans="1:17" ht="12" customHeight="1">
      <c r="A14" s="454">
        <v>2022</v>
      </c>
      <c r="C14" s="405" t="s">
        <v>467</v>
      </c>
      <c r="D14" s="406">
        <f>'T2 MET'!E19</f>
        <v>2030.2987230384365</v>
      </c>
      <c r="E14" s="407"/>
      <c r="F14" s="421"/>
      <c r="G14" s="409"/>
      <c r="H14" s="409"/>
      <c r="I14" s="1041">
        <f>D14</f>
        <v>2030.2987230384365</v>
      </c>
      <c r="J14" s="409"/>
      <c r="K14" s="409"/>
      <c r="L14" s="409"/>
      <c r="M14" s="1029"/>
    </row>
    <row r="15" spans="1:17" ht="12" customHeight="1">
      <c r="A15" s="454" t="s">
        <v>468</v>
      </c>
      <c r="C15" s="412" t="s">
        <v>469</v>
      </c>
      <c r="D15" s="413">
        <f>SUM(D12:D14)</f>
        <v>1540.3780060808522</v>
      </c>
      <c r="E15" s="1062"/>
      <c r="F15" s="1063"/>
      <c r="G15" s="415">
        <f>SUM(G12:G14)</f>
        <v>-336.8495792190696</v>
      </c>
      <c r="H15" s="415">
        <f>SUM(H12:H14)</f>
        <v>-153.07113773851486</v>
      </c>
      <c r="I15" s="415">
        <f>SUM(I12:I14)</f>
        <v>2030.2987230384365</v>
      </c>
      <c r="J15" s="416"/>
      <c r="K15" s="416"/>
      <c r="L15" s="416"/>
      <c r="M15" s="1030"/>
    </row>
    <row r="16" spans="1:17" ht="12" customHeight="1">
      <c r="A16" s="454">
        <v>2023</v>
      </c>
      <c r="C16" s="405" t="s">
        <v>470</v>
      </c>
      <c r="D16" s="406">
        <f>'T2 MET'!F19</f>
        <v>0</v>
      </c>
      <c r="E16" s="407"/>
      <c r="F16" s="421"/>
      <c r="G16" s="409"/>
      <c r="H16" s="409"/>
      <c r="I16" s="409"/>
      <c r="J16" s="1041">
        <f>D16</f>
        <v>0</v>
      </c>
      <c r="K16" s="409"/>
      <c r="L16" s="409"/>
      <c r="M16" s="1029"/>
    </row>
    <row r="17" spans="1:13" ht="12" customHeight="1">
      <c r="A17" s="454">
        <v>2024</v>
      </c>
      <c r="C17" s="405" t="s">
        <v>471</v>
      </c>
      <c r="D17" s="406">
        <f>'T2 MET'!G19</f>
        <v>0</v>
      </c>
      <c r="E17" s="407"/>
      <c r="F17" s="421"/>
      <c r="G17" s="409"/>
      <c r="H17" s="409"/>
      <c r="I17" s="409"/>
      <c r="J17" s="409"/>
      <c r="K17" s="1041">
        <f>D17</f>
        <v>0</v>
      </c>
      <c r="L17" s="409"/>
      <c r="M17" s="1029"/>
    </row>
    <row r="18" spans="1:13" ht="12" customHeight="1">
      <c r="A18" s="454">
        <v>2025</v>
      </c>
      <c r="C18" s="405" t="s">
        <v>472</v>
      </c>
      <c r="D18" s="406">
        <f>'T2 MET'!H19</f>
        <v>0</v>
      </c>
      <c r="E18" s="407"/>
      <c r="F18" s="421"/>
      <c r="G18" s="409"/>
      <c r="H18" s="409"/>
      <c r="I18" s="409"/>
      <c r="J18" s="409"/>
      <c r="K18" s="409"/>
      <c r="L18" s="1041">
        <f>D18</f>
        <v>0</v>
      </c>
      <c r="M18" s="1029"/>
    </row>
    <row r="19" spans="1:13" ht="12" customHeight="1">
      <c r="A19" s="454">
        <v>2026</v>
      </c>
      <c r="C19" s="405" t="s">
        <v>473</v>
      </c>
      <c r="D19" s="406">
        <f>'T2 MET'!I19</f>
        <v>0</v>
      </c>
      <c r="E19" s="407"/>
      <c r="F19" s="421"/>
      <c r="G19" s="409"/>
      <c r="H19" s="409"/>
      <c r="I19" s="409"/>
      <c r="J19" s="409"/>
      <c r="K19" s="409"/>
      <c r="L19" s="409"/>
      <c r="M19" s="1053">
        <f>D19</f>
        <v>0</v>
      </c>
    </row>
    <row r="20" spans="1:13" ht="12" customHeight="1">
      <c r="A20" s="454">
        <v>2027</v>
      </c>
      <c r="C20" s="425" t="s">
        <v>474</v>
      </c>
      <c r="D20" s="426">
        <f>'T2 MET'!J19</f>
        <v>0</v>
      </c>
      <c r="E20" s="427"/>
      <c r="F20" s="428"/>
      <c r="G20" s="428"/>
      <c r="H20" s="428"/>
      <c r="I20" s="409"/>
      <c r="J20" s="409"/>
      <c r="K20" s="409"/>
      <c r="L20" s="409"/>
      <c r="M20" s="1054">
        <f>D20</f>
        <v>0</v>
      </c>
    </row>
    <row r="21" spans="1:13" ht="12" customHeight="1">
      <c r="A21" s="454" t="s">
        <v>475</v>
      </c>
      <c r="C21" s="430" t="s">
        <v>912</v>
      </c>
      <c r="D21" s="431">
        <f>SUM(D16:D20)+D11+D15</f>
        <v>271.56842676343263</v>
      </c>
      <c r="E21" s="479">
        <f t="shared" ref="E21:M21" si="1">SUM(E16:E20)+E11+E15</f>
        <v>-610</v>
      </c>
      <c r="F21" s="433">
        <f t="shared" si="1"/>
        <v>-658.94394173630394</v>
      </c>
      <c r="G21" s="433">
        <f t="shared" si="1"/>
        <v>-336.8495792190696</v>
      </c>
      <c r="H21" s="433">
        <f t="shared" si="1"/>
        <v>-153.07113773851486</v>
      </c>
      <c r="I21" s="480">
        <f t="shared" si="1"/>
        <v>2030.2987230384365</v>
      </c>
      <c r="J21" s="480">
        <f t="shared" si="1"/>
        <v>0</v>
      </c>
      <c r="K21" s="480">
        <f t="shared" si="1"/>
        <v>0</v>
      </c>
      <c r="L21" s="480">
        <f t="shared" si="1"/>
        <v>0</v>
      </c>
      <c r="M21" s="1055">
        <f t="shared" si="1"/>
        <v>0</v>
      </c>
    </row>
    <row r="22" spans="1:13" ht="4.2" customHeight="1">
      <c r="A22" s="748"/>
      <c r="C22" s="481"/>
      <c r="D22" s="482"/>
      <c r="E22" s="483"/>
      <c r="F22" s="483"/>
      <c r="G22" s="483"/>
      <c r="H22" s="483"/>
      <c r="I22" s="483"/>
      <c r="J22" s="446"/>
      <c r="K22" s="446"/>
      <c r="L22" s="446"/>
      <c r="M22" s="483"/>
    </row>
    <row r="23" spans="1:13" ht="12.6" customHeight="1">
      <c r="A23" s="454">
        <v>2017</v>
      </c>
      <c r="C23" s="397" t="s">
        <v>477</v>
      </c>
      <c r="D23" s="530"/>
      <c r="E23" s="505"/>
      <c r="F23" s="506"/>
      <c r="G23" s="506"/>
      <c r="H23" s="506"/>
      <c r="I23" s="1064"/>
      <c r="J23" s="1064"/>
      <c r="K23" s="1064"/>
      <c r="L23" s="1064"/>
      <c r="M23" s="1034"/>
    </row>
    <row r="24" spans="1:13" ht="12" customHeight="1">
      <c r="A24" s="454">
        <v>2018</v>
      </c>
      <c r="C24" s="405" t="s">
        <v>478</v>
      </c>
      <c r="D24" s="532"/>
      <c r="E24" s="507"/>
      <c r="F24" s="508"/>
      <c r="G24" s="508"/>
      <c r="H24" s="508"/>
      <c r="I24" s="1047"/>
      <c r="J24" s="1047"/>
      <c r="K24" s="1047"/>
      <c r="L24" s="1047"/>
      <c r="M24" s="1029"/>
    </row>
    <row r="25" spans="1:13" ht="12" customHeight="1">
      <c r="A25" s="454">
        <v>2019</v>
      </c>
      <c r="C25" s="405" t="s">
        <v>479</v>
      </c>
      <c r="D25" s="532"/>
      <c r="E25" s="456"/>
      <c r="F25" s="508"/>
      <c r="G25" s="508"/>
      <c r="H25" s="508"/>
      <c r="I25" s="1047"/>
      <c r="J25" s="1047"/>
      <c r="K25" s="1047"/>
      <c r="L25" s="1047"/>
      <c r="M25" s="1029"/>
    </row>
    <row r="26" spans="1:13" ht="12" customHeight="1">
      <c r="A26" s="454" t="s">
        <v>463</v>
      </c>
      <c r="C26" s="412" t="s">
        <v>480</v>
      </c>
      <c r="D26" s="418"/>
      <c r="E26" s="463"/>
      <c r="F26" s="416"/>
      <c r="G26" s="416"/>
      <c r="H26" s="416"/>
      <c r="I26" s="1040"/>
      <c r="J26" s="1040"/>
      <c r="K26" s="1040"/>
      <c r="L26" s="1040"/>
      <c r="M26" s="1030"/>
    </row>
    <row r="27" spans="1:13" ht="12" customHeight="1">
      <c r="A27" s="454">
        <v>2020</v>
      </c>
      <c r="C27" s="397" t="s">
        <v>481</v>
      </c>
      <c r="D27" s="411"/>
      <c r="E27" s="455"/>
      <c r="F27" s="401"/>
      <c r="G27" s="401"/>
      <c r="H27" s="401"/>
      <c r="I27" s="401"/>
      <c r="J27" s="401"/>
      <c r="K27" s="401"/>
      <c r="L27" s="401"/>
      <c r="M27" s="1034"/>
    </row>
    <row r="28" spans="1:13" ht="12" customHeight="1">
      <c r="A28" s="454">
        <v>2021</v>
      </c>
      <c r="C28" s="405" t="s">
        <v>482</v>
      </c>
      <c r="D28" s="411"/>
      <c r="E28" s="456"/>
      <c r="F28" s="409"/>
      <c r="G28" s="409"/>
      <c r="H28" s="409"/>
      <c r="I28" s="1047"/>
      <c r="J28" s="409"/>
      <c r="K28" s="409"/>
      <c r="L28" s="409"/>
      <c r="M28" s="1029"/>
    </row>
    <row r="29" spans="1:13" ht="12" customHeight="1">
      <c r="A29" s="454">
        <v>2022</v>
      </c>
      <c r="C29" s="405" t="s">
        <v>483</v>
      </c>
      <c r="D29" s="411"/>
      <c r="E29" s="456"/>
      <c r="F29" s="409"/>
      <c r="G29" s="409"/>
      <c r="H29" s="409"/>
      <c r="I29" s="409"/>
      <c r="J29" s="409"/>
      <c r="K29" s="409"/>
      <c r="L29" s="409"/>
      <c r="M29" s="1029"/>
    </row>
    <row r="30" spans="1:13" ht="12" customHeight="1">
      <c r="A30" s="454" t="s">
        <v>468</v>
      </c>
      <c r="C30" s="412" t="s">
        <v>484</v>
      </c>
      <c r="D30" s="418"/>
      <c r="E30" s="463"/>
      <c r="F30" s="416"/>
      <c r="G30" s="416"/>
      <c r="H30" s="416"/>
      <c r="I30" s="416"/>
      <c r="J30" s="416"/>
      <c r="K30" s="416"/>
      <c r="L30" s="416"/>
      <c r="M30" s="1030"/>
    </row>
    <row r="31" spans="1:13" ht="12" customHeight="1">
      <c r="A31" s="454">
        <v>2023</v>
      </c>
      <c r="C31" s="405" t="s">
        <v>485</v>
      </c>
      <c r="D31" s="411"/>
      <c r="E31" s="456"/>
      <c r="F31" s="409"/>
      <c r="G31" s="409"/>
      <c r="H31" s="409"/>
      <c r="I31" s="409"/>
      <c r="J31" s="409"/>
      <c r="K31" s="409"/>
      <c r="L31" s="409"/>
      <c r="M31" s="1029"/>
    </row>
    <row r="32" spans="1:13" ht="12" customHeight="1">
      <c r="A32" s="454">
        <v>2024</v>
      </c>
      <c r="C32" s="405" t="s">
        <v>486</v>
      </c>
      <c r="D32" s="411"/>
      <c r="E32" s="456"/>
      <c r="F32" s="409"/>
      <c r="G32" s="409"/>
      <c r="H32" s="409"/>
      <c r="I32" s="409"/>
      <c r="J32" s="409"/>
      <c r="K32" s="409"/>
      <c r="L32" s="409"/>
      <c r="M32" s="1029"/>
    </row>
    <row r="33" spans="1:13" ht="12" customHeight="1">
      <c r="A33" s="454">
        <v>2025</v>
      </c>
      <c r="C33" s="405" t="s">
        <v>487</v>
      </c>
      <c r="D33" s="411"/>
      <c r="E33" s="456"/>
      <c r="F33" s="409"/>
      <c r="G33" s="409"/>
      <c r="H33" s="409"/>
      <c r="I33" s="409"/>
      <c r="J33" s="409"/>
      <c r="K33" s="409"/>
      <c r="L33" s="409"/>
      <c r="M33" s="1029"/>
    </row>
    <row r="34" spans="1:13" ht="12" customHeight="1">
      <c r="A34" s="454">
        <v>2026</v>
      </c>
      <c r="C34" s="405" t="s">
        <v>488</v>
      </c>
      <c r="D34" s="411"/>
      <c r="E34" s="456"/>
      <c r="F34" s="409"/>
      <c r="G34" s="409"/>
      <c r="H34" s="409"/>
      <c r="I34" s="409"/>
      <c r="J34" s="409"/>
      <c r="K34" s="409"/>
      <c r="L34" s="409"/>
      <c r="M34" s="1029"/>
    </row>
    <row r="35" spans="1:13" ht="12" customHeight="1">
      <c r="A35" s="454">
        <v>2027</v>
      </c>
      <c r="C35" s="405" t="s">
        <v>489</v>
      </c>
      <c r="D35" s="467"/>
      <c r="E35" s="459"/>
      <c r="F35" s="460"/>
      <c r="G35" s="460"/>
      <c r="H35" s="460"/>
      <c r="I35" s="460"/>
      <c r="J35" s="460"/>
      <c r="K35" s="460"/>
      <c r="L35" s="460"/>
      <c r="M35" s="1035"/>
    </row>
    <row r="36" spans="1:13" ht="12" customHeight="1">
      <c r="A36" s="454" t="s">
        <v>475</v>
      </c>
      <c r="C36" s="430" t="s">
        <v>913</v>
      </c>
      <c r="D36" s="493"/>
      <c r="E36" s="493"/>
      <c r="F36" s="493"/>
      <c r="G36" s="493"/>
      <c r="H36" s="493"/>
      <c r="I36" s="493"/>
      <c r="J36" s="493"/>
      <c r="K36" s="493"/>
      <c r="L36" s="493"/>
      <c r="M36" s="1036"/>
    </row>
    <row r="37" spans="1:13" ht="4.2" customHeight="1">
      <c r="A37" s="748"/>
      <c r="C37" s="481"/>
      <c r="D37" s="481"/>
      <c r="E37" s="446"/>
      <c r="F37" s="446"/>
      <c r="G37" s="446"/>
      <c r="H37" s="446"/>
      <c r="I37" s="446"/>
      <c r="J37" s="446"/>
      <c r="K37" s="446"/>
      <c r="L37" s="446"/>
      <c r="M37" s="446"/>
    </row>
    <row r="38" spans="1:13" ht="12" customHeight="1">
      <c r="A38" s="454">
        <v>2020</v>
      </c>
      <c r="C38" s="397" t="s">
        <v>491</v>
      </c>
      <c r="D38" s="442">
        <f>'T2 MET'!C22</f>
        <v>0</v>
      </c>
      <c r="E38" s="419"/>
      <c r="F38" s="400"/>
      <c r="G38" s="486">
        <f>D38</f>
        <v>0</v>
      </c>
      <c r="H38" s="401"/>
      <c r="I38" s="1038"/>
      <c r="J38" s="401"/>
      <c r="K38" s="401"/>
      <c r="L38" s="401"/>
      <c r="M38" s="1034"/>
    </row>
    <row r="39" spans="1:13" ht="12" customHeight="1">
      <c r="A39" s="454">
        <v>2021</v>
      </c>
      <c r="C39" s="405" t="s">
        <v>492</v>
      </c>
      <c r="D39" s="443">
        <f>'T2 MET'!D22</f>
        <v>0</v>
      </c>
      <c r="E39" s="407"/>
      <c r="F39" s="421"/>
      <c r="G39" s="409"/>
      <c r="H39" s="490">
        <f>D39</f>
        <v>0</v>
      </c>
      <c r="I39" s="1039"/>
      <c r="J39" s="409"/>
      <c r="K39" s="409"/>
      <c r="L39" s="409"/>
      <c r="M39" s="1029"/>
    </row>
    <row r="40" spans="1:13" ht="12" customHeight="1">
      <c r="A40" s="454">
        <v>2022</v>
      </c>
      <c r="C40" s="405" t="s">
        <v>493</v>
      </c>
      <c r="D40" s="443">
        <f>'T2 MET'!E22</f>
        <v>0</v>
      </c>
      <c r="E40" s="407"/>
      <c r="F40" s="421"/>
      <c r="G40" s="409"/>
      <c r="H40" s="409"/>
      <c r="I40" s="1046">
        <f>D40</f>
        <v>0</v>
      </c>
      <c r="J40" s="409"/>
      <c r="K40" s="409"/>
      <c r="L40" s="409"/>
      <c r="M40" s="1029"/>
    </row>
    <row r="41" spans="1:13" ht="12" customHeight="1">
      <c r="A41" s="454" t="s">
        <v>468</v>
      </c>
      <c r="C41" s="412" t="s">
        <v>494</v>
      </c>
      <c r="D41" s="413">
        <f>SUM(D38:D40)</f>
        <v>0</v>
      </c>
      <c r="E41" s="1062"/>
      <c r="F41" s="1063"/>
      <c r="G41" s="415">
        <f>SUM(G38:G40)</f>
        <v>0</v>
      </c>
      <c r="H41" s="415">
        <f>SUM(H38:H40)</f>
        <v>0</v>
      </c>
      <c r="I41" s="415">
        <f>SUM(I38:I40)</f>
        <v>0</v>
      </c>
      <c r="J41" s="416"/>
      <c r="K41" s="416"/>
      <c r="L41" s="416"/>
      <c r="M41" s="1030"/>
    </row>
    <row r="42" spans="1:13" ht="12" customHeight="1">
      <c r="A42" s="454">
        <v>2023</v>
      </c>
      <c r="C42" s="405" t="s">
        <v>495</v>
      </c>
      <c r="D42" s="443">
        <f>'T2 MET'!F22</f>
        <v>0</v>
      </c>
      <c r="E42" s="407"/>
      <c r="F42" s="421"/>
      <c r="G42" s="409"/>
      <c r="H42" s="409"/>
      <c r="I42" s="1042"/>
      <c r="J42" s="1065">
        <f>D42</f>
        <v>0</v>
      </c>
      <c r="K42" s="1060"/>
      <c r="L42" s="401"/>
      <c r="M42" s="1034"/>
    </row>
    <row r="43" spans="1:13" ht="12" customHeight="1">
      <c r="A43" s="454">
        <v>2024</v>
      </c>
      <c r="C43" s="405" t="s">
        <v>496</v>
      </c>
      <c r="D43" s="443">
        <f>'T2 MET'!G22</f>
        <v>0</v>
      </c>
      <c r="E43" s="407"/>
      <c r="F43" s="421"/>
      <c r="G43" s="409"/>
      <c r="H43" s="409"/>
      <c r="I43" s="1042"/>
      <c r="J43" s="1060"/>
      <c r="K43" s="1065">
        <f>D43</f>
        <v>0</v>
      </c>
      <c r="L43" s="409"/>
      <c r="M43" s="1029"/>
    </row>
    <row r="44" spans="1:13" ht="12" customHeight="1">
      <c r="A44" s="454">
        <v>2025</v>
      </c>
      <c r="C44" s="405" t="s">
        <v>497</v>
      </c>
      <c r="D44" s="443">
        <f>'T2 MET'!H22</f>
        <v>0</v>
      </c>
      <c r="E44" s="407"/>
      <c r="F44" s="421"/>
      <c r="G44" s="409"/>
      <c r="H44" s="409"/>
      <c r="I44" s="1042"/>
      <c r="J44" s="1060"/>
      <c r="K44" s="1060"/>
      <c r="L44" s="1065">
        <f>D44</f>
        <v>0</v>
      </c>
      <c r="M44" s="1029"/>
    </row>
    <row r="45" spans="1:13" ht="12" customHeight="1">
      <c r="A45" s="454">
        <v>2026</v>
      </c>
      <c r="C45" s="405" t="s">
        <v>498</v>
      </c>
      <c r="D45" s="443">
        <f>'T2 MET'!I22</f>
        <v>0</v>
      </c>
      <c r="E45" s="407"/>
      <c r="F45" s="421"/>
      <c r="G45" s="409"/>
      <c r="H45" s="409"/>
      <c r="I45" s="1042"/>
      <c r="J45" s="1060"/>
      <c r="K45" s="1060"/>
      <c r="L45" s="1060"/>
      <c r="M45" s="439">
        <f>D45</f>
        <v>0</v>
      </c>
    </row>
    <row r="46" spans="1:13" ht="12" customHeight="1">
      <c r="A46" s="454">
        <v>2027</v>
      </c>
      <c r="C46" s="405" t="s">
        <v>499</v>
      </c>
      <c r="D46" s="444">
        <f>'T2 MET'!J22</f>
        <v>0</v>
      </c>
      <c r="E46" s="427"/>
      <c r="F46" s="428"/>
      <c r="G46" s="428"/>
      <c r="H46" s="428"/>
      <c r="I46" s="1043"/>
      <c r="J46" s="1061"/>
      <c r="K46" s="1061"/>
      <c r="L46" s="1061"/>
      <c r="M46" s="1054">
        <f>D46</f>
        <v>0</v>
      </c>
    </row>
    <row r="47" spans="1:13" ht="12" customHeight="1">
      <c r="A47" s="454" t="s">
        <v>475</v>
      </c>
      <c r="C47" s="430" t="s">
        <v>914</v>
      </c>
      <c r="D47" s="431">
        <f>SUM(D41:D46)</f>
        <v>0</v>
      </c>
      <c r="E47" s="493"/>
      <c r="F47" s="494"/>
      <c r="G47" s="479">
        <f t="shared" ref="G47:L47" si="2">SUM(G41:G46)</f>
        <v>0</v>
      </c>
      <c r="H47" s="479">
        <f t="shared" si="2"/>
        <v>0</v>
      </c>
      <c r="I47" s="479">
        <f t="shared" si="2"/>
        <v>0</v>
      </c>
      <c r="J47" s="479">
        <f t="shared" si="2"/>
        <v>0</v>
      </c>
      <c r="K47" s="479">
        <f t="shared" si="2"/>
        <v>0</v>
      </c>
      <c r="L47" s="479">
        <f t="shared" si="2"/>
        <v>0</v>
      </c>
      <c r="M47" s="1055">
        <f>SUM(M41:M46)</f>
        <v>0</v>
      </c>
    </row>
    <row r="48" spans="1:13" ht="4.2" customHeight="1">
      <c r="A48" s="748"/>
      <c r="C48" s="481"/>
      <c r="D48" s="481"/>
      <c r="E48" s="446"/>
      <c r="F48" s="446"/>
      <c r="G48" s="446"/>
      <c r="H48" s="446"/>
      <c r="I48" s="446"/>
      <c r="J48" s="446"/>
      <c r="K48" s="446"/>
      <c r="L48" s="446"/>
      <c r="M48" s="446"/>
    </row>
    <row r="49" spans="1:15" ht="12" customHeight="1">
      <c r="A49" s="454">
        <v>2020</v>
      </c>
      <c r="C49" s="397" t="s">
        <v>501</v>
      </c>
      <c r="D49" s="495"/>
      <c r="E49" s="419"/>
      <c r="F49" s="400"/>
      <c r="G49" s="401"/>
      <c r="H49" s="401"/>
      <c r="I49" s="401"/>
      <c r="J49" s="401"/>
      <c r="K49" s="401"/>
      <c r="L49" s="401"/>
      <c r="M49" s="1034"/>
    </row>
    <row r="50" spans="1:15" ht="12" customHeight="1">
      <c r="A50" s="454">
        <v>2021</v>
      </c>
      <c r="C50" s="405" t="s">
        <v>502</v>
      </c>
      <c r="D50" s="496"/>
      <c r="E50" s="407"/>
      <c r="F50" s="421"/>
      <c r="G50" s="409"/>
      <c r="H50" s="409"/>
      <c r="I50" s="409"/>
      <c r="J50" s="409"/>
      <c r="K50" s="409"/>
      <c r="L50" s="409"/>
      <c r="M50" s="1029"/>
    </row>
    <row r="51" spans="1:15" ht="12" customHeight="1">
      <c r="A51" s="454">
        <v>2022</v>
      </c>
      <c r="C51" s="405" t="s">
        <v>503</v>
      </c>
      <c r="D51" s="496"/>
      <c r="E51" s="407"/>
      <c r="F51" s="421"/>
      <c r="G51" s="409"/>
      <c r="H51" s="409"/>
      <c r="I51" s="409"/>
      <c r="J51" s="409"/>
      <c r="K51" s="409"/>
      <c r="L51" s="409"/>
      <c r="M51" s="1029"/>
    </row>
    <row r="52" spans="1:15" ht="12" customHeight="1">
      <c r="A52" s="454" t="s">
        <v>468</v>
      </c>
      <c r="C52" s="412" t="s">
        <v>504</v>
      </c>
      <c r="D52" s="418"/>
      <c r="E52" s="463"/>
      <c r="F52" s="416"/>
      <c r="G52" s="416"/>
      <c r="H52" s="416"/>
      <c r="I52" s="416"/>
      <c r="J52" s="416"/>
      <c r="K52" s="416"/>
      <c r="L52" s="416"/>
      <c r="M52" s="1030"/>
    </row>
    <row r="53" spans="1:15" ht="12" customHeight="1">
      <c r="A53" s="454">
        <v>2023</v>
      </c>
      <c r="C53" s="405" t="s">
        <v>505</v>
      </c>
      <c r="D53" s="496"/>
      <c r="E53" s="456"/>
      <c r="F53" s="409"/>
      <c r="G53" s="409"/>
      <c r="H53" s="409"/>
      <c r="I53" s="409"/>
      <c r="J53" s="409"/>
      <c r="K53" s="409"/>
      <c r="L53" s="409"/>
      <c r="M53" s="1029"/>
      <c r="O53" s="1"/>
    </row>
    <row r="54" spans="1:15" ht="12" customHeight="1">
      <c r="A54" s="454">
        <v>2024</v>
      </c>
      <c r="C54" s="405" t="s">
        <v>506</v>
      </c>
      <c r="D54" s="496"/>
      <c r="E54" s="456"/>
      <c r="F54" s="409"/>
      <c r="G54" s="409"/>
      <c r="H54" s="409"/>
      <c r="I54" s="409"/>
      <c r="J54" s="409"/>
      <c r="K54" s="409"/>
      <c r="L54" s="409"/>
      <c r="M54" s="1029"/>
      <c r="O54" s="1"/>
    </row>
    <row r="55" spans="1:15" ht="12" customHeight="1">
      <c r="A55" s="454">
        <v>2025</v>
      </c>
      <c r="C55" s="405" t="s">
        <v>507</v>
      </c>
      <c r="D55" s="496"/>
      <c r="E55" s="456"/>
      <c r="F55" s="409"/>
      <c r="G55" s="409"/>
      <c r="H55" s="409"/>
      <c r="I55" s="409"/>
      <c r="J55" s="409"/>
      <c r="K55" s="409"/>
      <c r="L55" s="409"/>
      <c r="M55" s="1029"/>
      <c r="O55" s="1"/>
    </row>
    <row r="56" spans="1:15" ht="12" customHeight="1">
      <c r="A56" s="454">
        <v>2026</v>
      </c>
      <c r="C56" s="405" t="s">
        <v>508</v>
      </c>
      <c r="D56" s="496"/>
      <c r="E56" s="456"/>
      <c r="F56" s="409"/>
      <c r="G56" s="409"/>
      <c r="H56" s="409"/>
      <c r="I56" s="409"/>
      <c r="J56" s="409"/>
      <c r="K56" s="409"/>
      <c r="L56" s="409"/>
      <c r="M56" s="1029"/>
      <c r="O56" s="1"/>
    </row>
    <row r="57" spans="1:15" ht="12" customHeight="1">
      <c r="A57" s="454">
        <v>2027</v>
      </c>
      <c r="C57" s="405" t="s">
        <v>509</v>
      </c>
      <c r="D57" s="497"/>
      <c r="E57" s="459"/>
      <c r="F57" s="460"/>
      <c r="G57" s="460"/>
      <c r="H57" s="460"/>
      <c r="I57" s="460"/>
      <c r="J57" s="460"/>
      <c r="K57" s="460"/>
      <c r="L57" s="460"/>
      <c r="M57" s="1035"/>
    </row>
    <row r="58" spans="1:15" ht="12" customHeight="1">
      <c r="A58" s="454" t="s">
        <v>475</v>
      </c>
      <c r="C58" s="430" t="s">
        <v>915</v>
      </c>
      <c r="D58" s="499"/>
      <c r="E58" s="493"/>
      <c r="F58" s="494"/>
      <c r="G58" s="494"/>
      <c r="H58" s="494"/>
      <c r="I58" s="494"/>
      <c r="J58" s="494"/>
      <c r="K58" s="494"/>
      <c r="L58" s="494"/>
      <c r="M58" s="1036"/>
    </row>
    <row r="59" spans="1:15" ht="4.95" customHeight="1">
      <c r="A59" s="748"/>
      <c r="C59" s="481"/>
      <c r="D59" s="446"/>
      <c r="E59" s="446"/>
      <c r="F59" s="446"/>
      <c r="G59" s="446"/>
      <c r="H59" s="446"/>
      <c r="I59" s="446"/>
      <c r="J59" s="446"/>
      <c r="K59" s="446"/>
      <c r="L59" s="446"/>
      <c r="M59" s="446"/>
    </row>
    <row r="60" spans="1:15" ht="12" customHeight="1">
      <c r="A60" s="454">
        <v>2020</v>
      </c>
      <c r="C60" s="397" t="s">
        <v>511</v>
      </c>
      <c r="D60" s="495"/>
      <c r="E60" s="455"/>
      <c r="F60" s="401"/>
      <c r="G60" s="401"/>
      <c r="H60" s="401"/>
      <c r="I60" s="401"/>
      <c r="J60" s="401"/>
      <c r="K60" s="401"/>
      <c r="L60" s="401"/>
      <c r="M60" s="1034"/>
    </row>
    <row r="61" spans="1:15" ht="12" customHeight="1">
      <c r="A61" s="454">
        <v>2021</v>
      </c>
      <c r="C61" s="405" t="s">
        <v>512</v>
      </c>
      <c r="D61" s="496"/>
      <c r="E61" s="456"/>
      <c r="F61" s="409"/>
      <c r="G61" s="409"/>
      <c r="H61" s="409"/>
      <c r="I61" s="409"/>
      <c r="J61" s="409"/>
      <c r="K61" s="409"/>
      <c r="L61" s="409"/>
      <c r="M61" s="1029"/>
      <c r="O61" s="1364"/>
    </row>
    <row r="62" spans="1:15" ht="12" customHeight="1">
      <c r="A62" s="454">
        <v>2022</v>
      </c>
      <c r="C62" s="405" t="s">
        <v>513</v>
      </c>
      <c r="D62" s="496"/>
      <c r="E62" s="456"/>
      <c r="F62" s="409"/>
      <c r="G62" s="409"/>
      <c r="H62" s="409"/>
      <c r="I62" s="409"/>
      <c r="J62" s="409"/>
      <c r="K62" s="409"/>
      <c r="L62" s="409"/>
      <c r="M62" s="1029"/>
    </row>
    <row r="63" spans="1:15" ht="12" customHeight="1">
      <c r="A63" s="454" t="s">
        <v>468</v>
      </c>
      <c r="C63" s="412" t="s">
        <v>514</v>
      </c>
      <c r="D63" s="418"/>
      <c r="E63" s="463"/>
      <c r="F63" s="416"/>
      <c r="G63" s="416"/>
      <c r="H63" s="416"/>
      <c r="I63" s="416"/>
      <c r="J63" s="416"/>
      <c r="K63" s="416"/>
      <c r="L63" s="416"/>
      <c r="M63" s="1030"/>
    </row>
    <row r="64" spans="1:15" ht="12" customHeight="1">
      <c r="A64" s="454">
        <v>2023</v>
      </c>
      <c r="C64" s="405" t="s">
        <v>515</v>
      </c>
      <c r="D64" s="496"/>
      <c r="E64" s="407"/>
      <c r="F64" s="421"/>
      <c r="G64" s="409"/>
      <c r="H64" s="409"/>
      <c r="I64" s="409"/>
      <c r="J64" s="409"/>
      <c r="K64" s="409"/>
      <c r="L64" s="409"/>
      <c r="M64" s="1029"/>
    </row>
    <row r="65" spans="1:13" ht="12" customHeight="1">
      <c r="A65" s="454">
        <v>2024</v>
      </c>
      <c r="C65" s="405" t="s">
        <v>516</v>
      </c>
      <c r="D65" s="496"/>
      <c r="E65" s="407"/>
      <c r="F65" s="421"/>
      <c r="G65" s="409"/>
      <c r="H65" s="409"/>
      <c r="I65" s="409"/>
      <c r="J65" s="409"/>
      <c r="K65" s="409"/>
      <c r="L65" s="409"/>
      <c r="M65" s="1029"/>
    </row>
    <row r="66" spans="1:13" ht="12" customHeight="1">
      <c r="A66" s="454">
        <v>2025</v>
      </c>
      <c r="C66" s="405" t="s">
        <v>517</v>
      </c>
      <c r="D66" s="496"/>
      <c r="E66" s="407"/>
      <c r="F66" s="421"/>
      <c r="G66" s="409"/>
      <c r="H66" s="409"/>
      <c r="I66" s="409"/>
      <c r="J66" s="409"/>
      <c r="K66" s="409"/>
      <c r="L66" s="409"/>
      <c r="M66" s="1029"/>
    </row>
    <row r="67" spans="1:13" ht="12" customHeight="1">
      <c r="A67" s="454">
        <v>2026</v>
      </c>
      <c r="C67" s="405" t="s">
        <v>518</v>
      </c>
      <c r="D67" s="496"/>
      <c r="E67" s="407"/>
      <c r="F67" s="421"/>
      <c r="G67" s="409"/>
      <c r="H67" s="409"/>
      <c r="I67" s="409"/>
      <c r="J67" s="409"/>
      <c r="K67" s="409"/>
      <c r="L67" s="409"/>
      <c r="M67" s="1029"/>
    </row>
    <row r="68" spans="1:13" ht="12" customHeight="1">
      <c r="A68" s="454">
        <v>2027</v>
      </c>
      <c r="C68" s="405" t="s">
        <v>519</v>
      </c>
      <c r="D68" s="497"/>
      <c r="E68" s="427"/>
      <c r="F68" s="428"/>
      <c r="G68" s="460"/>
      <c r="H68" s="460"/>
      <c r="I68" s="460"/>
      <c r="J68" s="460"/>
      <c r="K68" s="460"/>
      <c r="L68" s="460"/>
      <c r="M68" s="1035"/>
    </row>
    <row r="69" spans="1:13" ht="12" customHeight="1">
      <c r="A69" s="454" t="s">
        <v>475</v>
      </c>
      <c r="C69" s="430" t="s">
        <v>916</v>
      </c>
      <c r="D69" s="499"/>
      <c r="E69" s="493"/>
      <c r="F69" s="494"/>
      <c r="G69" s="494"/>
      <c r="H69" s="494"/>
      <c r="I69" s="494"/>
      <c r="J69" s="494"/>
      <c r="K69" s="494"/>
      <c r="L69" s="494"/>
      <c r="M69" s="1036"/>
    </row>
    <row r="70" spans="1:13" ht="4.95" customHeight="1">
      <c r="A70" s="748"/>
      <c r="C70" s="481"/>
      <c r="D70" s="481"/>
      <c r="E70" s="446"/>
      <c r="F70" s="446"/>
      <c r="G70" s="446"/>
      <c r="H70" s="446"/>
      <c r="I70" s="446"/>
      <c r="J70" s="446"/>
      <c r="K70" s="446"/>
      <c r="L70" s="446"/>
      <c r="M70" s="446"/>
    </row>
    <row r="71" spans="1:13" ht="12" customHeight="1">
      <c r="A71" s="454">
        <v>2020</v>
      </c>
      <c r="C71" s="397" t="s">
        <v>521</v>
      </c>
      <c r="D71" s="442">
        <f>'T2 MET'!C25</f>
        <v>0</v>
      </c>
      <c r="E71" s="419"/>
      <c r="F71" s="400"/>
      <c r="G71" s="486">
        <f>D71</f>
        <v>0</v>
      </c>
      <c r="H71" s="401"/>
      <c r="I71" s="1038"/>
      <c r="J71" s="1038"/>
      <c r="K71" s="1038"/>
      <c r="L71" s="1038"/>
      <c r="M71" s="436">
        <f>D71-SUM(E71:L71)</f>
        <v>0</v>
      </c>
    </row>
    <row r="72" spans="1:13" ht="12" customHeight="1">
      <c r="A72" s="454">
        <v>2021</v>
      </c>
      <c r="C72" s="405" t="s">
        <v>522</v>
      </c>
      <c r="D72" s="443">
        <f>'T2 MET'!D25</f>
        <v>0</v>
      </c>
      <c r="E72" s="407"/>
      <c r="F72" s="421"/>
      <c r="G72" s="409"/>
      <c r="H72" s="490">
        <f>D72</f>
        <v>0</v>
      </c>
      <c r="I72" s="1039"/>
      <c r="J72" s="1039"/>
      <c r="K72" s="1039"/>
      <c r="L72" s="1039"/>
      <c r="M72" s="439">
        <f>D72-SUM(E72:L72)</f>
        <v>0</v>
      </c>
    </row>
    <row r="73" spans="1:13" ht="12" customHeight="1">
      <c r="A73" s="454">
        <v>2022</v>
      </c>
      <c r="C73" s="405" t="s">
        <v>523</v>
      </c>
      <c r="D73" s="443">
        <f>'T2 MET'!E25</f>
        <v>0</v>
      </c>
      <c r="E73" s="407"/>
      <c r="F73" s="421"/>
      <c r="G73" s="409"/>
      <c r="H73" s="409"/>
      <c r="I73" s="1046">
        <f>D73</f>
        <v>0</v>
      </c>
      <c r="J73" s="1066"/>
      <c r="K73" s="1066"/>
      <c r="L73" s="1066"/>
      <c r="M73" s="439">
        <f>D73-SUM(E73:L73)</f>
        <v>0</v>
      </c>
    </row>
    <row r="74" spans="1:13" ht="12" customHeight="1">
      <c r="A74" s="454" t="s">
        <v>468</v>
      </c>
      <c r="C74" s="412" t="s">
        <v>524</v>
      </c>
      <c r="D74" s="413">
        <f>SUM(D71:D73)</f>
        <v>0</v>
      </c>
      <c r="E74" s="1062"/>
      <c r="F74" s="1063"/>
      <c r="G74" s="415">
        <f>SUM(G71:G73)</f>
        <v>0</v>
      </c>
      <c r="H74" s="415">
        <f>SUM(H71:H73)</f>
        <v>0</v>
      </c>
      <c r="I74" s="415">
        <f>SUM(I71:I73)</f>
        <v>0</v>
      </c>
      <c r="J74" s="416"/>
      <c r="K74" s="416"/>
      <c r="L74" s="416"/>
      <c r="M74" s="1030"/>
    </row>
    <row r="75" spans="1:13" ht="12" customHeight="1">
      <c r="A75" s="454">
        <v>2023</v>
      </c>
      <c r="C75" s="405" t="s">
        <v>525</v>
      </c>
      <c r="D75" s="443">
        <f>'T2 MET'!F25</f>
        <v>0</v>
      </c>
      <c r="E75" s="407"/>
      <c r="F75" s="421"/>
      <c r="G75" s="409"/>
      <c r="H75" s="409"/>
      <c r="I75" s="1042"/>
      <c r="J75" s="422">
        <f>D75</f>
        <v>0</v>
      </c>
      <c r="K75" s="409"/>
      <c r="L75" s="409"/>
      <c r="M75" s="1029"/>
    </row>
    <row r="76" spans="1:13" ht="12" customHeight="1">
      <c r="A76" s="454">
        <v>2024</v>
      </c>
      <c r="C76" s="405" t="s">
        <v>526</v>
      </c>
      <c r="D76" s="443">
        <f>'T2 MET'!G25</f>
        <v>0</v>
      </c>
      <c r="E76" s="407"/>
      <c r="F76" s="421"/>
      <c r="G76" s="409"/>
      <c r="H76" s="409"/>
      <c r="I76" s="1042"/>
      <c r="J76" s="409"/>
      <c r="K76" s="422">
        <f>D76</f>
        <v>0</v>
      </c>
      <c r="L76" s="409"/>
      <c r="M76" s="1029"/>
    </row>
    <row r="77" spans="1:13" ht="12" customHeight="1">
      <c r="A77" s="454">
        <v>2025</v>
      </c>
      <c r="C77" s="405" t="s">
        <v>527</v>
      </c>
      <c r="D77" s="443">
        <f>'T2 MET'!H25</f>
        <v>0</v>
      </c>
      <c r="E77" s="407"/>
      <c r="F77" s="421"/>
      <c r="G77" s="409"/>
      <c r="H77" s="409"/>
      <c r="I77" s="1042"/>
      <c r="J77" s="409"/>
      <c r="K77" s="409"/>
      <c r="L77" s="422">
        <f>D77</f>
        <v>0</v>
      </c>
      <c r="M77" s="1029"/>
    </row>
    <row r="78" spans="1:13" ht="12" customHeight="1">
      <c r="A78" s="454">
        <v>2026</v>
      </c>
      <c r="C78" s="405" t="s">
        <v>528</v>
      </c>
      <c r="D78" s="443">
        <f>'T2 MET'!I25</f>
        <v>0</v>
      </c>
      <c r="E78" s="407"/>
      <c r="F78" s="421"/>
      <c r="G78" s="409"/>
      <c r="H78" s="409"/>
      <c r="I78" s="1042"/>
      <c r="J78" s="409"/>
      <c r="K78" s="409"/>
      <c r="L78" s="409"/>
      <c r="M78" s="439">
        <f>D78</f>
        <v>0</v>
      </c>
    </row>
    <row r="79" spans="1:13" ht="12" customHeight="1">
      <c r="A79" s="454">
        <v>2027</v>
      </c>
      <c r="C79" s="405" t="s">
        <v>529</v>
      </c>
      <c r="D79" s="444">
        <f>'T2 MET'!J25</f>
        <v>0</v>
      </c>
      <c r="E79" s="427"/>
      <c r="F79" s="428"/>
      <c r="G79" s="428"/>
      <c r="H79" s="428"/>
      <c r="I79" s="1043"/>
      <c r="J79" s="460"/>
      <c r="K79" s="460"/>
      <c r="L79" s="460"/>
      <c r="M79" s="1056">
        <f>D79</f>
        <v>0</v>
      </c>
    </row>
    <row r="80" spans="1:13" ht="12" customHeight="1">
      <c r="A80" s="454" t="s">
        <v>475</v>
      </c>
      <c r="C80" s="430" t="s">
        <v>917</v>
      </c>
      <c r="D80" s="431">
        <f>SUM(D74:D79)</f>
        <v>0</v>
      </c>
      <c r="E80" s="493"/>
      <c r="F80" s="494"/>
      <c r="G80" s="433">
        <f>SUM(G74:G79)</f>
        <v>0</v>
      </c>
      <c r="H80" s="433">
        <f t="shared" ref="H80:L80" si="3">SUM(H74:H79)</f>
        <v>0</v>
      </c>
      <c r="I80" s="433">
        <f t="shared" si="3"/>
        <v>0</v>
      </c>
      <c r="J80" s="433">
        <f t="shared" si="3"/>
        <v>0</v>
      </c>
      <c r="K80" s="433">
        <f t="shared" si="3"/>
        <v>0</v>
      </c>
      <c r="L80" s="433">
        <f t="shared" si="3"/>
        <v>0</v>
      </c>
      <c r="M80" s="1055">
        <f>SUM(M74:M79)</f>
        <v>0</v>
      </c>
    </row>
    <row r="81" spans="1:13" ht="3.6" customHeight="1">
      <c r="A81" s="748"/>
      <c r="C81" s="481"/>
      <c r="D81" s="481"/>
      <c r="E81" s="446"/>
      <c r="F81" s="446"/>
      <c r="G81" s="446"/>
      <c r="H81" s="446"/>
      <c r="I81" s="446"/>
      <c r="J81" s="446"/>
      <c r="K81" s="446"/>
      <c r="L81" s="446"/>
      <c r="M81" s="446"/>
    </row>
    <row r="82" spans="1:13" ht="12" customHeight="1">
      <c r="A82" s="454">
        <v>2020</v>
      </c>
      <c r="C82" s="397" t="s">
        <v>531</v>
      </c>
      <c r="D82" s="442">
        <f>'T2 MET'!C26</f>
        <v>0</v>
      </c>
      <c r="E82" s="419"/>
      <c r="F82" s="400"/>
      <c r="G82" s="486">
        <f>D82</f>
        <v>0</v>
      </c>
      <c r="H82" s="401"/>
      <c r="I82" s="1038"/>
      <c r="J82" s="1038"/>
      <c r="K82" s="1038"/>
      <c r="L82" s="1038"/>
      <c r="M82" s="436">
        <f>D82-SUM(E82:L82)</f>
        <v>0</v>
      </c>
    </row>
    <row r="83" spans="1:13" ht="12" customHeight="1">
      <c r="A83" s="454">
        <v>2021</v>
      </c>
      <c r="C83" s="405" t="s">
        <v>532</v>
      </c>
      <c r="D83" s="443">
        <f>'T2 MET'!D26</f>
        <v>0</v>
      </c>
      <c r="E83" s="407"/>
      <c r="F83" s="421"/>
      <c r="G83" s="409"/>
      <c r="H83" s="490">
        <f>D83</f>
        <v>0</v>
      </c>
      <c r="I83" s="1039"/>
      <c r="J83" s="409"/>
      <c r="K83" s="409"/>
      <c r="L83" s="409"/>
      <c r="M83" s="439">
        <f>D83-SUM(E83:L83)</f>
        <v>0</v>
      </c>
    </row>
    <row r="84" spans="1:13" ht="12" customHeight="1">
      <c r="A84" s="454">
        <v>2022</v>
      </c>
      <c r="C84" s="405" t="s">
        <v>533</v>
      </c>
      <c r="D84" s="443">
        <f>'T2 MET'!E26</f>
        <v>0</v>
      </c>
      <c r="E84" s="407"/>
      <c r="F84" s="421"/>
      <c r="G84" s="409"/>
      <c r="H84" s="409"/>
      <c r="I84" s="1046">
        <f>D84</f>
        <v>0</v>
      </c>
      <c r="J84" s="460"/>
      <c r="K84" s="460"/>
      <c r="L84" s="460"/>
      <c r="M84" s="439">
        <f>D84-SUM(E84:L84)</f>
        <v>0</v>
      </c>
    </row>
    <row r="85" spans="1:13" ht="12" customHeight="1">
      <c r="A85" s="454" t="s">
        <v>468</v>
      </c>
      <c r="C85" s="412" t="s">
        <v>534</v>
      </c>
      <c r="D85" s="413">
        <f>SUM(D82:D84)</f>
        <v>0</v>
      </c>
      <c r="E85" s="1062"/>
      <c r="F85" s="1063"/>
      <c r="G85" s="415">
        <f>SUM(G82:G84)</f>
        <v>0</v>
      </c>
      <c r="H85" s="415">
        <f>SUM(H82:H84)</f>
        <v>0</v>
      </c>
      <c r="I85" s="415">
        <f>SUM(I82:I84)</f>
        <v>0</v>
      </c>
      <c r="J85" s="416"/>
      <c r="K85" s="416"/>
      <c r="L85" s="416"/>
      <c r="M85" s="1030"/>
    </row>
    <row r="86" spans="1:13" ht="12" customHeight="1">
      <c r="A86" s="454">
        <v>2023</v>
      </c>
      <c r="C86" s="405" t="s">
        <v>535</v>
      </c>
      <c r="D86" s="442">
        <f>'T2 MET'!F26</f>
        <v>0</v>
      </c>
      <c r="E86" s="407"/>
      <c r="F86" s="421"/>
      <c r="G86" s="409"/>
      <c r="H86" s="409"/>
      <c r="I86" s="1042"/>
      <c r="J86" s="422">
        <f>D86</f>
        <v>0</v>
      </c>
      <c r="K86" s="409"/>
      <c r="L86" s="409"/>
      <c r="M86" s="1029"/>
    </row>
    <row r="87" spans="1:13" ht="12" customHeight="1">
      <c r="A87" s="454">
        <v>2024</v>
      </c>
      <c r="C87" s="405" t="s">
        <v>536</v>
      </c>
      <c r="D87" s="443">
        <f>'T2 MET'!G26</f>
        <v>0</v>
      </c>
      <c r="E87" s="407"/>
      <c r="F87" s="421"/>
      <c r="G87" s="409"/>
      <c r="H87" s="409"/>
      <c r="I87" s="1042"/>
      <c r="J87" s="409"/>
      <c r="K87" s="422">
        <f>D87</f>
        <v>0</v>
      </c>
      <c r="L87" s="409"/>
      <c r="M87" s="1029"/>
    </row>
    <row r="88" spans="1:13" ht="12" customHeight="1">
      <c r="A88" s="454">
        <v>2025</v>
      </c>
      <c r="C88" s="405" t="s">
        <v>537</v>
      </c>
      <c r="D88" s="443">
        <f>'T2 MET'!H26</f>
        <v>0</v>
      </c>
      <c r="E88" s="407"/>
      <c r="F88" s="421"/>
      <c r="G88" s="409"/>
      <c r="H88" s="409"/>
      <c r="I88" s="1042"/>
      <c r="J88" s="409"/>
      <c r="K88" s="409"/>
      <c r="L88" s="422">
        <f>D88</f>
        <v>0</v>
      </c>
      <c r="M88" s="1029"/>
    </row>
    <row r="89" spans="1:13" ht="12" customHeight="1">
      <c r="A89" s="454">
        <v>2026</v>
      </c>
      <c r="C89" s="405" t="s">
        <v>538</v>
      </c>
      <c r="D89" s="443">
        <f>'T2 MET'!I26</f>
        <v>0</v>
      </c>
      <c r="E89" s="407"/>
      <c r="F89" s="421"/>
      <c r="G89" s="409"/>
      <c r="H89" s="409"/>
      <c r="I89" s="1042"/>
      <c r="J89" s="409"/>
      <c r="K89" s="409"/>
      <c r="L89" s="409"/>
      <c r="M89" s="439">
        <f>D89</f>
        <v>0</v>
      </c>
    </row>
    <row r="90" spans="1:13" ht="12" customHeight="1">
      <c r="A90" s="454">
        <v>2027</v>
      </c>
      <c r="C90" s="405" t="s">
        <v>539</v>
      </c>
      <c r="D90" s="444">
        <f>'T2 MET'!J26</f>
        <v>0</v>
      </c>
      <c r="E90" s="427"/>
      <c r="F90" s="428"/>
      <c r="G90" s="428"/>
      <c r="H90" s="428"/>
      <c r="I90" s="1043"/>
      <c r="J90" s="460"/>
      <c r="K90" s="460"/>
      <c r="L90" s="460"/>
      <c r="M90" s="1056">
        <f>D90</f>
        <v>0</v>
      </c>
    </row>
    <row r="91" spans="1:13" ht="12" customHeight="1">
      <c r="A91" s="454" t="s">
        <v>475</v>
      </c>
      <c r="C91" s="430" t="s">
        <v>918</v>
      </c>
      <c r="D91" s="431">
        <f>SUM(D85:D90)</f>
        <v>0</v>
      </c>
      <c r="E91" s="493"/>
      <c r="F91" s="494"/>
      <c r="G91" s="433">
        <f>SUM(G85:G90)</f>
        <v>0</v>
      </c>
      <c r="H91" s="433">
        <f t="shared" ref="H91:L91" si="4">SUM(H85:H90)</f>
        <v>0</v>
      </c>
      <c r="I91" s="433">
        <f t="shared" si="4"/>
        <v>0</v>
      </c>
      <c r="J91" s="433">
        <f t="shared" si="4"/>
        <v>0</v>
      </c>
      <c r="K91" s="433">
        <f t="shared" si="4"/>
        <v>0</v>
      </c>
      <c r="L91" s="433">
        <f t="shared" si="4"/>
        <v>0</v>
      </c>
      <c r="M91" s="1055">
        <f>SUM(M85:M90)</f>
        <v>0</v>
      </c>
    </row>
    <row r="92" spans="1:13" ht="3.6" customHeight="1">
      <c r="A92" s="748"/>
      <c r="C92" s="481"/>
      <c r="D92" s="481"/>
      <c r="E92" s="446"/>
      <c r="F92" s="446"/>
      <c r="G92" s="446"/>
      <c r="H92" s="446"/>
      <c r="I92" s="446"/>
      <c r="J92" s="446"/>
      <c r="K92" s="446"/>
      <c r="L92" s="446"/>
      <c r="M92" s="446"/>
    </row>
    <row r="93" spans="1:13" ht="12" customHeight="1">
      <c r="A93" s="454">
        <v>2020</v>
      </c>
      <c r="C93" s="397" t="s">
        <v>541</v>
      </c>
      <c r="D93" s="442">
        <f>'T2 MET'!C27</f>
        <v>0</v>
      </c>
      <c r="E93" s="419"/>
      <c r="F93" s="400"/>
      <c r="G93" s="486">
        <f>+D93</f>
        <v>0</v>
      </c>
      <c r="H93" s="401"/>
      <c r="I93" s="1038"/>
      <c r="J93" s="1038"/>
      <c r="K93" s="1038"/>
      <c r="L93" s="1038"/>
      <c r="M93" s="436">
        <f>D93-SUM(E93:L93)</f>
        <v>0</v>
      </c>
    </row>
    <row r="94" spans="1:13" ht="12" customHeight="1">
      <c r="A94" s="454">
        <v>2021</v>
      </c>
      <c r="C94" s="405" t="s">
        <v>542</v>
      </c>
      <c r="D94" s="443">
        <f>'T2 MET'!D27</f>
        <v>0</v>
      </c>
      <c r="E94" s="407"/>
      <c r="F94" s="421"/>
      <c r="G94" s="409"/>
      <c r="H94" s="490">
        <f>+D94</f>
        <v>0</v>
      </c>
      <c r="I94" s="1039"/>
      <c r="J94" s="1039"/>
      <c r="K94" s="1039"/>
      <c r="L94" s="1039"/>
      <c r="M94" s="439">
        <f>D94-SUM(E94:L94)</f>
        <v>0</v>
      </c>
    </row>
    <row r="95" spans="1:13" ht="12" customHeight="1">
      <c r="A95" s="454">
        <v>2022</v>
      </c>
      <c r="C95" s="405" t="s">
        <v>543</v>
      </c>
      <c r="D95" s="443">
        <f>'T2 MET'!E27</f>
        <v>0</v>
      </c>
      <c r="E95" s="407"/>
      <c r="F95" s="421"/>
      <c r="G95" s="409"/>
      <c r="H95" s="409"/>
      <c r="I95" s="1046">
        <f>+D95</f>
        <v>0</v>
      </c>
      <c r="J95" s="460"/>
      <c r="K95" s="460"/>
      <c r="L95" s="460"/>
      <c r="M95" s="439">
        <f>D95-SUM(E95:L95)</f>
        <v>0</v>
      </c>
    </row>
    <row r="96" spans="1:13" ht="12" customHeight="1">
      <c r="A96" s="454" t="s">
        <v>468</v>
      </c>
      <c r="C96" s="412" t="s">
        <v>928</v>
      </c>
      <c r="D96" s="413">
        <f>SUM(D93:D95)</f>
        <v>0</v>
      </c>
      <c r="E96" s="1062"/>
      <c r="F96" s="1063"/>
      <c r="G96" s="415">
        <f>SUM(G93:G95)</f>
        <v>0</v>
      </c>
      <c r="H96" s="415">
        <f>SUM(H93:H95)</f>
        <v>0</v>
      </c>
      <c r="I96" s="415">
        <f>SUM(I93:I95)</f>
        <v>0</v>
      </c>
      <c r="J96" s="416"/>
      <c r="K96" s="416"/>
      <c r="L96" s="416"/>
      <c r="M96" s="1030"/>
    </row>
    <row r="97" spans="1:13" ht="12" customHeight="1">
      <c r="A97" s="454">
        <v>2023</v>
      </c>
      <c r="C97" s="405" t="s">
        <v>544</v>
      </c>
      <c r="D97" s="443">
        <f>'T2 MET'!F27</f>
        <v>0</v>
      </c>
      <c r="E97" s="407"/>
      <c r="F97" s="421"/>
      <c r="G97" s="409"/>
      <c r="H97" s="409"/>
      <c r="I97" s="1042"/>
      <c r="J97" s="422">
        <f>D97</f>
        <v>0</v>
      </c>
      <c r="K97" s="409"/>
      <c r="L97" s="409"/>
      <c r="M97" s="1029"/>
    </row>
    <row r="98" spans="1:13" ht="12" customHeight="1">
      <c r="A98" s="454">
        <v>2024</v>
      </c>
      <c r="C98" s="405" t="s">
        <v>545</v>
      </c>
      <c r="D98" s="443">
        <f>'T2 MET'!G27</f>
        <v>0</v>
      </c>
      <c r="E98" s="407"/>
      <c r="F98" s="421"/>
      <c r="G98" s="409"/>
      <c r="H98" s="409"/>
      <c r="I98" s="1042"/>
      <c r="J98" s="409"/>
      <c r="K98" s="422">
        <f>D98</f>
        <v>0</v>
      </c>
      <c r="L98" s="409"/>
      <c r="M98" s="1029"/>
    </row>
    <row r="99" spans="1:13" ht="12" customHeight="1">
      <c r="A99" s="454">
        <v>2025</v>
      </c>
      <c r="C99" s="405" t="s">
        <v>546</v>
      </c>
      <c r="D99" s="443">
        <f>'T2 MET'!H27</f>
        <v>0</v>
      </c>
      <c r="E99" s="407"/>
      <c r="F99" s="421"/>
      <c r="G99" s="409"/>
      <c r="H99" s="409"/>
      <c r="I99" s="1042"/>
      <c r="J99" s="409"/>
      <c r="K99" s="409"/>
      <c r="L99" s="422">
        <f>D99</f>
        <v>0</v>
      </c>
      <c r="M99" s="1029"/>
    </row>
    <row r="100" spans="1:13" ht="12" customHeight="1">
      <c r="A100" s="454">
        <v>2026</v>
      </c>
      <c r="C100" s="405" t="s">
        <v>547</v>
      </c>
      <c r="D100" s="443">
        <f>'T2 MET'!I27</f>
        <v>0</v>
      </c>
      <c r="E100" s="407"/>
      <c r="F100" s="421"/>
      <c r="G100" s="409"/>
      <c r="H100" s="409"/>
      <c r="I100" s="1042"/>
      <c r="J100" s="409"/>
      <c r="K100" s="409"/>
      <c r="L100" s="409"/>
      <c r="M100" s="439">
        <f>D100</f>
        <v>0</v>
      </c>
    </row>
    <row r="101" spans="1:13" ht="12" customHeight="1">
      <c r="A101" s="454">
        <v>2027</v>
      </c>
      <c r="C101" s="405" t="s">
        <v>548</v>
      </c>
      <c r="D101" s="444">
        <f>'T2 MET'!J27</f>
        <v>0</v>
      </c>
      <c r="E101" s="427"/>
      <c r="F101" s="428"/>
      <c r="G101" s="428"/>
      <c r="H101" s="428"/>
      <c r="I101" s="1043"/>
      <c r="J101" s="460"/>
      <c r="K101" s="460"/>
      <c r="L101" s="460"/>
      <c r="M101" s="1056">
        <f>D101</f>
        <v>0</v>
      </c>
    </row>
    <row r="102" spans="1:13" ht="12" customHeight="1">
      <c r="A102" s="454" t="s">
        <v>475</v>
      </c>
      <c r="C102" s="430" t="s">
        <v>919</v>
      </c>
      <c r="D102" s="431">
        <f>SUM(D96:D101)</f>
        <v>0</v>
      </c>
      <c r="E102" s="493"/>
      <c r="F102" s="494"/>
      <c r="G102" s="433">
        <f>SUM(G96:G101)</f>
        <v>0</v>
      </c>
      <c r="H102" s="433">
        <f t="shared" ref="H102:L102" si="5">SUM(H96:H101)</f>
        <v>0</v>
      </c>
      <c r="I102" s="433">
        <f t="shared" si="5"/>
        <v>0</v>
      </c>
      <c r="J102" s="433">
        <f t="shared" si="5"/>
        <v>0</v>
      </c>
      <c r="K102" s="433">
        <f t="shared" si="5"/>
        <v>0</v>
      </c>
      <c r="L102" s="433">
        <f t="shared" si="5"/>
        <v>0</v>
      </c>
      <c r="M102" s="1055">
        <f>SUM(M96:M101)</f>
        <v>0</v>
      </c>
    </row>
    <row r="103" spans="1:13" ht="3.6" customHeight="1">
      <c r="A103" s="748"/>
      <c r="C103" s="481"/>
      <c r="D103" s="481"/>
      <c r="E103" s="446"/>
      <c r="F103" s="446"/>
      <c r="G103" s="446"/>
      <c r="H103" s="446"/>
      <c r="I103" s="446"/>
      <c r="J103" s="446"/>
      <c r="K103" s="446"/>
      <c r="L103" s="446"/>
      <c r="M103" s="446"/>
    </row>
    <row r="104" spans="1:13" ht="12" customHeight="1">
      <c r="A104" s="454">
        <v>2017</v>
      </c>
      <c r="C104" s="435" t="s">
        <v>550</v>
      </c>
      <c r="D104" s="437">
        <v>0</v>
      </c>
      <c r="E104" s="420"/>
      <c r="F104" s="420">
        <f>D104</f>
        <v>0</v>
      </c>
      <c r="G104" s="420"/>
      <c r="H104" s="420"/>
      <c r="I104" s="1315"/>
      <c r="J104" s="1315"/>
      <c r="K104" s="1315"/>
      <c r="L104" s="1315"/>
      <c r="M104" s="436"/>
    </row>
    <row r="105" spans="1:13" ht="12" customHeight="1">
      <c r="A105" s="454">
        <v>2018</v>
      </c>
      <c r="C105" s="438" t="s">
        <v>551</v>
      </c>
      <c r="D105" s="440">
        <v>0</v>
      </c>
      <c r="E105" s="422"/>
      <c r="F105" s="422">
        <f>D105</f>
        <v>0</v>
      </c>
      <c r="G105" s="422"/>
      <c r="H105" s="422"/>
      <c r="I105" s="1041"/>
      <c r="J105" s="1041"/>
      <c r="K105" s="1041"/>
      <c r="L105" s="1041"/>
      <c r="M105" s="439"/>
    </row>
    <row r="106" spans="1:13" ht="12" customHeight="1">
      <c r="A106" s="454">
        <v>2019</v>
      </c>
      <c r="C106" s="438" t="s">
        <v>552</v>
      </c>
      <c r="D106" s="37">
        <v>0</v>
      </c>
      <c r="E106" s="422"/>
      <c r="F106" s="422">
        <f>D106</f>
        <v>0</v>
      </c>
      <c r="G106" s="422"/>
      <c r="H106" s="422"/>
      <c r="I106" s="1041"/>
      <c r="J106" s="1041"/>
      <c r="K106" s="1041"/>
      <c r="L106" s="1041"/>
      <c r="M106" s="439"/>
    </row>
    <row r="107" spans="1:13">
      <c r="A107" s="454" t="s">
        <v>463</v>
      </c>
      <c r="C107" s="430" t="s">
        <v>553</v>
      </c>
      <c r="D107" s="431">
        <f>SUM(D104:D106)</f>
        <v>0</v>
      </c>
      <c r="E107" s="432">
        <f t="shared" ref="E107:M107" si="6">SUM(E104:E106)</f>
        <v>0</v>
      </c>
      <c r="F107" s="479">
        <f t="shared" si="6"/>
        <v>0</v>
      </c>
      <c r="G107" s="479">
        <f t="shared" si="6"/>
        <v>0</v>
      </c>
      <c r="H107" s="479">
        <f t="shared" si="6"/>
        <v>0</v>
      </c>
      <c r="I107" s="1314">
        <f t="shared" si="6"/>
        <v>0</v>
      </c>
      <c r="J107" s="1314">
        <f t="shared" si="6"/>
        <v>0</v>
      </c>
      <c r="K107" s="1314">
        <f t="shared" si="6"/>
        <v>0</v>
      </c>
      <c r="L107" s="1314">
        <f t="shared" si="6"/>
        <v>0</v>
      </c>
      <c r="M107" s="1055">
        <f t="shared" si="6"/>
        <v>0</v>
      </c>
    </row>
    <row r="108" spans="1:13">
      <c r="A108" s="454">
        <v>2020</v>
      </c>
      <c r="C108" s="435" t="s">
        <v>554</v>
      </c>
      <c r="D108" s="437">
        <v>0</v>
      </c>
      <c r="E108" s="420"/>
      <c r="F108" s="420"/>
      <c r="G108" s="420">
        <f>D108</f>
        <v>0</v>
      </c>
      <c r="H108" s="420"/>
      <c r="I108" s="420"/>
      <c r="J108" s="420"/>
      <c r="K108" s="420"/>
      <c r="L108" s="420"/>
      <c r="M108" s="436"/>
    </row>
    <row r="109" spans="1:13">
      <c r="A109" s="454">
        <v>2021</v>
      </c>
      <c r="C109" s="438" t="s">
        <v>555</v>
      </c>
      <c r="D109" s="440">
        <v>0</v>
      </c>
      <c r="E109" s="422"/>
      <c r="F109" s="422"/>
      <c r="G109" s="422"/>
      <c r="H109" s="422">
        <f>D109</f>
        <v>0</v>
      </c>
      <c r="I109" s="422"/>
      <c r="J109" s="422"/>
      <c r="K109" s="422"/>
      <c r="L109" s="422"/>
      <c r="M109" s="439"/>
    </row>
    <row r="110" spans="1:13">
      <c r="A110" s="454">
        <v>2022</v>
      </c>
      <c r="C110" s="438" t="s">
        <v>556</v>
      </c>
      <c r="D110" s="37">
        <v>0</v>
      </c>
      <c r="E110" s="422"/>
      <c r="F110" s="422"/>
      <c r="G110" s="422"/>
      <c r="H110" s="422"/>
      <c r="I110" s="422">
        <f>D110</f>
        <v>0</v>
      </c>
      <c r="J110" s="422"/>
      <c r="K110" s="422"/>
      <c r="L110" s="422"/>
      <c r="M110" s="439"/>
    </row>
    <row r="111" spans="1:13">
      <c r="A111" s="454" t="s">
        <v>475</v>
      </c>
      <c r="C111" s="430" t="s">
        <v>557</v>
      </c>
      <c r="D111" s="431">
        <f>SUM(D108:D110)</f>
        <v>0</v>
      </c>
      <c r="E111" s="432">
        <f t="shared" ref="E111:M111" si="7">SUM(E108:E110)</f>
        <v>0</v>
      </c>
      <c r="F111" s="479">
        <f t="shared" si="7"/>
        <v>0</v>
      </c>
      <c r="G111" s="479">
        <f t="shared" si="7"/>
        <v>0</v>
      </c>
      <c r="H111" s="479">
        <f t="shared" si="7"/>
        <v>0</v>
      </c>
      <c r="I111" s="1314">
        <f t="shared" si="7"/>
        <v>0</v>
      </c>
      <c r="J111" s="1314">
        <f t="shared" si="7"/>
        <v>0</v>
      </c>
      <c r="K111" s="1314">
        <f t="shared" si="7"/>
        <v>0</v>
      </c>
      <c r="L111" s="1314">
        <f t="shared" si="7"/>
        <v>0</v>
      </c>
      <c r="M111" s="1055">
        <f t="shared" si="7"/>
        <v>0</v>
      </c>
    </row>
    <row r="112" spans="1:13" ht="3.6" customHeight="1">
      <c r="A112" s="748"/>
      <c r="C112" s="481"/>
      <c r="D112" s="481"/>
      <c r="E112" s="446"/>
      <c r="F112" s="446"/>
      <c r="G112" s="446"/>
      <c r="H112" s="446"/>
      <c r="I112" s="446"/>
      <c r="J112" s="446"/>
      <c r="K112" s="446"/>
      <c r="L112" s="446"/>
      <c r="M112" s="446"/>
    </row>
    <row r="113" spans="1:13" ht="12" customHeight="1">
      <c r="A113" s="454">
        <v>2017</v>
      </c>
      <c r="C113" s="435" t="s">
        <v>558</v>
      </c>
      <c r="D113" s="535"/>
      <c r="E113" s="1311"/>
      <c r="F113" s="506"/>
      <c r="G113" s="506"/>
      <c r="H113" s="506"/>
      <c r="I113" s="1064"/>
      <c r="J113" s="1064"/>
      <c r="K113" s="1064"/>
      <c r="L113" s="1064"/>
      <c r="M113" s="1034"/>
    </row>
    <row r="114" spans="1:13" ht="12" customHeight="1">
      <c r="A114" s="454">
        <v>2018</v>
      </c>
      <c r="C114" s="438" t="s">
        <v>559</v>
      </c>
      <c r="D114" s="536"/>
      <c r="E114" s="456"/>
      <c r="F114" s="409"/>
      <c r="G114" s="409"/>
      <c r="H114" s="409"/>
      <c r="I114" s="1042"/>
      <c r="J114" s="1042"/>
      <c r="K114" s="1042"/>
      <c r="L114" s="1042"/>
      <c r="M114" s="1029"/>
    </row>
    <row r="115" spans="1:13" ht="12" customHeight="1">
      <c r="A115" s="454">
        <v>2019</v>
      </c>
      <c r="C115" s="438" t="s">
        <v>560</v>
      </c>
      <c r="D115" s="536"/>
      <c r="E115" s="456"/>
      <c r="F115" s="409"/>
      <c r="G115" s="409"/>
      <c r="H115" s="409"/>
      <c r="I115" s="1039"/>
      <c r="J115" s="1039"/>
      <c r="K115" s="1039"/>
      <c r="L115" s="1039"/>
      <c r="M115" s="1029"/>
    </row>
    <row r="116" spans="1:13" ht="12" customHeight="1">
      <c r="A116" s="454" t="s">
        <v>463</v>
      </c>
      <c r="C116" s="412" t="s">
        <v>561</v>
      </c>
      <c r="D116" s="418"/>
      <c r="E116" s="463"/>
      <c r="F116" s="416"/>
      <c r="G116" s="416"/>
      <c r="H116" s="416"/>
      <c r="I116" s="1040"/>
      <c r="J116" s="1040"/>
      <c r="K116" s="1040"/>
      <c r="L116" s="1040"/>
      <c r="M116" s="1030"/>
    </row>
    <row r="117" spans="1:13" ht="12" customHeight="1">
      <c r="A117" s="454">
        <v>2020</v>
      </c>
      <c r="C117" s="397" t="s">
        <v>562</v>
      </c>
      <c r="D117" s="540"/>
      <c r="E117" s="455"/>
      <c r="F117" s="401"/>
      <c r="G117" s="401"/>
      <c r="H117" s="401"/>
      <c r="I117" s="1038"/>
      <c r="J117" s="1060"/>
      <c r="K117" s="1038"/>
      <c r="L117" s="409"/>
      <c r="M117" s="1029"/>
    </row>
    <row r="118" spans="1:13" ht="12" customHeight="1">
      <c r="A118" s="454">
        <v>2021</v>
      </c>
      <c r="C118" s="405" t="s">
        <v>563</v>
      </c>
      <c r="D118" s="541"/>
      <c r="E118" s="456"/>
      <c r="F118" s="409"/>
      <c r="G118" s="409"/>
      <c r="H118" s="409"/>
      <c r="I118" s="1039"/>
      <c r="J118" s="1033"/>
      <c r="K118" s="1039"/>
      <c r="L118" s="409"/>
      <c r="M118" s="1029"/>
    </row>
    <row r="119" spans="1:13" ht="12" customHeight="1">
      <c r="A119" s="454">
        <v>2022</v>
      </c>
      <c r="C119" s="405" t="s">
        <v>564</v>
      </c>
      <c r="D119" s="541"/>
      <c r="E119" s="456"/>
      <c r="F119" s="409"/>
      <c r="G119" s="409"/>
      <c r="H119" s="409"/>
      <c r="I119" s="1039"/>
      <c r="J119" s="460"/>
      <c r="K119" s="460"/>
      <c r="L119" s="460"/>
      <c r="M119" s="1029"/>
    </row>
    <row r="120" spans="1:13" ht="12" customHeight="1">
      <c r="A120" s="454" t="s">
        <v>468</v>
      </c>
      <c r="C120" s="412" t="s">
        <v>565</v>
      </c>
      <c r="D120" s="418"/>
      <c r="E120" s="463"/>
      <c r="F120" s="416"/>
      <c r="G120" s="416"/>
      <c r="H120" s="416"/>
      <c r="I120" s="416"/>
      <c r="J120" s="416"/>
      <c r="K120" s="416"/>
      <c r="L120" s="416"/>
      <c r="M120" s="1030"/>
    </row>
    <row r="121" spans="1:13" ht="12" customHeight="1">
      <c r="A121" s="454">
        <v>2023</v>
      </c>
      <c r="C121" s="405" t="s">
        <v>566</v>
      </c>
      <c r="D121" s="541"/>
      <c r="E121" s="456"/>
      <c r="F121" s="409"/>
      <c r="G121" s="409"/>
      <c r="H121" s="409"/>
      <c r="I121" s="409"/>
      <c r="J121" s="409"/>
      <c r="K121" s="409"/>
      <c r="L121" s="409"/>
      <c r="M121" s="1029"/>
    </row>
    <row r="122" spans="1:13" ht="12" customHeight="1">
      <c r="A122" s="454">
        <v>2024</v>
      </c>
      <c r="C122" s="405" t="s">
        <v>567</v>
      </c>
      <c r="D122" s="541"/>
      <c r="E122" s="456"/>
      <c r="F122" s="409"/>
      <c r="G122" s="409"/>
      <c r="H122" s="409"/>
      <c r="I122" s="409"/>
      <c r="J122" s="409"/>
      <c r="K122" s="409"/>
      <c r="L122" s="409"/>
      <c r="M122" s="1029"/>
    </row>
    <row r="123" spans="1:13" ht="12" customHeight="1">
      <c r="A123" s="454">
        <v>2025</v>
      </c>
      <c r="C123" s="405" t="s">
        <v>568</v>
      </c>
      <c r="D123" s="541"/>
      <c r="E123" s="456"/>
      <c r="F123" s="409"/>
      <c r="G123" s="409"/>
      <c r="H123" s="409"/>
      <c r="I123" s="409"/>
      <c r="J123" s="409"/>
      <c r="K123" s="409"/>
      <c r="L123" s="409"/>
      <c r="M123" s="1029"/>
    </row>
    <row r="124" spans="1:13" ht="12" customHeight="1">
      <c r="A124" s="454">
        <v>2026</v>
      </c>
      <c r="C124" s="405" t="s">
        <v>569</v>
      </c>
      <c r="D124" s="541"/>
      <c r="E124" s="456"/>
      <c r="F124" s="409"/>
      <c r="G124" s="409"/>
      <c r="H124" s="409"/>
      <c r="I124" s="409"/>
      <c r="J124" s="409"/>
      <c r="K124" s="409"/>
      <c r="L124" s="409"/>
      <c r="M124" s="1029"/>
    </row>
    <row r="125" spans="1:13" ht="12" customHeight="1">
      <c r="A125" s="454">
        <v>2027</v>
      </c>
      <c r="C125" s="405" t="s">
        <v>570</v>
      </c>
      <c r="D125" s="542"/>
      <c r="E125" s="459"/>
      <c r="F125" s="460"/>
      <c r="G125" s="460"/>
      <c r="H125" s="460"/>
      <c r="I125" s="460"/>
      <c r="J125" s="460"/>
      <c r="K125" s="460"/>
      <c r="L125" s="460"/>
      <c r="M125" s="1035"/>
    </row>
    <row r="126" spans="1:13" ht="12" customHeight="1">
      <c r="A126" s="454" t="s">
        <v>475</v>
      </c>
      <c r="C126" s="430" t="s">
        <v>920</v>
      </c>
      <c r="D126" s="499"/>
      <c r="E126" s="493"/>
      <c r="F126" s="493"/>
      <c r="G126" s="493"/>
      <c r="H126" s="493"/>
      <c r="I126" s="493"/>
      <c r="J126" s="493"/>
      <c r="K126" s="493"/>
      <c r="L126" s="493"/>
      <c r="M126" s="1036"/>
    </row>
    <row r="127" spans="1:13" ht="4.2" customHeight="1">
      <c r="A127" s="748"/>
      <c r="C127" s="481"/>
      <c r="D127" s="481"/>
      <c r="E127" s="481"/>
      <c r="F127" s="481"/>
      <c r="G127" s="481"/>
      <c r="H127" s="481"/>
      <c r="I127" s="504"/>
      <c r="J127" s="504"/>
      <c r="K127" s="504"/>
      <c r="L127" s="504"/>
      <c r="M127" s="481"/>
    </row>
    <row r="128" spans="1:13" ht="12" customHeight="1">
      <c r="A128" s="454">
        <v>2017</v>
      </c>
      <c r="C128" s="397" t="s">
        <v>572</v>
      </c>
      <c r="D128" s="474">
        <v>0</v>
      </c>
      <c r="E128" s="485">
        <v>0</v>
      </c>
      <c r="F128" s="486">
        <v>0</v>
      </c>
      <c r="G128" s="486">
        <v>0</v>
      </c>
      <c r="H128" s="486">
        <v>0</v>
      </c>
      <c r="I128" s="1044">
        <v>0</v>
      </c>
      <c r="J128" s="1044">
        <v>0</v>
      </c>
      <c r="K128" s="1044">
        <v>0</v>
      </c>
      <c r="L128" s="1044">
        <v>0</v>
      </c>
      <c r="M128" s="1034"/>
    </row>
    <row r="129" spans="1:15" ht="12" customHeight="1">
      <c r="A129" s="454">
        <v>2018</v>
      </c>
      <c r="C129" s="405" t="s">
        <v>573</v>
      </c>
      <c r="D129" s="476">
        <v>0</v>
      </c>
      <c r="E129" s="489">
        <v>0</v>
      </c>
      <c r="F129" s="490">
        <v>0</v>
      </c>
      <c r="G129" s="490">
        <v>0</v>
      </c>
      <c r="H129" s="490">
        <v>0</v>
      </c>
      <c r="I129" s="1045">
        <v>0</v>
      </c>
      <c r="J129" s="1045">
        <v>0</v>
      </c>
      <c r="K129" s="1045">
        <v>0</v>
      </c>
      <c r="L129" s="1045">
        <v>0</v>
      </c>
      <c r="M129" s="1029"/>
    </row>
    <row r="130" spans="1:15" ht="12" customHeight="1">
      <c r="A130" s="454">
        <v>2019</v>
      </c>
      <c r="C130" s="405" t="s">
        <v>574</v>
      </c>
      <c r="D130" s="476">
        <v>0</v>
      </c>
      <c r="E130" s="490">
        <v>0</v>
      </c>
      <c r="F130" s="490">
        <v>0</v>
      </c>
      <c r="G130" s="490">
        <v>0</v>
      </c>
      <c r="H130" s="490">
        <v>0</v>
      </c>
      <c r="I130" s="1045">
        <v>0</v>
      </c>
      <c r="J130" s="1045">
        <v>0</v>
      </c>
      <c r="K130" s="1045">
        <v>0</v>
      </c>
      <c r="L130" s="1045">
        <v>0</v>
      </c>
      <c r="M130" s="1029"/>
    </row>
    <row r="131" spans="1:15" ht="12" customHeight="1">
      <c r="A131" s="454" t="s">
        <v>463</v>
      </c>
      <c r="C131" s="412" t="s">
        <v>575</v>
      </c>
      <c r="D131" s="413">
        <f>SUM(D128:D130)</f>
        <v>0</v>
      </c>
      <c r="E131" s="414">
        <f t="shared" ref="E131:L131" si="8">SUM(E128:E130)</f>
        <v>0</v>
      </c>
      <c r="F131" s="415">
        <f t="shared" si="8"/>
        <v>0</v>
      </c>
      <c r="G131" s="415">
        <f t="shared" si="8"/>
        <v>0</v>
      </c>
      <c r="H131" s="415">
        <f t="shared" si="8"/>
        <v>0</v>
      </c>
      <c r="I131" s="450">
        <f t="shared" si="8"/>
        <v>0</v>
      </c>
      <c r="J131" s="450">
        <f t="shared" si="8"/>
        <v>0</v>
      </c>
      <c r="K131" s="450">
        <f t="shared" si="8"/>
        <v>0</v>
      </c>
      <c r="L131" s="450">
        <f t="shared" si="8"/>
        <v>0</v>
      </c>
      <c r="M131" s="1030"/>
    </row>
    <row r="132" spans="1:15" ht="12" customHeight="1">
      <c r="A132" s="454">
        <v>2020</v>
      </c>
      <c r="C132" s="397" t="s">
        <v>576</v>
      </c>
      <c r="D132" s="451">
        <f>'T2 MET'!C59</f>
        <v>0</v>
      </c>
      <c r="E132" s="419"/>
      <c r="F132" s="400"/>
      <c r="G132" s="420">
        <f>+D132</f>
        <v>0</v>
      </c>
      <c r="H132" s="401"/>
      <c r="I132" s="1038"/>
      <c r="J132" s="1060"/>
      <c r="K132" s="1060"/>
      <c r="L132" s="1060"/>
      <c r="M132" s="1034"/>
    </row>
    <row r="133" spans="1:15" ht="12" customHeight="1">
      <c r="A133" s="454">
        <v>2021</v>
      </c>
      <c r="C133" s="405" t="s">
        <v>577</v>
      </c>
      <c r="D133" s="452">
        <f>'T2 MET'!D59</f>
        <v>0</v>
      </c>
      <c r="E133" s="407"/>
      <c r="F133" s="421"/>
      <c r="G133" s="409"/>
      <c r="H133" s="422">
        <f>+D133</f>
        <v>0</v>
      </c>
      <c r="I133" s="1039"/>
      <c r="J133" s="1033"/>
      <c r="K133" s="1033"/>
      <c r="L133" s="1033"/>
      <c r="M133" s="1029"/>
    </row>
    <row r="134" spans="1:15" ht="12" customHeight="1">
      <c r="A134" s="454">
        <v>2022</v>
      </c>
      <c r="C134" s="405" t="s">
        <v>578</v>
      </c>
      <c r="D134" s="452">
        <f>'T2 MET'!E59</f>
        <v>0</v>
      </c>
      <c r="E134" s="407"/>
      <c r="F134" s="421"/>
      <c r="G134" s="409"/>
      <c r="H134" s="409"/>
      <c r="I134" s="1041">
        <f>+D134</f>
        <v>0</v>
      </c>
      <c r="J134" s="446"/>
      <c r="K134" s="446"/>
      <c r="L134" s="446"/>
      <c r="M134" s="1029"/>
    </row>
    <row r="135" spans="1:15" ht="12" customHeight="1">
      <c r="A135" s="454" t="s">
        <v>468</v>
      </c>
      <c r="C135" s="412" t="s">
        <v>579</v>
      </c>
      <c r="D135" s="413">
        <f>SUM(D132:D134)</f>
        <v>0</v>
      </c>
      <c r="E135" s="1062"/>
      <c r="F135" s="1063"/>
      <c r="G135" s="415">
        <f>SUM(G132:G134)</f>
        <v>0</v>
      </c>
      <c r="H135" s="415">
        <f>SUM(H132:H134)</f>
        <v>0</v>
      </c>
      <c r="I135" s="415">
        <f>SUM(I132:I134)</f>
        <v>0</v>
      </c>
      <c r="J135" s="416"/>
      <c r="K135" s="416"/>
      <c r="L135" s="416"/>
      <c r="M135" s="1030"/>
    </row>
    <row r="136" spans="1:15" ht="12" customHeight="1">
      <c r="A136" s="454">
        <v>2023</v>
      </c>
      <c r="C136" s="405" t="s">
        <v>580</v>
      </c>
      <c r="D136" s="452">
        <f>'T2 MET'!F59</f>
        <v>0</v>
      </c>
      <c r="E136" s="407"/>
      <c r="F136" s="421"/>
      <c r="G136" s="409"/>
      <c r="H136" s="409"/>
      <c r="I136" s="409"/>
      <c r="J136" s="422">
        <f>D136</f>
        <v>0</v>
      </c>
      <c r="K136" s="409"/>
      <c r="L136" s="409"/>
      <c r="M136" s="1029"/>
    </row>
    <row r="137" spans="1:15" ht="12" customHeight="1">
      <c r="A137" s="454">
        <v>2024</v>
      </c>
      <c r="C137" s="405" t="s">
        <v>581</v>
      </c>
      <c r="D137" s="452">
        <f>'T2 MET'!G59</f>
        <v>0</v>
      </c>
      <c r="E137" s="407"/>
      <c r="F137" s="421"/>
      <c r="G137" s="409"/>
      <c r="H137" s="409"/>
      <c r="I137" s="409"/>
      <c r="J137" s="409"/>
      <c r="K137" s="422">
        <f>D137</f>
        <v>0</v>
      </c>
      <c r="L137" s="409"/>
      <c r="M137" s="1029"/>
    </row>
    <row r="138" spans="1:15" ht="12" customHeight="1">
      <c r="A138" s="454">
        <v>2025</v>
      </c>
      <c r="C138" s="405" t="s">
        <v>582</v>
      </c>
      <c r="D138" s="452">
        <f>'T2 MET'!H59</f>
        <v>0</v>
      </c>
      <c r="E138" s="407"/>
      <c r="F138" s="421"/>
      <c r="G138" s="409"/>
      <c r="H138" s="409"/>
      <c r="I138" s="409"/>
      <c r="J138" s="409"/>
      <c r="K138" s="409"/>
      <c r="L138" s="422">
        <f>D138</f>
        <v>0</v>
      </c>
      <c r="M138" s="1029"/>
    </row>
    <row r="139" spans="1:15" ht="12" customHeight="1">
      <c r="A139" s="454">
        <v>2026</v>
      </c>
      <c r="C139" s="405" t="s">
        <v>583</v>
      </c>
      <c r="D139" s="452">
        <f>'T2 MET'!I59</f>
        <v>0</v>
      </c>
      <c r="E139" s="407"/>
      <c r="F139" s="421"/>
      <c r="G139" s="409"/>
      <c r="H139" s="409"/>
      <c r="I139" s="409"/>
      <c r="J139" s="409"/>
      <c r="K139" s="409"/>
      <c r="L139" s="409"/>
      <c r="M139" s="439">
        <f>D139</f>
        <v>0</v>
      </c>
    </row>
    <row r="140" spans="1:15" ht="12" customHeight="1">
      <c r="A140" s="454">
        <v>2027</v>
      </c>
      <c r="C140" s="405" t="s">
        <v>584</v>
      </c>
      <c r="D140" s="453">
        <f>'T2 MET'!J59</f>
        <v>0</v>
      </c>
      <c r="E140" s="427"/>
      <c r="F140" s="428"/>
      <c r="G140" s="428"/>
      <c r="H140" s="428"/>
      <c r="I140" s="428"/>
      <c r="J140" s="428"/>
      <c r="K140" s="428"/>
      <c r="L140" s="428"/>
      <c r="M140" s="1056">
        <f>D140</f>
        <v>0</v>
      </c>
    </row>
    <row r="141" spans="1:15" ht="12" customHeight="1">
      <c r="A141" s="454" t="s">
        <v>475</v>
      </c>
      <c r="C141" s="430" t="s">
        <v>921</v>
      </c>
      <c r="D141" s="431">
        <f>SUM(D136:D140)+D131+D135</f>
        <v>0</v>
      </c>
      <c r="E141" s="479">
        <f t="shared" ref="E141:M141" si="9">SUM(E136:E140)+E131+E135</f>
        <v>0</v>
      </c>
      <c r="F141" s="433">
        <f t="shared" si="9"/>
        <v>0</v>
      </c>
      <c r="G141" s="433">
        <f t="shared" si="9"/>
        <v>0</v>
      </c>
      <c r="H141" s="433">
        <f t="shared" si="9"/>
        <v>0</v>
      </c>
      <c r="I141" s="480">
        <f t="shared" si="9"/>
        <v>0</v>
      </c>
      <c r="J141" s="480">
        <f t="shared" si="9"/>
        <v>0</v>
      </c>
      <c r="K141" s="480">
        <f t="shared" si="9"/>
        <v>0</v>
      </c>
      <c r="L141" s="480">
        <f t="shared" si="9"/>
        <v>0</v>
      </c>
      <c r="M141" s="1055">
        <f t="shared" si="9"/>
        <v>0</v>
      </c>
    </row>
    <row r="142" spans="1:15" ht="4.95" customHeight="1">
      <c r="A142" s="748"/>
      <c r="C142" s="481"/>
      <c r="D142" s="481"/>
      <c r="E142" s="446"/>
      <c r="F142" s="446"/>
      <c r="G142" s="446"/>
      <c r="H142" s="446"/>
      <c r="I142" s="446"/>
      <c r="J142" s="446"/>
      <c r="K142" s="446"/>
      <c r="L142" s="446"/>
      <c r="M142" s="446"/>
    </row>
    <row r="143" spans="1:15" ht="12" customHeight="1">
      <c r="A143" s="454">
        <v>2017</v>
      </c>
      <c r="C143" s="397" t="s">
        <v>586</v>
      </c>
      <c r="D143" s="501">
        <v>0</v>
      </c>
      <c r="E143" s="485">
        <v>0</v>
      </c>
      <c r="F143" s="486">
        <v>0</v>
      </c>
      <c r="G143" s="486">
        <v>0</v>
      </c>
      <c r="H143" s="486">
        <v>0</v>
      </c>
      <c r="I143" s="1044">
        <v>0</v>
      </c>
      <c r="J143" s="1044"/>
      <c r="K143" s="1044"/>
      <c r="L143" s="1044"/>
      <c r="M143" s="436">
        <f t="shared" ref="M143:M155" si="10">D143-SUM(E143:I143)</f>
        <v>0</v>
      </c>
      <c r="O143" s="1367"/>
    </row>
    <row r="144" spans="1:15" ht="14.25" customHeight="1">
      <c r="A144" s="454">
        <v>2018</v>
      </c>
      <c r="C144" s="405" t="s">
        <v>587</v>
      </c>
      <c r="D144" s="898">
        <v>-3366</v>
      </c>
      <c r="E144" s="489">
        <f>D144</f>
        <v>-3366</v>
      </c>
      <c r="F144" s="490">
        <v>0</v>
      </c>
      <c r="G144" s="490">
        <v>0</v>
      </c>
      <c r="H144" s="490">
        <v>0</v>
      </c>
      <c r="I144" s="1045">
        <v>0</v>
      </c>
      <c r="J144" s="1045"/>
      <c r="K144" s="1045"/>
      <c r="L144" s="1045"/>
      <c r="M144" s="439">
        <f t="shared" si="10"/>
        <v>0</v>
      </c>
      <c r="O144" s="1362" t="s">
        <v>712</v>
      </c>
    </row>
    <row r="145" spans="1:15" ht="12" customHeight="1">
      <c r="A145" s="454">
        <v>2019</v>
      </c>
      <c r="C145" s="405" t="s">
        <v>588</v>
      </c>
      <c r="D145" s="502">
        <v>-3558.1829458164898</v>
      </c>
      <c r="E145" s="503"/>
      <c r="F145" s="490">
        <f>D145</f>
        <v>-3558.1829458164898</v>
      </c>
      <c r="G145" s="490">
        <v>0</v>
      </c>
      <c r="H145" s="490">
        <v>0</v>
      </c>
      <c r="I145" s="1045">
        <v>0</v>
      </c>
      <c r="J145" s="1045"/>
      <c r="K145" s="1045"/>
      <c r="L145" s="1045"/>
      <c r="M145" s="439">
        <f t="shared" si="10"/>
        <v>0</v>
      </c>
      <c r="O145" s="1362" t="s">
        <v>713</v>
      </c>
    </row>
    <row r="146" spans="1:15" ht="12" customHeight="1">
      <c r="A146" s="454" t="s">
        <v>463</v>
      </c>
      <c r="C146" s="412" t="s">
        <v>589</v>
      </c>
      <c r="D146" s="413">
        <f t="shared" ref="D146:I146" si="11">SUM(D143:D145)</f>
        <v>-6924.1829458164902</v>
      </c>
      <c r="E146" s="414">
        <f t="shared" si="11"/>
        <v>-3366</v>
      </c>
      <c r="F146" s="415">
        <f t="shared" si="11"/>
        <v>-3558.1829458164898</v>
      </c>
      <c r="G146" s="415">
        <f t="shared" si="11"/>
        <v>0</v>
      </c>
      <c r="H146" s="415">
        <f t="shared" si="11"/>
        <v>0</v>
      </c>
      <c r="I146" s="450">
        <f t="shared" si="11"/>
        <v>0</v>
      </c>
      <c r="J146" s="450"/>
      <c r="K146" s="450"/>
      <c r="L146" s="450"/>
      <c r="M146" s="1031">
        <f>SUM(M143:M145)</f>
        <v>0</v>
      </c>
      <c r="O146" s="1367"/>
    </row>
    <row r="147" spans="1:15" ht="12" customHeight="1">
      <c r="A147" s="454">
        <v>2020</v>
      </c>
      <c r="C147" s="397" t="s">
        <v>590</v>
      </c>
      <c r="D147" s="398">
        <f>(E21+E36+E107+E126+E141+E166)*-'T2 MET'!C40</f>
        <v>-2373.0253109101909</v>
      </c>
      <c r="E147" s="505"/>
      <c r="F147" s="506"/>
      <c r="G147" s="486">
        <f>D147</f>
        <v>-2373.0253109101909</v>
      </c>
      <c r="H147" s="506"/>
      <c r="I147" s="506"/>
      <c r="J147" s="506"/>
      <c r="K147" s="506"/>
      <c r="L147" s="506"/>
      <c r="M147" s="436">
        <f>D147-SUM(E147:L147)</f>
        <v>0</v>
      </c>
    </row>
    <row r="148" spans="1:15" ht="12" customHeight="1">
      <c r="A148" s="454">
        <v>2021</v>
      </c>
      <c r="C148" s="405" t="s">
        <v>591</v>
      </c>
      <c r="D148" s="406">
        <f>(F21+F36+F107+F126+F141+F166)*-'T2 MET'!D40</f>
        <v>-2407.5829623894406</v>
      </c>
      <c r="E148" s="507"/>
      <c r="F148" s="508"/>
      <c r="G148" s="508"/>
      <c r="H148" s="490">
        <f>+D148</f>
        <v>-2407.5829623894406</v>
      </c>
      <c r="I148" s="508"/>
      <c r="J148" s="508"/>
      <c r="K148" s="508"/>
      <c r="L148" s="508"/>
      <c r="M148" s="439">
        <f>D148-SUM(E148:L148)</f>
        <v>0</v>
      </c>
    </row>
    <row r="149" spans="1:15" ht="12" customHeight="1">
      <c r="A149" s="454">
        <v>2022</v>
      </c>
      <c r="C149" s="405" t="s">
        <v>592</v>
      </c>
      <c r="D149" s="406">
        <f>(G21+G36+G156+G107+G126+G141)*-'T2 MET'!E40</f>
        <v>-493.53290668528098</v>
      </c>
      <c r="E149" s="507"/>
      <c r="F149" s="508"/>
      <c r="G149" s="508"/>
      <c r="H149" s="508"/>
      <c r="I149" s="490">
        <f>D149</f>
        <v>-493.53290668528098</v>
      </c>
      <c r="J149" s="508"/>
      <c r="K149" s="508"/>
      <c r="L149" s="508"/>
      <c r="M149" s="439">
        <f>D149-SUM(E149:L149)</f>
        <v>0</v>
      </c>
    </row>
    <row r="150" spans="1:15" ht="12" customHeight="1">
      <c r="A150" s="454" t="s">
        <v>468</v>
      </c>
      <c r="C150" s="412" t="s">
        <v>593</v>
      </c>
      <c r="D150" s="413">
        <f>SUM(D147:D149)</f>
        <v>-5274.141179984912</v>
      </c>
      <c r="E150" s="1062"/>
      <c r="F150" s="1063"/>
      <c r="G150" s="415">
        <f>SUM(G147:G149)</f>
        <v>-2373.0253109101909</v>
      </c>
      <c r="H150" s="415">
        <f>SUM(H147:H149)</f>
        <v>-2407.5829623894406</v>
      </c>
      <c r="I150" s="415">
        <f>SUM(I147:I149)</f>
        <v>-493.53290668528098</v>
      </c>
      <c r="J150" s="416"/>
      <c r="K150" s="416"/>
      <c r="L150" s="416"/>
      <c r="M150" s="1030"/>
    </row>
    <row r="151" spans="1:15" ht="12" customHeight="1">
      <c r="A151" s="454">
        <v>2023</v>
      </c>
      <c r="C151" s="405" t="s">
        <v>594</v>
      </c>
      <c r="D151" s="406">
        <f>(H21+H36+H111+H126+H141+H166)*-'T2 MET'!F40</f>
        <v>0</v>
      </c>
      <c r="E151" s="507"/>
      <c r="F151" s="508"/>
      <c r="G151" s="508"/>
      <c r="H151" s="508"/>
      <c r="I151" s="508"/>
      <c r="J151" s="422">
        <f>D151</f>
        <v>0</v>
      </c>
      <c r="K151" s="409"/>
      <c r="L151" s="409"/>
      <c r="M151" s="1029"/>
    </row>
    <row r="152" spans="1:15" ht="12" customHeight="1">
      <c r="A152" s="454">
        <v>2024</v>
      </c>
      <c r="C152" s="405" t="s">
        <v>595</v>
      </c>
      <c r="D152" s="406">
        <f>(I21+I36+I111+I126+I141+I166)*-'T2 MET'!G40</f>
        <v>0</v>
      </c>
      <c r="E152" s="507"/>
      <c r="F152" s="508"/>
      <c r="G152" s="508"/>
      <c r="H152" s="508"/>
      <c r="I152" s="508"/>
      <c r="J152" s="409"/>
      <c r="K152" s="422">
        <f>D152</f>
        <v>0</v>
      </c>
      <c r="L152" s="409"/>
      <c r="M152" s="1029"/>
    </row>
    <row r="153" spans="1:15" ht="12" customHeight="1">
      <c r="A153" s="454">
        <v>2025</v>
      </c>
      <c r="C153" s="405" t="s">
        <v>596</v>
      </c>
      <c r="D153" s="406">
        <f>(J21+J36+J111+J126+J141+J166)*-'T2 MET'!H40</f>
        <v>0</v>
      </c>
      <c r="E153" s="507"/>
      <c r="F153" s="508"/>
      <c r="G153" s="508"/>
      <c r="H153" s="508"/>
      <c r="I153" s="508"/>
      <c r="J153" s="409"/>
      <c r="K153" s="409"/>
      <c r="L153" s="422">
        <f>D153</f>
        <v>0</v>
      </c>
      <c r="M153" s="1029"/>
    </row>
    <row r="154" spans="1:15" ht="12" customHeight="1">
      <c r="A154" s="454">
        <v>2026</v>
      </c>
      <c r="C154" s="405" t="s">
        <v>597</v>
      </c>
      <c r="D154" s="406">
        <f>(K21+K36+K111+K126+K141+K166)*-'T2 MET'!I40</f>
        <v>0</v>
      </c>
      <c r="E154" s="507"/>
      <c r="F154" s="508"/>
      <c r="G154" s="508"/>
      <c r="H154" s="508"/>
      <c r="I154" s="508"/>
      <c r="J154" s="508"/>
      <c r="K154" s="508"/>
      <c r="L154" s="508"/>
      <c r="M154" s="439">
        <f t="shared" si="10"/>
        <v>0</v>
      </c>
    </row>
    <row r="155" spans="1:15" ht="12" customHeight="1">
      <c r="A155" s="454">
        <v>2027</v>
      </c>
      <c r="C155" s="405" t="s">
        <v>598</v>
      </c>
      <c r="D155" s="406">
        <f>(J21+J36+J111+J126+J141+J166)*-'T2 MET'!L40</f>
        <v>0</v>
      </c>
      <c r="E155" s="507"/>
      <c r="F155" s="508"/>
      <c r="G155" s="508"/>
      <c r="H155" s="508"/>
      <c r="I155" s="508"/>
      <c r="J155" s="508"/>
      <c r="K155" s="508"/>
      <c r="L155" s="508"/>
      <c r="M155" s="439">
        <f t="shared" si="10"/>
        <v>0</v>
      </c>
    </row>
    <row r="156" spans="1:15" ht="12" customHeight="1">
      <c r="A156" s="454" t="s">
        <v>463</v>
      </c>
      <c r="C156" s="412" t="s">
        <v>599</v>
      </c>
      <c r="D156" s="413">
        <f>SUM(D151:D155)+D146+D150</f>
        <v>-12198.324125801402</v>
      </c>
      <c r="E156" s="414">
        <f t="shared" ref="E156:M156" si="12">SUM(E151:E155)+E146+E150</f>
        <v>-3366</v>
      </c>
      <c r="F156" s="415">
        <f t="shared" si="12"/>
        <v>-3558.1829458164898</v>
      </c>
      <c r="G156" s="415">
        <f t="shared" si="12"/>
        <v>-2373.0253109101909</v>
      </c>
      <c r="H156" s="415">
        <f t="shared" si="12"/>
        <v>-2407.5829623894406</v>
      </c>
      <c r="I156" s="450">
        <f t="shared" si="12"/>
        <v>-493.53290668528098</v>
      </c>
      <c r="J156" s="450">
        <f t="shared" si="12"/>
        <v>0</v>
      </c>
      <c r="K156" s="450">
        <f t="shared" si="12"/>
        <v>0</v>
      </c>
      <c r="L156" s="450">
        <f t="shared" si="12"/>
        <v>0</v>
      </c>
      <c r="M156" s="1031">
        <f t="shared" si="12"/>
        <v>0</v>
      </c>
    </row>
    <row r="157" spans="1:15" ht="12" customHeight="1">
      <c r="A157" s="454">
        <v>2020</v>
      </c>
      <c r="C157" s="397" t="s">
        <v>600</v>
      </c>
      <c r="D157" s="451">
        <f>'T2 MET'!C46</f>
        <v>18464.92709133905</v>
      </c>
      <c r="E157" s="419"/>
      <c r="F157" s="400"/>
      <c r="G157" s="1010">
        <f>D157</f>
        <v>18464.92709133905</v>
      </c>
      <c r="H157" s="401"/>
      <c r="I157" s="1038"/>
      <c r="J157" s="1060"/>
      <c r="K157" s="1060"/>
      <c r="L157" s="1060"/>
      <c r="M157" s="1034"/>
    </row>
    <row r="158" spans="1:15" ht="12" customHeight="1">
      <c r="A158" s="454">
        <v>2021</v>
      </c>
      <c r="C158" s="405" t="s">
        <v>601</v>
      </c>
      <c r="D158" s="452">
        <f>'T2 MET'!D46</f>
        <v>17237.891830478791</v>
      </c>
      <c r="E158" s="407"/>
      <c r="F158" s="421"/>
      <c r="G158" s="421"/>
      <c r="H158" s="408">
        <f>D158</f>
        <v>17237.891830478791</v>
      </c>
      <c r="I158" s="1042"/>
      <c r="J158" s="1060"/>
      <c r="K158" s="1060"/>
      <c r="L158" s="1060"/>
      <c r="M158" s="1029"/>
    </row>
    <row r="159" spans="1:15" ht="12" customHeight="1">
      <c r="A159" s="454">
        <v>2022</v>
      </c>
      <c r="C159" s="405" t="s">
        <v>602</v>
      </c>
      <c r="D159" s="452">
        <f>'T2 MET'!E46</f>
        <v>9062.462397290401</v>
      </c>
      <c r="E159" s="407"/>
      <c r="F159" s="421"/>
      <c r="G159" s="421"/>
      <c r="H159" s="421"/>
      <c r="I159" s="1048">
        <f>D159</f>
        <v>9062.462397290401</v>
      </c>
      <c r="J159" s="1033"/>
      <c r="K159" s="1033"/>
      <c r="L159" s="1033"/>
      <c r="M159" s="1029"/>
    </row>
    <row r="160" spans="1:15" ht="12" customHeight="1">
      <c r="A160" s="454" t="s">
        <v>468</v>
      </c>
      <c r="C160" s="412" t="s">
        <v>603</v>
      </c>
      <c r="D160" s="413">
        <f>SUM(D157:D159)</f>
        <v>44765.281319108246</v>
      </c>
      <c r="E160" s="1062"/>
      <c r="F160" s="1063"/>
      <c r="G160" s="415">
        <f>SUM(G157:G159)</f>
        <v>18464.92709133905</v>
      </c>
      <c r="H160" s="415">
        <f>SUM(H157:H159)</f>
        <v>17237.891830478791</v>
      </c>
      <c r="I160" s="415">
        <f>SUM(I157:I159)</f>
        <v>9062.462397290401</v>
      </c>
      <c r="J160" s="416"/>
      <c r="K160" s="416"/>
      <c r="L160" s="416"/>
      <c r="M160" s="1030"/>
    </row>
    <row r="161" spans="1:15" ht="12" customHeight="1">
      <c r="A161" s="454">
        <v>2023</v>
      </c>
      <c r="C161" s="405" t="s">
        <v>604</v>
      </c>
      <c r="D161" s="452">
        <f>'T2 MET'!F46</f>
        <v>0</v>
      </c>
      <c r="E161" s="407"/>
      <c r="F161" s="421"/>
      <c r="G161" s="421"/>
      <c r="H161" s="421"/>
      <c r="I161" s="421"/>
      <c r="J161" s="422">
        <f>D161</f>
        <v>0</v>
      </c>
      <c r="K161" s="421"/>
      <c r="L161" s="421"/>
      <c r="M161" s="1029"/>
    </row>
    <row r="162" spans="1:15" ht="12" customHeight="1">
      <c r="A162" s="454">
        <v>2024</v>
      </c>
      <c r="C162" s="405" t="s">
        <v>605</v>
      </c>
      <c r="D162" s="452">
        <f>'T2 MET'!G46</f>
        <v>0</v>
      </c>
      <c r="E162" s="407"/>
      <c r="F162" s="421"/>
      <c r="G162" s="421"/>
      <c r="H162" s="421"/>
      <c r="I162" s="421"/>
      <c r="J162" s="421"/>
      <c r="K162" s="422">
        <f>D162</f>
        <v>0</v>
      </c>
      <c r="L162" s="421"/>
      <c r="M162" s="1029"/>
    </row>
    <row r="163" spans="1:15" ht="12" customHeight="1">
      <c r="A163" s="454">
        <v>2025</v>
      </c>
      <c r="C163" s="405" t="s">
        <v>606</v>
      </c>
      <c r="D163" s="452">
        <f>'T2 MET'!H46</f>
        <v>0</v>
      </c>
      <c r="E163" s="407"/>
      <c r="F163" s="421"/>
      <c r="G163" s="421"/>
      <c r="H163" s="421"/>
      <c r="I163" s="421"/>
      <c r="J163" s="421"/>
      <c r="K163" s="421"/>
      <c r="L163" s="422">
        <f>D163</f>
        <v>0</v>
      </c>
      <c r="M163" s="1029"/>
    </row>
    <row r="164" spans="1:15" ht="12" customHeight="1">
      <c r="A164" s="454">
        <v>2026</v>
      </c>
      <c r="C164" s="405" t="s">
        <v>607</v>
      </c>
      <c r="D164" s="452">
        <f>'T2 MET'!I46</f>
        <v>0</v>
      </c>
      <c r="E164" s="407"/>
      <c r="F164" s="421"/>
      <c r="G164" s="421"/>
      <c r="H164" s="421"/>
      <c r="I164" s="421"/>
      <c r="J164" s="421"/>
      <c r="K164" s="421"/>
      <c r="L164" s="421"/>
      <c r="M164" s="439">
        <f>D164</f>
        <v>0</v>
      </c>
    </row>
    <row r="165" spans="1:15" ht="12" customHeight="1">
      <c r="A165" s="454">
        <v>2027</v>
      </c>
      <c r="C165" s="405" t="s">
        <v>608</v>
      </c>
      <c r="D165" s="453">
        <f>'T2 MET'!J46</f>
        <v>0</v>
      </c>
      <c r="E165" s="427"/>
      <c r="F165" s="428"/>
      <c r="G165" s="428"/>
      <c r="H165" s="428"/>
      <c r="I165" s="428"/>
      <c r="J165" s="428"/>
      <c r="K165" s="428"/>
      <c r="L165" s="428"/>
      <c r="M165" s="1056">
        <f>D165</f>
        <v>0</v>
      </c>
    </row>
    <row r="166" spans="1:15" ht="12" customHeight="1">
      <c r="A166" s="454" t="s">
        <v>475</v>
      </c>
      <c r="C166" s="430" t="s">
        <v>922</v>
      </c>
      <c r="D166" s="431">
        <f>SUM(D161:D165)+D156+D160</f>
        <v>32566.957193306844</v>
      </c>
      <c r="E166" s="479">
        <f t="shared" ref="E166:M166" si="13">SUM(E161:E165)+E156+E160</f>
        <v>-3366</v>
      </c>
      <c r="F166" s="433">
        <f t="shared" si="13"/>
        <v>-3558.1829458164898</v>
      </c>
      <c r="G166" s="433">
        <f t="shared" si="13"/>
        <v>16091.90178042886</v>
      </c>
      <c r="H166" s="433">
        <f>SUM(H161:H165)+H156+H160</f>
        <v>14830.308868089351</v>
      </c>
      <c r="I166" s="433">
        <f>SUM(I161:I165)+I156+I160</f>
        <v>8568.92949060512</v>
      </c>
      <c r="J166" s="433">
        <f t="shared" si="13"/>
        <v>0</v>
      </c>
      <c r="K166" s="433">
        <f t="shared" si="13"/>
        <v>0</v>
      </c>
      <c r="L166" s="433">
        <f t="shared" si="13"/>
        <v>0</v>
      </c>
      <c r="M166" s="1055">
        <f t="shared" si="13"/>
        <v>0</v>
      </c>
    </row>
    <row r="167" spans="1:15" ht="4.2" customHeight="1">
      <c r="A167" s="748"/>
    </row>
    <row r="168" spans="1:15" ht="12" customHeight="1">
      <c r="A168" s="454">
        <v>2017</v>
      </c>
      <c r="C168" s="397" t="s">
        <v>610</v>
      </c>
      <c r="D168" s="474">
        <v>0</v>
      </c>
      <c r="E168" s="485">
        <v>0</v>
      </c>
      <c r="F168" s="486">
        <v>0</v>
      </c>
      <c r="G168" s="486">
        <v>0</v>
      </c>
      <c r="H168" s="486">
        <v>0</v>
      </c>
      <c r="I168" s="486">
        <v>0</v>
      </c>
      <c r="J168" s="486"/>
      <c r="K168" s="486"/>
      <c r="L168" s="486"/>
      <c r="M168" s="436">
        <f t="shared" ref="M168:M169" si="14">D168-SUM(E168:I168)</f>
        <v>0</v>
      </c>
    </row>
    <row r="169" spans="1:15" ht="12" customHeight="1">
      <c r="A169" s="454">
        <v>2018</v>
      </c>
      <c r="C169" s="405" t="s">
        <v>611</v>
      </c>
      <c r="D169" s="476">
        <v>0</v>
      </c>
      <c r="E169" s="489">
        <f>+D169</f>
        <v>0</v>
      </c>
      <c r="F169" s="490">
        <v>0</v>
      </c>
      <c r="G169" s="490">
        <v>0</v>
      </c>
      <c r="H169" s="490">
        <v>0</v>
      </c>
      <c r="I169" s="490">
        <v>0</v>
      </c>
      <c r="J169" s="490"/>
      <c r="K169" s="490"/>
      <c r="L169" s="490"/>
      <c r="M169" s="439">
        <f t="shared" si="14"/>
        <v>0</v>
      </c>
    </row>
    <row r="170" spans="1:15" ht="12" customHeight="1">
      <c r="A170" s="454">
        <v>2019</v>
      </c>
      <c r="C170" s="405" t="s">
        <v>612</v>
      </c>
      <c r="D170" s="476"/>
      <c r="E170" s="489">
        <v>0</v>
      </c>
      <c r="F170" s="490">
        <v>0</v>
      </c>
      <c r="G170" s="490">
        <v>0</v>
      </c>
      <c r="H170" s="490">
        <v>0</v>
      </c>
      <c r="I170" s="490">
        <v>0</v>
      </c>
      <c r="J170" s="490"/>
      <c r="K170" s="490"/>
      <c r="L170" s="490"/>
      <c r="M170" s="439">
        <v>0</v>
      </c>
    </row>
    <row r="171" spans="1:15" ht="12" customHeight="1">
      <c r="A171" s="454" t="s">
        <v>463</v>
      </c>
      <c r="C171" s="412" t="s">
        <v>613</v>
      </c>
      <c r="D171" s="413">
        <f>SUM(D168:D170)</f>
        <v>0</v>
      </c>
      <c r="E171" s="414">
        <f t="shared" ref="E171:M171" si="15">SUM(E168:E170)</f>
        <v>0</v>
      </c>
      <c r="F171" s="415">
        <f t="shared" si="15"/>
        <v>0</v>
      </c>
      <c r="G171" s="415">
        <f t="shared" si="15"/>
        <v>0</v>
      </c>
      <c r="H171" s="415">
        <f t="shared" si="15"/>
        <v>0</v>
      </c>
      <c r="I171" s="415">
        <f t="shared" si="15"/>
        <v>0</v>
      </c>
      <c r="J171" s="415"/>
      <c r="K171" s="415"/>
      <c r="L171" s="415"/>
      <c r="M171" s="1031">
        <f t="shared" si="15"/>
        <v>0</v>
      </c>
    </row>
    <row r="172" spans="1:15" s="539" customFormat="1" ht="12" customHeight="1">
      <c r="A172" s="962">
        <v>2020</v>
      </c>
      <c r="B172" s="385"/>
      <c r="C172" s="435" t="s">
        <v>614</v>
      </c>
      <c r="D172" s="451">
        <f>'T2 MET'!C69</f>
        <v>0</v>
      </c>
      <c r="E172" s="485">
        <f>D172</f>
        <v>0</v>
      </c>
      <c r="F172" s="506"/>
      <c r="G172" s="506"/>
      <c r="H172" s="506"/>
      <c r="I172" s="1064"/>
      <c r="J172" s="506"/>
      <c r="K172" s="506"/>
      <c r="L172" s="506"/>
      <c r="M172" s="436">
        <f>D172-SUM(E172:L172)</f>
        <v>0</v>
      </c>
      <c r="O172" s="1367"/>
    </row>
    <row r="173" spans="1:15" ht="12" customHeight="1">
      <c r="A173" s="454">
        <v>2021</v>
      </c>
      <c r="C173" s="405" t="s">
        <v>615</v>
      </c>
      <c r="D173" s="452">
        <f>'T2 MET'!G65</f>
        <v>0</v>
      </c>
      <c r="E173" s="507"/>
      <c r="F173" s="490">
        <f>D173</f>
        <v>0</v>
      </c>
      <c r="G173" s="508"/>
      <c r="H173" s="508"/>
      <c r="I173" s="1047"/>
      <c r="J173" s="508"/>
      <c r="K173" s="508"/>
      <c r="L173" s="508"/>
      <c r="M173" s="439">
        <f t="shared" ref="M173:M174" si="16">D173-SUM(E173:L173)</f>
        <v>0</v>
      </c>
      <c r="N173" s="539"/>
      <c r="O173" s="1368"/>
    </row>
    <row r="174" spans="1:15" ht="12" customHeight="1">
      <c r="A174" s="454">
        <v>2022</v>
      </c>
      <c r="C174" s="405" t="s">
        <v>616</v>
      </c>
      <c r="D174" s="452">
        <f>'T2 MET'!E69</f>
        <v>0</v>
      </c>
      <c r="E174" s="507"/>
      <c r="F174" s="508"/>
      <c r="G174" s="511">
        <f>D174</f>
        <v>0</v>
      </c>
      <c r="H174" s="1072"/>
      <c r="I174" s="1066"/>
      <c r="J174" s="508"/>
      <c r="K174" s="508"/>
      <c r="L174" s="508"/>
      <c r="M174" s="439">
        <f t="shared" si="16"/>
        <v>0</v>
      </c>
      <c r="N174" s="539"/>
    </row>
    <row r="175" spans="1:15" ht="12" customHeight="1">
      <c r="A175" s="454" t="s">
        <v>468</v>
      </c>
      <c r="C175" s="412" t="s">
        <v>617</v>
      </c>
      <c r="D175" s="413">
        <f t="shared" ref="D175:I175" si="17">SUM(D172:D174)</f>
        <v>0</v>
      </c>
      <c r="E175" s="413">
        <f t="shared" si="17"/>
        <v>0</v>
      </c>
      <c r="F175" s="413">
        <f t="shared" si="17"/>
        <v>0</v>
      </c>
      <c r="G175" s="415">
        <f t="shared" si="17"/>
        <v>0</v>
      </c>
      <c r="H175" s="415">
        <f t="shared" si="17"/>
        <v>0</v>
      </c>
      <c r="I175" s="415">
        <f t="shared" si="17"/>
        <v>0</v>
      </c>
      <c r="J175" s="416"/>
      <c r="K175" s="416"/>
      <c r="L175" s="416"/>
      <c r="M175" s="1030"/>
      <c r="N175" s="539"/>
    </row>
    <row r="176" spans="1:15" ht="12" customHeight="1">
      <c r="A176" s="454">
        <v>2023</v>
      </c>
      <c r="C176" s="405" t="s">
        <v>618</v>
      </c>
      <c r="D176" s="452">
        <f>'T2 MET'!F69</f>
        <v>0</v>
      </c>
      <c r="E176" s="507"/>
      <c r="F176" s="508"/>
      <c r="G176" s="508"/>
      <c r="H176" s="490">
        <f>D176</f>
        <v>0</v>
      </c>
      <c r="I176" s="1047"/>
      <c r="J176" s="508"/>
      <c r="K176" s="508"/>
      <c r="L176" s="508"/>
      <c r="M176" s="439">
        <f t="shared" ref="M176:M180" si="18">D176-SUM(E176:L176)</f>
        <v>0</v>
      </c>
      <c r="N176" s="539"/>
    </row>
    <row r="177" spans="1:14" ht="12" customHeight="1">
      <c r="A177" s="454">
        <v>2024</v>
      </c>
      <c r="C177" s="405" t="s">
        <v>619</v>
      </c>
      <c r="D177" s="452">
        <f>'T2 MET'!G69</f>
        <v>0</v>
      </c>
      <c r="E177" s="507"/>
      <c r="F177" s="508"/>
      <c r="G177" s="508"/>
      <c r="H177" s="508"/>
      <c r="I177" s="1045">
        <f>D177</f>
        <v>0</v>
      </c>
      <c r="J177" s="508"/>
      <c r="K177" s="508"/>
      <c r="L177" s="508"/>
      <c r="M177" s="439">
        <f t="shared" si="18"/>
        <v>0</v>
      </c>
      <c r="N177" s="539"/>
    </row>
    <row r="178" spans="1:14" ht="12" customHeight="1">
      <c r="A178" s="454">
        <v>2025</v>
      </c>
      <c r="C178" s="405" t="s">
        <v>620</v>
      </c>
      <c r="D178" s="452">
        <f>'T2 MET'!H69</f>
        <v>0</v>
      </c>
      <c r="E178" s="507"/>
      <c r="F178" s="508"/>
      <c r="G178" s="508"/>
      <c r="H178" s="508"/>
      <c r="I178" s="1047"/>
      <c r="J178" s="490">
        <f>D178</f>
        <v>0</v>
      </c>
      <c r="K178" s="508"/>
      <c r="L178" s="508"/>
      <c r="M178" s="439">
        <f t="shared" si="18"/>
        <v>0</v>
      </c>
      <c r="N178" s="539"/>
    </row>
    <row r="179" spans="1:14" ht="12" customHeight="1">
      <c r="A179" s="454">
        <v>2026</v>
      </c>
      <c r="C179" s="405" t="s">
        <v>621</v>
      </c>
      <c r="D179" s="452">
        <f>'T2 MET'!I69</f>
        <v>0</v>
      </c>
      <c r="E179" s="507"/>
      <c r="F179" s="508"/>
      <c r="G179" s="508"/>
      <c r="H179" s="508"/>
      <c r="I179" s="1047"/>
      <c r="J179" s="508"/>
      <c r="K179" s="490">
        <f>D179</f>
        <v>0</v>
      </c>
      <c r="L179" s="508"/>
      <c r="M179" s="439">
        <f t="shared" si="18"/>
        <v>0</v>
      </c>
      <c r="N179" s="539"/>
    </row>
    <row r="180" spans="1:14" ht="12" customHeight="1">
      <c r="A180" s="454">
        <v>2027</v>
      </c>
      <c r="C180" s="405" t="s">
        <v>622</v>
      </c>
      <c r="D180" s="452">
        <f>'T2 MET'!J69</f>
        <v>0</v>
      </c>
      <c r="E180" s="512"/>
      <c r="F180" s="513"/>
      <c r="G180" s="513"/>
      <c r="H180" s="513"/>
      <c r="I180" s="1073"/>
      <c r="J180" s="508"/>
      <c r="K180" s="508"/>
      <c r="L180" s="490">
        <f>D180</f>
        <v>0</v>
      </c>
      <c r="M180" s="1056">
        <f t="shared" si="18"/>
        <v>0</v>
      </c>
      <c r="N180" s="539"/>
    </row>
    <row r="181" spans="1:14" ht="12" customHeight="1">
      <c r="A181" s="454" t="s">
        <v>475</v>
      </c>
      <c r="C181" s="430" t="s">
        <v>923</v>
      </c>
      <c r="D181" s="431">
        <f>SUM(D176:D180)+D171+D175</f>
        <v>0</v>
      </c>
      <c r="E181" s="479">
        <f t="shared" ref="E181:M181" si="19">SUM(E176:E180)+E171+E175</f>
        <v>0</v>
      </c>
      <c r="F181" s="433">
        <f t="shared" si="19"/>
        <v>0</v>
      </c>
      <c r="G181" s="433">
        <f t="shared" si="19"/>
        <v>0</v>
      </c>
      <c r="H181" s="433">
        <f t="shared" si="19"/>
        <v>0</v>
      </c>
      <c r="I181" s="433">
        <f t="shared" si="19"/>
        <v>0</v>
      </c>
      <c r="J181" s="433">
        <f t="shared" si="19"/>
        <v>0</v>
      </c>
      <c r="K181" s="433">
        <f t="shared" si="19"/>
        <v>0</v>
      </c>
      <c r="L181" s="433">
        <f t="shared" si="19"/>
        <v>0</v>
      </c>
      <c r="M181" s="1055">
        <f t="shared" si="19"/>
        <v>0</v>
      </c>
      <c r="N181" s="539"/>
    </row>
    <row r="182" spans="1:14" ht="4.2" customHeight="1">
      <c r="A182" s="748"/>
    </row>
    <row r="183" spans="1:14" ht="12" customHeight="1">
      <c r="A183" s="454">
        <v>2017</v>
      </c>
      <c r="C183" s="397" t="s">
        <v>624</v>
      </c>
      <c r="D183" s="474">
        <v>0</v>
      </c>
      <c r="E183" s="485">
        <v>0</v>
      </c>
      <c r="F183" s="486">
        <v>0</v>
      </c>
      <c r="G183" s="486">
        <v>0</v>
      </c>
      <c r="H183" s="486">
        <v>0</v>
      </c>
      <c r="I183" s="1044">
        <v>0</v>
      </c>
      <c r="J183" s="1044">
        <v>0</v>
      </c>
      <c r="K183" s="1044">
        <v>0</v>
      </c>
      <c r="L183" s="1044">
        <v>0</v>
      </c>
      <c r="M183" s="436">
        <f>D183-SUM(E183:L183)</f>
        <v>0</v>
      </c>
    </row>
    <row r="184" spans="1:14" ht="12" customHeight="1">
      <c r="A184" s="454">
        <v>2018</v>
      </c>
      <c r="C184" s="405" t="s">
        <v>625</v>
      </c>
      <c r="D184" s="476">
        <v>0</v>
      </c>
      <c r="E184" s="489">
        <v>0</v>
      </c>
      <c r="F184" s="490">
        <v>0</v>
      </c>
      <c r="G184" s="490">
        <v>0</v>
      </c>
      <c r="H184" s="490">
        <v>0</v>
      </c>
      <c r="I184" s="1045">
        <v>0</v>
      </c>
      <c r="J184" s="1045">
        <v>0</v>
      </c>
      <c r="K184" s="1045">
        <v>0</v>
      </c>
      <c r="L184" s="1045">
        <v>0</v>
      </c>
      <c r="M184" s="439">
        <f t="shared" ref="M184:M185" si="20">D184-SUM(E184:L184)</f>
        <v>0</v>
      </c>
    </row>
    <row r="185" spans="1:14" ht="12" customHeight="1">
      <c r="A185" s="454">
        <v>2019</v>
      </c>
      <c r="C185" s="405" t="s">
        <v>626</v>
      </c>
      <c r="D185" s="476"/>
      <c r="E185" s="489">
        <v>0</v>
      </c>
      <c r="F185" s="490">
        <v>0</v>
      </c>
      <c r="G185" s="490">
        <v>0</v>
      </c>
      <c r="H185" s="490">
        <v>0</v>
      </c>
      <c r="I185" s="1045">
        <v>0</v>
      </c>
      <c r="J185" s="1045">
        <v>0</v>
      </c>
      <c r="K185" s="1045">
        <v>0</v>
      </c>
      <c r="L185" s="1045">
        <v>0</v>
      </c>
      <c r="M185" s="439">
        <f t="shared" si="20"/>
        <v>0</v>
      </c>
    </row>
    <row r="186" spans="1:14" ht="12" customHeight="1">
      <c r="A186" s="454" t="s">
        <v>463</v>
      </c>
      <c r="C186" s="412" t="s">
        <v>627</v>
      </c>
      <c r="D186" s="413">
        <f>SUM(D183:D185)</f>
        <v>0</v>
      </c>
      <c r="E186" s="414">
        <f t="shared" ref="E186:M186" si="21">SUM(E183:E185)</f>
        <v>0</v>
      </c>
      <c r="F186" s="415">
        <f t="shared" si="21"/>
        <v>0</v>
      </c>
      <c r="G186" s="415">
        <f t="shared" si="21"/>
        <v>0</v>
      </c>
      <c r="H186" s="415">
        <f t="shared" si="21"/>
        <v>0</v>
      </c>
      <c r="I186" s="415">
        <f t="shared" si="21"/>
        <v>0</v>
      </c>
      <c r="J186" s="415">
        <f t="shared" si="21"/>
        <v>0</v>
      </c>
      <c r="K186" s="415">
        <f t="shared" si="21"/>
        <v>0</v>
      </c>
      <c r="L186" s="415">
        <f t="shared" si="21"/>
        <v>0</v>
      </c>
      <c r="M186" s="1031">
        <f t="shared" si="21"/>
        <v>0</v>
      </c>
    </row>
    <row r="187" spans="1:14" s="515" customFormat="1">
      <c r="A187" s="454">
        <v>2020</v>
      </c>
      <c r="B187" s="385"/>
      <c r="C187" s="397" t="s">
        <v>628</v>
      </c>
      <c r="D187" s="451">
        <f>'T2 MET'!C70</f>
        <v>0</v>
      </c>
      <c r="E187" s="485">
        <v>0</v>
      </c>
      <c r="F187" s="486">
        <v>0</v>
      </c>
      <c r="G187" s="486">
        <v>0</v>
      </c>
      <c r="H187" s="486">
        <v>0</v>
      </c>
      <c r="I187" s="486">
        <v>0</v>
      </c>
      <c r="J187" s="486">
        <v>0</v>
      </c>
      <c r="K187" s="486">
        <v>0</v>
      </c>
      <c r="L187" s="486">
        <v>0</v>
      </c>
      <c r="M187" s="436">
        <f>D187-SUM(E187:L187)</f>
        <v>0</v>
      </c>
    </row>
    <row r="188" spans="1:14" ht="12" customHeight="1">
      <c r="A188" s="454">
        <v>2021</v>
      </c>
      <c r="C188" s="405" t="s">
        <v>629</v>
      </c>
      <c r="D188" s="452">
        <f>'T2 MET'!D70</f>
        <v>0</v>
      </c>
      <c r="E188" s="507"/>
      <c r="F188" s="490">
        <v>0</v>
      </c>
      <c r="G188" s="490">
        <v>0</v>
      </c>
      <c r="H188" s="490">
        <v>0</v>
      </c>
      <c r="I188" s="490">
        <v>0</v>
      </c>
      <c r="J188" s="490">
        <v>0</v>
      </c>
      <c r="K188" s="490">
        <v>0</v>
      </c>
      <c r="L188" s="490">
        <v>0</v>
      </c>
      <c r="M188" s="439">
        <f t="shared" ref="M188:M189" si="22">D188-SUM(E188:L188)</f>
        <v>0</v>
      </c>
    </row>
    <row r="189" spans="1:14" ht="12" customHeight="1">
      <c r="A189" s="454">
        <v>2022</v>
      </c>
      <c r="C189" s="405" t="s">
        <v>630</v>
      </c>
      <c r="D189" s="452">
        <f>'T2 MET'!E70</f>
        <v>0</v>
      </c>
      <c r="E189" s="507"/>
      <c r="F189" s="508"/>
      <c r="G189" s="511">
        <v>0</v>
      </c>
      <c r="H189" s="511">
        <v>0</v>
      </c>
      <c r="I189" s="511">
        <v>0</v>
      </c>
      <c r="J189" s="511">
        <v>0</v>
      </c>
      <c r="K189" s="511">
        <v>0</v>
      </c>
      <c r="L189" s="511">
        <v>0</v>
      </c>
      <c r="M189" s="439">
        <f t="shared" si="22"/>
        <v>0</v>
      </c>
    </row>
    <row r="190" spans="1:14" ht="12" customHeight="1">
      <c r="A190" s="454" t="s">
        <v>468</v>
      </c>
      <c r="C190" s="412" t="s">
        <v>631</v>
      </c>
      <c r="D190" s="413">
        <f t="shared" ref="D190:L190" si="23">SUM(D187:D189)</f>
        <v>0</v>
      </c>
      <c r="E190" s="415">
        <f t="shared" si="23"/>
        <v>0</v>
      </c>
      <c r="F190" s="415">
        <f t="shared" si="23"/>
        <v>0</v>
      </c>
      <c r="G190" s="415">
        <f t="shared" si="23"/>
        <v>0</v>
      </c>
      <c r="H190" s="415">
        <f t="shared" si="23"/>
        <v>0</v>
      </c>
      <c r="I190" s="415">
        <f t="shared" si="23"/>
        <v>0</v>
      </c>
      <c r="J190" s="415">
        <f t="shared" si="23"/>
        <v>0</v>
      </c>
      <c r="K190" s="415">
        <f t="shared" si="23"/>
        <v>0</v>
      </c>
      <c r="L190" s="415">
        <f t="shared" si="23"/>
        <v>0</v>
      </c>
      <c r="M190" s="1031">
        <f t="shared" ref="M190" si="24">SUM(M187:M189)</f>
        <v>0</v>
      </c>
    </row>
    <row r="191" spans="1:14" ht="12" customHeight="1">
      <c r="A191" s="454">
        <v>2023</v>
      </c>
      <c r="C191" s="405" t="s">
        <v>632</v>
      </c>
      <c r="D191" s="452">
        <f>'T2 MET'!F70</f>
        <v>0</v>
      </c>
      <c r="E191" s="507"/>
      <c r="F191" s="508"/>
      <c r="G191" s="508"/>
      <c r="H191" s="511">
        <v>0</v>
      </c>
      <c r="I191" s="511">
        <v>0</v>
      </c>
      <c r="J191" s="1046">
        <v>0</v>
      </c>
      <c r="K191" s="490">
        <v>0</v>
      </c>
      <c r="L191" s="490">
        <v>0</v>
      </c>
      <c r="M191" s="439">
        <f>D191-SUM(E191:L191)</f>
        <v>0</v>
      </c>
    </row>
    <row r="192" spans="1:14" ht="12" customHeight="1">
      <c r="A192" s="454">
        <v>2024</v>
      </c>
      <c r="C192" s="405" t="s">
        <v>633</v>
      </c>
      <c r="D192" s="452">
        <f>'T2 MET'!G70</f>
        <v>0</v>
      </c>
      <c r="E192" s="507"/>
      <c r="F192" s="508"/>
      <c r="G192" s="508"/>
      <c r="H192" s="508"/>
      <c r="I192" s="511">
        <v>0</v>
      </c>
      <c r="J192" s="1046">
        <v>0</v>
      </c>
      <c r="K192" s="490">
        <v>0</v>
      </c>
      <c r="L192" s="490">
        <v>0</v>
      </c>
      <c r="M192" s="439">
        <f t="shared" ref="M192:M195" si="25">D192-SUM(E192:L192)</f>
        <v>0</v>
      </c>
    </row>
    <row r="193" spans="1:15" ht="12" customHeight="1">
      <c r="A193" s="454">
        <v>2025</v>
      </c>
      <c r="C193" s="405" t="s">
        <v>634</v>
      </c>
      <c r="D193" s="452">
        <f>'T2 MET'!H70</f>
        <v>0</v>
      </c>
      <c r="E193" s="507"/>
      <c r="F193" s="508"/>
      <c r="G193" s="508"/>
      <c r="H193" s="508"/>
      <c r="I193" s="508"/>
      <c r="J193" s="511">
        <v>0</v>
      </c>
      <c r="K193" s="490">
        <v>0</v>
      </c>
      <c r="L193" s="490">
        <v>0</v>
      </c>
      <c r="M193" s="439">
        <f t="shared" si="25"/>
        <v>0</v>
      </c>
    </row>
    <row r="194" spans="1:15" ht="12" customHeight="1">
      <c r="A194" s="454">
        <v>2026</v>
      </c>
      <c r="C194" s="405" t="s">
        <v>635</v>
      </c>
      <c r="D194" s="452">
        <f>'T2 MET'!I70</f>
        <v>0</v>
      </c>
      <c r="E194" s="507"/>
      <c r="F194" s="508"/>
      <c r="G194" s="508"/>
      <c r="H194" s="508"/>
      <c r="I194" s="508"/>
      <c r="J194" s="508"/>
      <c r="K194" s="490">
        <v>0</v>
      </c>
      <c r="L194" s="490">
        <v>0</v>
      </c>
      <c r="M194" s="439">
        <f t="shared" si="25"/>
        <v>0</v>
      </c>
    </row>
    <row r="195" spans="1:15" ht="12" customHeight="1">
      <c r="A195" s="454">
        <v>2027</v>
      </c>
      <c r="C195" s="405" t="s">
        <v>636</v>
      </c>
      <c r="D195" s="453">
        <f>'T2 MET'!J70</f>
        <v>0</v>
      </c>
      <c r="E195" s="512"/>
      <c r="F195" s="513"/>
      <c r="G195" s="513"/>
      <c r="H195" s="513"/>
      <c r="I195" s="513"/>
      <c r="J195" s="513"/>
      <c r="K195" s="513"/>
      <c r="L195" s="490">
        <v>0</v>
      </c>
      <c r="M195" s="1056">
        <f t="shared" si="25"/>
        <v>0</v>
      </c>
    </row>
    <row r="196" spans="1:15" ht="12" customHeight="1">
      <c r="A196" s="454" t="s">
        <v>475</v>
      </c>
      <c r="C196" s="430" t="s">
        <v>924</v>
      </c>
      <c r="D196" s="431">
        <f>SUM(D191:D195)+D186+D190</f>
        <v>0</v>
      </c>
      <c r="E196" s="479">
        <f t="shared" ref="E196:M196" si="26">SUM(E191:E195)+E186+E190</f>
        <v>0</v>
      </c>
      <c r="F196" s="433">
        <f t="shared" si="26"/>
        <v>0</v>
      </c>
      <c r="G196" s="433">
        <f t="shared" si="26"/>
        <v>0</v>
      </c>
      <c r="H196" s="433">
        <f t="shared" si="26"/>
        <v>0</v>
      </c>
      <c r="I196" s="433">
        <f t="shared" si="26"/>
        <v>0</v>
      </c>
      <c r="J196" s="433">
        <f t="shared" si="26"/>
        <v>0</v>
      </c>
      <c r="K196" s="433">
        <f t="shared" si="26"/>
        <v>0</v>
      </c>
      <c r="L196" s="433">
        <f t="shared" si="26"/>
        <v>0</v>
      </c>
      <c r="M196" s="1055">
        <f t="shared" si="26"/>
        <v>0</v>
      </c>
    </row>
    <row r="197" spans="1:15" ht="4.2" customHeight="1">
      <c r="A197" s="748"/>
    </row>
    <row r="198" spans="1:15" ht="12" customHeight="1">
      <c r="A198" s="454">
        <v>2017</v>
      </c>
      <c r="C198" s="397" t="s">
        <v>638</v>
      </c>
      <c r="D198" s="516">
        <v>0</v>
      </c>
      <c r="E198" s="485">
        <v>0</v>
      </c>
      <c r="F198" s="486">
        <v>0</v>
      </c>
      <c r="G198" s="486">
        <v>0</v>
      </c>
      <c r="H198" s="486">
        <v>0</v>
      </c>
      <c r="I198" s="486">
        <v>0</v>
      </c>
      <c r="J198" s="486"/>
      <c r="K198" s="486"/>
      <c r="L198" s="486"/>
      <c r="M198" s="436">
        <f>D198-SUM(E198:L198)</f>
        <v>0</v>
      </c>
    </row>
    <row r="199" spans="1:15" ht="12" customHeight="1">
      <c r="A199" s="454">
        <v>2018</v>
      </c>
      <c r="C199" s="405" t="s">
        <v>639</v>
      </c>
      <c r="D199" s="517">
        <v>0</v>
      </c>
      <c r="E199" s="489">
        <v>0</v>
      </c>
      <c r="F199" s="490">
        <v>0</v>
      </c>
      <c r="G199" s="490">
        <v>0</v>
      </c>
      <c r="H199" s="490">
        <v>0</v>
      </c>
      <c r="I199" s="490">
        <v>0</v>
      </c>
      <c r="J199" s="490"/>
      <c r="K199" s="490"/>
      <c r="L199" s="490"/>
      <c r="M199" s="439">
        <f t="shared" ref="M199:M200" si="27">D199-SUM(E199:L199)</f>
        <v>0</v>
      </c>
    </row>
    <row r="200" spans="1:15" ht="12" customHeight="1">
      <c r="A200" s="454">
        <v>2019</v>
      </c>
      <c r="C200" s="405" t="s">
        <v>640</v>
      </c>
      <c r="D200" s="406">
        <v>0</v>
      </c>
      <c r="E200" s="489">
        <v>0</v>
      </c>
      <c r="F200" s="490">
        <v>0</v>
      </c>
      <c r="G200" s="490">
        <v>0</v>
      </c>
      <c r="H200" s="490">
        <v>0</v>
      </c>
      <c r="I200" s="490">
        <v>0</v>
      </c>
      <c r="J200" s="490"/>
      <c r="K200" s="490"/>
      <c r="L200" s="490"/>
      <c r="M200" s="439">
        <f t="shared" si="27"/>
        <v>0</v>
      </c>
    </row>
    <row r="201" spans="1:15" ht="12" customHeight="1">
      <c r="A201" s="454" t="s">
        <v>463</v>
      </c>
      <c r="C201" s="412" t="s">
        <v>641</v>
      </c>
      <c r="D201" s="413">
        <f>SUM(D198:D200)</f>
        <v>0</v>
      </c>
      <c r="E201" s="414">
        <f t="shared" ref="E201:M201" si="28">SUM(E198:E200)</f>
        <v>0</v>
      </c>
      <c r="F201" s="415">
        <f t="shared" si="28"/>
        <v>0</v>
      </c>
      <c r="G201" s="415">
        <f t="shared" si="28"/>
        <v>0</v>
      </c>
      <c r="H201" s="415">
        <f t="shared" si="28"/>
        <v>0</v>
      </c>
      <c r="I201" s="415">
        <f t="shared" si="28"/>
        <v>0</v>
      </c>
      <c r="J201" s="415"/>
      <c r="K201" s="415"/>
      <c r="L201" s="415"/>
      <c r="M201" s="1031">
        <f t="shared" si="28"/>
        <v>0</v>
      </c>
    </row>
    <row r="202" spans="1:15" s="966" customFormat="1">
      <c r="A202" s="962">
        <v>2020</v>
      </c>
      <c r="B202" s="539"/>
      <c r="C202" s="435" t="s">
        <v>642</v>
      </c>
      <c r="D202" s="963">
        <f>'T2 MET'!C71</f>
        <v>0</v>
      </c>
      <c r="E202" s="964">
        <f>+D202</f>
        <v>0</v>
      </c>
      <c r="F202" s="965">
        <v>0</v>
      </c>
      <c r="G202" s="965">
        <v>0</v>
      </c>
      <c r="H202" s="965">
        <v>0</v>
      </c>
      <c r="I202" s="965">
        <v>0</v>
      </c>
      <c r="J202" s="965">
        <v>0</v>
      </c>
      <c r="K202" s="965">
        <v>0</v>
      </c>
      <c r="L202" s="965">
        <v>0</v>
      </c>
      <c r="M202" s="436">
        <f>D202-SUM(E202:L202)</f>
        <v>0</v>
      </c>
      <c r="O202" s="967"/>
    </row>
    <row r="203" spans="1:15" ht="12" customHeight="1">
      <c r="A203" s="454">
        <v>2021</v>
      </c>
      <c r="C203" s="405" t="s">
        <v>643</v>
      </c>
      <c r="D203" s="452">
        <f>'T2 MET'!D71</f>
        <v>0</v>
      </c>
      <c r="E203" s="507"/>
      <c r="F203" s="490">
        <f>D203</f>
        <v>0</v>
      </c>
      <c r="G203" s="490">
        <v>0</v>
      </c>
      <c r="H203" s="490">
        <v>0</v>
      </c>
      <c r="I203" s="490">
        <v>0</v>
      </c>
      <c r="J203" s="490">
        <v>0</v>
      </c>
      <c r="K203" s="490">
        <v>0</v>
      </c>
      <c r="L203" s="490">
        <v>0</v>
      </c>
      <c r="M203" s="439">
        <f t="shared" ref="M203:M204" si="29">D203-SUM(E203:L203)</f>
        <v>0</v>
      </c>
    </row>
    <row r="204" spans="1:15" ht="12" customHeight="1">
      <c r="A204" s="454">
        <v>2022</v>
      </c>
      <c r="C204" s="405" t="s">
        <v>644</v>
      </c>
      <c r="D204" s="452">
        <f>'T2 MET'!E71</f>
        <v>0</v>
      </c>
      <c r="E204" s="507"/>
      <c r="F204" s="507"/>
      <c r="G204" s="490">
        <v>0</v>
      </c>
      <c r="H204" s="490">
        <v>0</v>
      </c>
      <c r="I204" s="490">
        <v>0</v>
      </c>
      <c r="J204" s="490">
        <v>0</v>
      </c>
      <c r="K204" s="490">
        <v>0</v>
      </c>
      <c r="L204" s="490">
        <v>0</v>
      </c>
      <c r="M204" s="439">
        <f t="shared" si="29"/>
        <v>0</v>
      </c>
    </row>
    <row r="205" spans="1:15" ht="12" customHeight="1">
      <c r="A205" s="454" t="s">
        <v>468</v>
      </c>
      <c r="C205" s="412" t="s">
        <v>645</v>
      </c>
      <c r="D205" s="413">
        <f t="shared" ref="D205:L205" si="30">SUM(D202:D204)</f>
        <v>0</v>
      </c>
      <c r="E205" s="415">
        <f t="shared" si="30"/>
        <v>0</v>
      </c>
      <c r="F205" s="415">
        <f t="shared" si="30"/>
        <v>0</v>
      </c>
      <c r="G205" s="415">
        <f t="shared" si="30"/>
        <v>0</v>
      </c>
      <c r="H205" s="415">
        <f t="shared" si="30"/>
        <v>0</v>
      </c>
      <c r="I205" s="415">
        <f t="shared" si="30"/>
        <v>0</v>
      </c>
      <c r="J205" s="415">
        <f t="shared" si="30"/>
        <v>0</v>
      </c>
      <c r="K205" s="415">
        <f t="shared" si="30"/>
        <v>0</v>
      </c>
      <c r="L205" s="415">
        <f t="shared" si="30"/>
        <v>0</v>
      </c>
      <c r="M205" s="1031">
        <f t="shared" ref="M205" si="31">SUM(M202:M204)</f>
        <v>0</v>
      </c>
    </row>
    <row r="206" spans="1:15" ht="12" customHeight="1">
      <c r="A206" s="454">
        <v>2023</v>
      </c>
      <c r="C206" s="405" t="s">
        <v>646</v>
      </c>
      <c r="D206" s="452">
        <f>'T2 MET'!F71</f>
        <v>0</v>
      </c>
      <c r="E206" s="507"/>
      <c r="F206" s="508"/>
      <c r="G206" s="508"/>
      <c r="H206" s="490">
        <v>0</v>
      </c>
      <c r="I206" s="490">
        <v>0</v>
      </c>
      <c r="J206" s="490">
        <v>0</v>
      </c>
      <c r="K206" s="490">
        <v>0</v>
      </c>
      <c r="L206" s="490">
        <v>0</v>
      </c>
      <c r="M206" s="439">
        <f>D206-SUM(E206:L206)</f>
        <v>0</v>
      </c>
    </row>
    <row r="207" spans="1:15" ht="12" customHeight="1">
      <c r="A207" s="454">
        <v>2024</v>
      </c>
      <c r="C207" s="405" t="s">
        <v>647</v>
      </c>
      <c r="D207" s="452">
        <f>'T2 MET'!G71</f>
        <v>0</v>
      </c>
      <c r="E207" s="507"/>
      <c r="F207" s="508"/>
      <c r="G207" s="508"/>
      <c r="H207" s="508"/>
      <c r="I207" s="490">
        <v>0</v>
      </c>
      <c r="J207" s="490">
        <v>0</v>
      </c>
      <c r="K207" s="490">
        <v>0</v>
      </c>
      <c r="L207" s="490">
        <v>0</v>
      </c>
      <c r="M207" s="439">
        <f t="shared" ref="M207:M210" si="32">D207-SUM(E207:L207)</f>
        <v>0</v>
      </c>
    </row>
    <row r="208" spans="1:15" ht="12" customHeight="1">
      <c r="A208" s="454">
        <v>2025</v>
      </c>
      <c r="C208" s="405" t="s">
        <v>648</v>
      </c>
      <c r="D208" s="452">
        <f>'T2 MET'!H71</f>
        <v>0</v>
      </c>
      <c r="E208" s="507"/>
      <c r="F208" s="508"/>
      <c r="G208" s="508"/>
      <c r="H208" s="508"/>
      <c r="I208" s="508"/>
      <c r="J208" s="490">
        <v>0</v>
      </c>
      <c r="K208" s="490">
        <v>0</v>
      </c>
      <c r="L208" s="490">
        <v>0</v>
      </c>
      <c r="M208" s="439">
        <f t="shared" si="32"/>
        <v>0</v>
      </c>
    </row>
    <row r="209" spans="1:13" ht="12" customHeight="1">
      <c r="A209" s="454">
        <v>2026</v>
      </c>
      <c r="C209" s="405" t="s">
        <v>649</v>
      </c>
      <c r="D209" s="452">
        <f>'T2 MET'!I71</f>
        <v>0</v>
      </c>
      <c r="E209" s="507"/>
      <c r="F209" s="508"/>
      <c r="G209" s="508"/>
      <c r="H209" s="508"/>
      <c r="I209" s="508"/>
      <c r="J209" s="508"/>
      <c r="K209" s="490">
        <v>0</v>
      </c>
      <c r="L209" s="490">
        <v>0</v>
      </c>
      <c r="M209" s="439">
        <f t="shared" si="32"/>
        <v>0</v>
      </c>
    </row>
    <row r="210" spans="1:13" ht="12" customHeight="1">
      <c r="A210" s="454">
        <v>2027</v>
      </c>
      <c r="C210" s="405" t="s">
        <v>650</v>
      </c>
      <c r="D210" s="453">
        <f>'T2 MET'!J71</f>
        <v>0</v>
      </c>
      <c r="E210" s="512"/>
      <c r="F210" s="513"/>
      <c r="G210" s="513"/>
      <c r="H210" s="513"/>
      <c r="I210" s="513"/>
      <c r="J210" s="513"/>
      <c r="K210" s="513"/>
      <c r="L210" s="521">
        <v>0</v>
      </c>
      <c r="M210" s="1056">
        <f t="shared" si="32"/>
        <v>0</v>
      </c>
    </row>
    <row r="211" spans="1:13" ht="12" customHeight="1">
      <c r="A211" s="454" t="s">
        <v>475</v>
      </c>
      <c r="C211" s="430" t="s">
        <v>925</v>
      </c>
      <c r="D211" s="431">
        <f>SUM(D206:D210)+D201+D205</f>
        <v>0</v>
      </c>
      <c r="E211" s="479">
        <f t="shared" ref="E211:M211" si="33">SUM(E206:E210)+E201+E205</f>
        <v>0</v>
      </c>
      <c r="F211" s="433">
        <f t="shared" si="33"/>
        <v>0</v>
      </c>
      <c r="G211" s="433">
        <f t="shared" si="33"/>
        <v>0</v>
      </c>
      <c r="H211" s="433">
        <f t="shared" si="33"/>
        <v>0</v>
      </c>
      <c r="I211" s="480">
        <f t="shared" si="33"/>
        <v>0</v>
      </c>
      <c r="J211" s="480">
        <f t="shared" si="33"/>
        <v>0</v>
      </c>
      <c r="K211" s="480">
        <f t="shared" si="33"/>
        <v>0</v>
      </c>
      <c r="L211" s="480">
        <f t="shared" si="33"/>
        <v>0</v>
      </c>
      <c r="M211" s="1055">
        <f t="shared" si="33"/>
        <v>0</v>
      </c>
    </row>
    <row r="212" spans="1:13" ht="4.2" customHeight="1">
      <c r="A212" s="748"/>
    </row>
    <row r="213" spans="1:13" ht="12" customHeight="1">
      <c r="A213" s="454">
        <v>2017</v>
      </c>
      <c r="C213" s="397" t="s">
        <v>652</v>
      </c>
      <c r="D213" s="403"/>
      <c r="E213" s="455"/>
      <c r="F213" s="401"/>
      <c r="G213" s="401"/>
      <c r="H213" s="401"/>
      <c r="I213" s="1038"/>
      <c r="J213" s="1038"/>
      <c r="K213" s="1038"/>
      <c r="L213" s="1038"/>
      <c r="M213" s="1034"/>
    </row>
    <row r="214" spans="1:13" ht="12" customHeight="1">
      <c r="A214" s="454">
        <v>2018</v>
      </c>
      <c r="C214" s="405" t="s">
        <v>653</v>
      </c>
      <c r="D214" s="411"/>
      <c r="E214" s="456"/>
      <c r="F214" s="409"/>
      <c r="G214" s="409"/>
      <c r="H214" s="409"/>
      <c r="I214" s="1042"/>
      <c r="J214" s="1042"/>
      <c r="K214" s="1042"/>
      <c r="L214" s="1042"/>
      <c r="M214" s="1029"/>
    </row>
    <row r="215" spans="1:13" ht="12" customHeight="1">
      <c r="A215" s="454">
        <v>2019</v>
      </c>
      <c r="C215" s="405" t="s">
        <v>654</v>
      </c>
      <c r="D215" s="411"/>
      <c r="E215" s="456"/>
      <c r="F215" s="409"/>
      <c r="G215" s="409"/>
      <c r="H215" s="409"/>
      <c r="I215" s="1039"/>
      <c r="J215" s="1039"/>
      <c r="K215" s="1039"/>
      <c r="L215" s="1039"/>
      <c r="M215" s="1029"/>
    </row>
    <row r="216" spans="1:13" ht="12" customHeight="1">
      <c r="A216" s="454" t="s">
        <v>463</v>
      </c>
      <c r="C216" s="412" t="s">
        <v>655</v>
      </c>
      <c r="D216" s="418"/>
      <c r="E216" s="463"/>
      <c r="F216" s="416"/>
      <c r="G216" s="416"/>
      <c r="H216" s="416"/>
      <c r="I216" s="1040"/>
      <c r="J216" s="1040"/>
      <c r="K216" s="1040"/>
      <c r="L216" s="1040"/>
      <c r="M216" s="1030"/>
    </row>
    <row r="217" spans="1:13" s="515" customFormat="1">
      <c r="A217" s="454">
        <v>2020</v>
      </c>
      <c r="B217" s="385"/>
      <c r="C217" s="397" t="s">
        <v>656</v>
      </c>
      <c r="D217" s="464"/>
      <c r="E217" s="455"/>
      <c r="F217" s="401"/>
      <c r="G217" s="401"/>
      <c r="H217" s="401"/>
      <c r="I217" s="1038"/>
      <c r="J217" s="1038"/>
      <c r="K217" s="1038"/>
      <c r="L217" s="1038"/>
      <c r="M217" s="1034"/>
    </row>
    <row r="218" spans="1:13" ht="12" customHeight="1">
      <c r="A218" s="454">
        <v>2021</v>
      </c>
      <c r="C218" s="405" t="s">
        <v>657</v>
      </c>
      <c r="D218" s="465"/>
      <c r="E218" s="456"/>
      <c r="F218" s="409"/>
      <c r="G218" s="409"/>
      <c r="H218" s="409"/>
      <c r="I218" s="1042"/>
      <c r="J218" s="1042"/>
      <c r="K218" s="1042"/>
      <c r="L218" s="1042"/>
      <c r="M218" s="1029"/>
    </row>
    <row r="219" spans="1:13" ht="12" customHeight="1">
      <c r="A219" s="454">
        <v>2022</v>
      </c>
      <c r="C219" s="405" t="s">
        <v>658</v>
      </c>
      <c r="D219" s="465"/>
      <c r="E219" s="456"/>
      <c r="F219" s="409"/>
      <c r="G219" s="409"/>
      <c r="H219" s="409"/>
      <c r="I219" s="1042"/>
      <c r="J219" s="1042"/>
      <c r="K219" s="1042"/>
      <c r="L219" s="1042"/>
      <c r="M219" s="1029"/>
    </row>
    <row r="220" spans="1:13" ht="12" customHeight="1">
      <c r="A220" s="454" t="s">
        <v>468</v>
      </c>
      <c r="C220" s="412" t="s">
        <v>659</v>
      </c>
      <c r="D220" s="418"/>
      <c r="E220" s="463"/>
      <c r="F220" s="416"/>
      <c r="G220" s="416"/>
      <c r="H220" s="416"/>
      <c r="I220" s="1040"/>
      <c r="J220" s="1040"/>
      <c r="K220" s="1040"/>
      <c r="L220" s="1040"/>
      <c r="M220" s="1030"/>
    </row>
    <row r="221" spans="1:13" ht="12" customHeight="1">
      <c r="A221" s="454">
        <v>2023</v>
      </c>
      <c r="C221" s="405" t="s">
        <v>660</v>
      </c>
      <c r="D221" s="465"/>
      <c r="E221" s="456"/>
      <c r="F221" s="409"/>
      <c r="G221" s="409"/>
      <c r="H221" s="409"/>
      <c r="I221" s="1042"/>
      <c r="J221" s="1042"/>
      <c r="K221" s="1042"/>
      <c r="L221" s="1042"/>
      <c r="M221" s="1029"/>
    </row>
    <row r="222" spans="1:13" ht="12" customHeight="1">
      <c r="A222" s="454">
        <v>2024</v>
      </c>
      <c r="C222" s="405" t="s">
        <v>661</v>
      </c>
      <c r="D222" s="465"/>
      <c r="E222" s="456"/>
      <c r="F222" s="409"/>
      <c r="G222" s="409"/>
      <c r="H222" s="409"/>
      <c r="I222" s="1042"/>
      <c r="J222" s="1042"/>
      <c r="K222" s="1042"/>
      <c r="L222" s="1042"/>
      <c r="M222" s="1029"/>
    </row>
    <row r="223" spans="1:13" ht="12" customHeight="1">
      <c r="A223" s="454">
        <v>2025</v>
      </c>
      <c r="C223" s="405" t="s">
        <v>662</v>
      </c>
      <c r="D223" s="465"/>
      <c r="E223" s="456"/>
      <c r="F223" s="409"/>
      <c r="G223" s="409"/>
      <c r="H223" s="409"/>
      <c r="I223" s="1039"/>
      <c r="J223" s="1039"/>
      <c r="K223" s="1039"/>
      <c r="L223" s="1039"/>
      <c r="M223" s="1029"/>
    </row>
    <row r="224" spans="1:13" ht="12" customHeight="1">
      <c r="A224" s="454">
        <v>2026</v>
      </c>
      <c r="C224" s="405" t="s">
        <v>663</v>
      </c>
      <c r="D224" s="465"/>
      <c r="E224" s="456"/>
      <c r="F224" s="409"/>
      <c r="G224" s="409"/>
      <c r="H224" s="409"/>
      <c r="I224" s="1039"/>
      <c r="J224" s="1039"/>
      <c r="K224" s="1039"/>
      <c r="L224" s="1039"/>
      <c r="M224" s="1029"/>
    </row>
    <row r="225" spans="1:15" ht="12" customHeight="1">
      <c r="A225" s="454">
        <v>2027</v>
      </c>
      <c r="C225" s="405" t="s">
        <v>664</v>
      </c>
      <c r="D225" s="466"/>
      <c r="E225" s="459"/>
      <c r="F225" s="460"/>
      <c r="G225" s="460"/>
      <c r="H225" s="460"/>
      <c r="I225" s="1049"/>
      <c r="J225" s="1049"/>
      <c r="K225" s="1049"/>
      <c r="L225" s="1049"/>
      <c r="M225" s="1035"/>
    </row>
    <row r="226" spans="1:15" ht="12" customHeight="1">
      <c r="A226" s="454" t="s">
        <v>475</v>
      </c>
      <c r="C226" s="430" t="s">
        <v>926</v>
      </c>
      <c r="D226" s="499"/>
      <c r="E226" s="493"/>
      <c r="F226" s="494"/>
      <c r="G226" s="494"/>
      <c r="H226" s="494"/>
      <c r="I226" s="500"/>
      <c r="J226" s="500"/>
      <c r="K226" s="500"/>
      <c r="L226" s="500"/>
      <c r="M226" s="1036"/>
    </row>
    <row r="227" spans="1:15" ht="4.2" customHeight="1">
      <c r="A227" s="748"/>
    </row>
    <row r="228" spans="1:15" ht="12" customHeight="1">
      <c r="A228" s="454">
        <v>2020</v>
      </c>
      <c r="C228" s="468" t="s">
        <v>666</v>
      </c>
      <c r="D228" s="447">
        <f>'T2 MET'!C63</f>
        <v>0</v>
      </c>
      <c r="E228" s="456"/>
      <c r="F228" s="409"/>
      <c r="G228" s="486">
        <f>D228</f>
        <v>0</v>
      </c>
      <c r="H228" s="506"/>
      <c r="I228" s="506"/>
      <c r="J228" s="506"/>
      <c r="K228" s="506"/>
      <c r="L228" s="506"/>
      <c r="M228" s="436">
        <f>D228-SUM(E228:L228)</f>
        <v>0</v>
      </c>
    </row>
    <row r="229" spans="1:15" ht="12" customHeight="1">
      <c r="A229" s="454">
        <v>2021</v>
      </c>
      <c r="C229" s="469" t="s">
        <v>667</v>
      </c>
      <c r="D229" s="448">
        <f>'T2 MET'!D63</f>
        <v>0</v>
      </c>
      <c r="E229" s="456"/>
      <c r="F229" s="409"/>
      <c r="G229" s="409"/>
      <c r="H229" s="422">
        <f>D229</f>
        <v>0</v>
      </c>
      <c r="I229" s="409"/>
      <c r="J229" s="409"/>
      <c r="K229" s="409"/>
      <c r="L229" s="409"/>
      <c r="M229" s="439">
        <f>D229-SUM(E229:L229)</f>
        <v>0</v>
      </c>
    </row>
    <row r="230" spans="1:15" ht="12" customHeight="1">
      <c r="A230" s="454">
        <v>2022</v>
      </c>
      <c r="C230" s="469" t="s">
        <v>668</v>
      </c>
      <c r="D230" s="448">
        <f>'T2 MET'!E63</f>
        <v>0</v>
      </c>
      <c r="E230" s="503"/>
      <c r="F230" s="522"/>
      <c r="G230" s="522"/>
      <c r="H230" s="522"/>
      <c r="I230" s="490">
        <f>D230</f>
        <v>0</v>
      </c>
      <c r="J230" s="522"/>
      <c r="K230" s="522"/>
      <c r="L230" s="522"/>
      <c r="M230" s="439">
        <f>D230-SUM(E230:L230)</f>
        <v>0</v>
      </c>
    </row>
    <row r="231" spans="1:15" ht="12" customHeight="1">
      <c r="A231" s="454" t="s">
        <v>468</v>
      </c>
      <c r="C231" s="412" t="s">
        <v>669</v>
      </c>
      <c r="D231" s="413">
        <f>SUM(D228:D230)</f>
        <v>0</v>
      </c>
      <c r="E231" s="414">
        <f t="shared" ref="E231:I231" si="34">SUM(E228:E230)</f>
        <v>0</v>
      </c>
      <c r="F231" s="415">
        <f t="shared" si="34"/>
        <v>0</v>
      </c>
      <c r="G231" s="415">
        <f t="shared" si="34"/>
        <v>0</v>
      </c>
      <c r="H231" s="415">
        <f t="shared" si="34"/>
        <v>0</v>
      </c>
      <c r="I231" s="450">
        <f t="shared" si="34"/>
        <v>0</v>
      </c>
      <c r="J231" s="1040"/>
      <c r="K231" s="1040"/>
      <c r="L231" s="1040"/>
      <c r="M231" s="1030"/>
    </row>
    <row r="232" spans="1:15" ht="12" customHeight="1">
      <c r="A232" s="454">
        <v>2023</v>
      </c>
      <c r="C232" s="469" t="s">
        <v>670</v>
      </c>
      <c r="D232" s="448">
        <f>'T2 MET'!F63</f>
        <v>0</v>
      </c>
      <c r="E232" s="503"/>
      <c r="F232" s="522"/>
      <c r="G232" s="522"/>
      <c r="H232" s="522"/>
      <c r="I232" s="522"/>
      <c r="J232" s="490"/>
      <c r="K232" s="522"/>
      <c r="L232" s="522"/>
      <c r="M232" s="436">
        <f>D232-SUM(E232:L232)</f>
        <v>0</v>
      </c>
    </row>
    <row r="233" spans="1:15" ht="12" customHeight="1">
      <c r="A233" s="454">
        <v>2024</v>
      </c>
      <c r="C233" s="469" t="s">
        <v>671</v>
      </c>
      <c r="D233" s="448">
        <f>'T2 MET'!G63</f>
        <v>0</v>
      </c>
      <c r="E233" s="503"/>
      <c r="F233" s="522"/>
      <c r="G233" s="522"/>
      <c r="H233" s="522"/>
      <c r="I233" s="522"/>
      <c r="J233" s="522"/>
      <c r="K233" s="490"/>
      <c r="L233" s="522"/>
      <c r="M233" s="439">
        <f>D233-SUM(E233:L233)</f>
        <v>0</v>
      </c>
    </row>
    <row r="234" spans="1:15" ht="12" customHeight="1">
      <c r="A234" s="454">
        <v>2025</v>
      </c>
      <c r="C234" s="469" t="s">
        <v>672</v>
      </c>
      <c r="D234" s="448">
        <f>'T2 MET'!H63</f>
        <v>0</v>
      </c>
      <c r="E234" s="503"/>
      <c r="F234" s="522"/>
      <c r="G234" s="522"/>
      <c r="H234" s="522"/>
      <c r="I234" s="522"/>
      <c r="J234" s="522"/>
      <c r="K234" s="522"/>
      <c r="L234" s="490"/>
      <c r="M234" s="439">
        <f>D234-SUM(E234:L234)</f>
        <v>0</v>
      </c>
    </row>
    <row r="235" spans="1:15" ht="12" customHeight="1">
      <c r="A235" s="454">
        <v>2026</v>
      </c>
      <c r="C235" s="469" t="s">
        <v>673</v>
      </c>
      <c r="D235" s="448">
        <f>'T2 MET'!I63</f>
        <v>0</v>
      </c>
      <c r="E235" s="503"/>
      <c r="F235" s="522"/>
      <c r="G235" s="522"/>
      <c r="H235" s="522"/>
      <c r="I235" s="522"/>
      <c r="J235" s="522"/>
      <c r="K235" s="522"/>
      <c r="L235" s="522"/>
      <c r="M235" s="439">
        <f>D235-SUM(E235:L235)</f>
        <v>0</v>
      </c>
    </row>
    <row r="236" spans="1:15" ht="12" customHeight="1">
      <c r="A236" s="454">
        <v>2027</v>
      </c>
      <c r="C236" s="469" t="s">
        <v>674</v>
      </c>
      <c r="D236" s="449">
        <f>'T2 MET'!J63</f>
        <v>0</v>
      </c>
      <c r="E236" s="523"/>
      <c r="F236" s="524"/>
      <c r="G236" s="524"/>
      <c r="H236" s="524"/>
      <c r="I236" s="524"/>
      <c r="J236" s="524"/>
      <c r="K236" s="524"/>
      <c r="L236" s="524"/>
      <c r="M236" s="1056">
        <f>D236-SUM(E236:L236)</f>
        <v>0</v>
      </c>
    </row>
    <row r="237" spans="1:15" ht="12" customHeight="1">
      <c r="A237" s="454" t="s">
        <v>475</v>
      </c>
      <c r="C237" s="525" t="s">
        <v>927</v>
      </c>
      <c r="D237" s="431">
        <f>SUM(D231:D236)</f>
        <v>0</v>
      </c>
      <c r="E237" s="526">
        <f t="shared" ref="E237:M237" si="35">SUM(E231:E236)</f>
        <v>0</v>
      </c>
      <c r="F237" s="527">
        <f t="shared" si="35"/>
        <v>0</v>
      </c>
      <c r="G237" s="527">
        <f t="shared" si="35"/>
        <v>0</v>
      </c>
      <c r="H237" s="527">
        <f t="shared" si="35"/>
        <v>0</v>
      </c>
      <c r="I237" s="1050">
        <f t="shared" si="35"/>
        <v>0</v>
      </c>
      <c r="J237" s="1050">
        <f t="shared" si="35"/>
        <v>0</v>
      </c>
      <c r="K237" s="1050">
        <f t="shared" si="35"/>
        <v>0</v>
      </c>
      <c r="L237" s="1050">
        <f t="shared" si="35"/>
        <v>0</v>
      </c>
      <c r="M237" s="1055">
        <f t="shared" si="35"/>
        <v>0</v>
      </c>
    </row>
    <row r="238" spans="1:15" ht="3" customHeight="1"/>
    <row r="239" spans="1:15" ht="12" customHeight="1">
      <c r="A239" s="454">
        <v>2020</v>
      </c>
      <c r="C239" s="468" t="s">
        <v>676</v>
      </c>
      <c r="D239" s="540"/>
      <c r="E239" s="455"/>
      <c r="F239" s="401"/>
      <c r="G239" s="401"/>
      <c r="H239" s="401"/>
      <c r="I239" s="1051"/>
      <c r="J239" s="1051"/>
      <c r="K239" s="1051"/>
      <c r="L239" s="1051"/>
      <c r="M239" s="1034"/>
      <c r="O239" s="1370"/>
    </row>
    <row r="240" spans="1:15" ht="12" customHeight="1">
      <c r="A240" s="454">
        <v>2021</v>
      </c>
      <c r="C240" s="469" t="s">
        <v>677</v>
      </c>
      <c r="D240" s="541"/>
      <c r="E240" s="456"/>
      <c r="F240" s="409"/>
      <c r="G240" s="409"/>
      <c r="H240" s="409"/>
      <c r="I240" s="1039"/>
      <c r="J240" s="1039"/>
      <c r="K240" s="1039"/>
      <c r="L240" s="1039"/>
      <c r="M240" s="1029"/>
      <c r="O240" s="1370"/>
    </row>
    <row r="241" spans="1:15" ht="12" customHeight="1">
      <c r="A241" s="454">
        <v>2022</v>
      </c>
      <c r="C241" s="469" t="s">
        <v>678</v>
      </c>
      <c r="D241" s="541"/>
      <c r="E241" s="456"/>
      <c r="F241" s="409"/>
      <c r="G241" s="409"/>
      <c r="H241" s="409"/>
      <c r="I241" s="1039"/>
      <c r="J241" s="1039"/>
      <c r="K241" s="1039"/>
      <c r="L241" s="1039"/>
      <c r="M241" s="1029"/>
      <c r="O241" s="1370"/>
    </row>
    <row r="242" spans="1:15" ht="12" customHeight="1">
      <c r="A242" s="454" t="s">
        <v>468</v>
      </c>
      <c r="C242" s="412" t="s">
        <v>679</v>
      </c>
      <c r="D242" s="1040"/>
      <c r="E242" s="1040"/>
      <c r="F242" s="1040"/>
      <c r="G242" s="1040"/>
      <c r="H242" s="1040"/>
      <c r="I242" s="1040"/>
      <c r="J242" s="1040"/>
      <c r="K242" s="1040"/>
      <c r="L242" s="1040"/>
      <c r="M242" s="1030"/>
      <c r="O242" s="1370"/>
    </row>
    <row r="243" spans="1:15" ht="12" customHeight="1">
      <c r="A243" s="454">
        <v>2023</v>
      </c>
      <c r="C243" s="469" t="s">
        <v>680</v>
      </c>
      <c r="D243" s="541"/>
      <c r="E243" s="456"/>
      <c r="F243" s="409"/>
      <c r="G243" s="409"/>
      <c r="H243" s="409"/>
      <c r="I243" s="1039"/>
      <c r="J243" s="1039"/>
      <c r="K243" s="1039"/>
      <c r="L243" s="1039"/>
      <c r="M243" s="1029"/>
      <c r="O243" s="1370"/>
    </row>
    <row r="244" spans="1:15" ht="12" customHeight="1">
      <c r="A244" s="454">
        <v>2024</v>
      </c>
      <c r="C244" s="469" t="s">
        <v>681</v>
      </c>
      <c r="D244" s="541"/>
      <c r="E244" s="456"/>
      <c r="F244" s="409"/>
      <c r="G244" s="409"/>
      <c r="H244" s="409"/>
      <c r="I244" s="1039"/>
      <c r="J244" s="1039"/>
      <c r="K244" s="1039"/>
      <c r="L244" s="1039"/>
      <c r="M244" s="1029"/>
      <c r="O244" s="1370"/>
    </row>
    <row r="245" spans="1:15" ht="12" customHeight="1">
      <c r="A245" s="454">
        <v>2025</v>
      </c>
      <c r="C245" s="469" t="s">
        <v>682</v>
      </c>
      <c r="D245" s="541"/>
      <c r="E245" s="456"/>
      <c r="F245" s="409"/>
      <c r="G245" s="409"/>
      <c r="H245" s="409"/>
      <c r="I245" s="1039"/>
      <c r="J245" s="1039"/>
      <c r="K245" s="1039"/>
      <c r="L245" s="1039"/>
      <c r="M245" s="1029"/>
      <c r="O245" s="1370"/>
    </row>
    <row r="246" spans="1:15" ht="12" customHeight="1">
      <c r="A246" s="454">
        <v>2026</v>
      </c>
      <c r="C246" s="469" t="s">
        <v>683</v>
      </c>
      <c r="D246" s="541"/>
      <c r="E246" s="456"/>
      <c r="F246" s="409"/>
      <c r="G246" s="409"/>
      <c r="H246" s="409"/>
      <c r="I246" s="1039"/>
      <c r="J246" s="1039"/>
      <c r="K246" s="1039"/>
      <c r="L246" s="1039"/>
      <c r="M246" s="1029"/>
      <c r="O246" s="1370"/>
    </row>
    <row r="247" spans="1:15" ht="12" customHeight="1">
      <c r="A247" s="454">
        <v>2027</v>
      </c>
      <c r="C247" s="469" t="s">
        <v>684</v>
      </c>
      <c r="D247" s="542"/>
      <c r="E247" s="459"/>
      <c r="F247" s="460"/>
      <c r="G247" s="460"/>
      <c r="H247" s="460"/>
      <c r="I247" s="1049"/>
      <c r="J247" s="1049"/>
      <c r="K247" s="1049"/>
      <c r="L247" s="1049"/>
      <c r="M247" s="1035"/>
      <c r="O247" s="1370"/>
    </row>
    <row r="248" spans="1:15" ht="12" customHeight="1">
      <c r="A248" s="454" t="s">
        <v>475</v>
      </c>
      <c r="C248" s="430" t="s">
        <v>685</v>
      </c>
      <c r="D248" s="499"/>
      <c r="E248" s="533"/>
      <c r="F248" s="494"/>
      <c r="G248" s="494"/>
      <c r="H248" s="494"/>
      <c r="I248" s="500"/>
      <c r="J248" s="500"/>
      <c r="K248" s="500"/>
      <c r="L248" s="500"/>
      <c r="M248" s="1036"/>
      <c r="O248" s="1370"/>
    </row>
    <row r="249" spans="1:15" ht="4.2" customHeight="1">
      <c r="C249" s="471"/>
      <c r="D249" s="471"/>
      <c r="E249" s="471"/>
      <c r="F249" s="472"/>
      <c r="G249" s="471"/>
      <c r="H249" s="471"/>
      <c r="I249" s="471"/>
      <c r="J249" s="471"/>
      <c r="K249" s="471"/>
      <c r="L249" s="471"/>
      <c r="M249" s="471"/>
    </row>
    <row r="250" spans="1:15" ht="3" customHeight="1"/>
    <row r="251" spans="1:15" ht="12" customHeight="1">
      <c r="B251" s="395"/>
      <c r="C251" s="430" t="s">
        <v>686</v>
      </c>
      <c r="D251" s="431">
        <f t="shared" ref="D251:L251" si="36">D21+D36+D47+D58+D69+D80+D91+D102+D107+D126+D141+D166+D181+D196+D211+D226+D237+D248</f>
        <v>32838.525620070279</v>
      </c>
      <c r="E251" s="431">
        <f t="shared" si="36"/>
        <v>-3976</v>
      </c>
      <c r="F251" s="431">
        <f t="shared" si="36"/>
        <v>-4217.126887552794</v>
      </c>
      <c r="G251" s="431">
        <f t="shared" si="36"/>
        <v>15755.05220120979</v>
      </c>
      <c r="H251" s="431">
        <f t="shared" si="36"/>
        <v>14677.237730350837</v>
      </c>
      <c r="I251" s="1052">
        <f t="shared" si="36"/>
        <v>10599.228213643557</v>
      </c>
      <c r="J251" s="1052">
        <f t="shared" si="36"/>
        <v>0</v>
      </c>
      <c r="K251" s="1052">
        <f t="shared" si="36"/>
        <v>0</v>
      </c>
      <c r="L251" s="1052">
        <f t="shared" si="36"/>
        <v>0</v>
      </c>
      <c r="M251" s="1055">
        <f>M21+M36+M47+M58+M69+M80+M91+M102+M107+M126+M141+M166+M181+M196+M211+M226+M237+M248</f>
        <v>0</v>
      </c>
      <c r="O251" s="1355"/>
    </row>
    <row r="252" spans="1:15" ht="3" customHeight="1"/>
    <row r="253" spans="1:15" ht="12" customHeight="1">
      <c r="C253" s="1" t="s">
        <v>705</v>
      </c>
      <c r="F253" s="385"/>
    </row>
    <row r="254" spans="1:15" ht="12" customHeight="1">
      <c r="C254" s="1" t="s">
        <v>706</v>
      </c>
      <c r="D254" s="143"/>
      <c r="E254" s="473"/>
      <c r="F254" s="473"/>
      <c r="G254" s="473"/>
      <c r="H254" s="473"/>
      <c r="I254" s="473"/>
      <c r="J254" s="473"/>
      <c r="K254" s="473"/>
      <c r="L254" s="473"/>
      <c r="M254" s="515"/>
    </row>
    <row r="255" spans="1:15">
      <c r="F255" s="385"/>
    </row>
    <row r="256" spans="1:15" ht="12" customHeight="1">
      <c r="F256" s="385"/>
    </row>
    <row r="257" spans="6:6">
      <c r="F257" s="385"/>
    </row>
    <row r="258" spans="6:6">
      <c r="F258" s="385"/>
    </row>
    <row r="259" spans="6:6">
      <c r="F259" s="385"/>
    </row>
    <row r="260" spans="6:6">
      <c r="F260" s="385"/>
    </row>
    <row r="261" spans="6:6">
      <c r="F261" s="385"/>
    </row>
  </sheetData>
  <mergeCells count="1">
    <mergeCell ref="C1:M1"/>
  </mergeCells>
  <pageMargins left="0.7" right="0.7" top="0.75" bottom="0.75" header="0.3" footer="0.3"/>
  <pageSetup paperSize="9" scale="38" orientation="portrait"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78"/>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2.5546875" defaultRowHeight="14.4"/>
  <cols>
    <col min="1" max="1" width="12.5546875" style="454" customWidth="1"/>
    <col min="2" max="2" width="2.33203125" style="385" customWidth="1"/>
    <col min="3" max="3" width="52.5546875" style="385" customWidth="1"/>
    <col min="4" max="4" width="7.6640625" style="385" customWidth="1"/>
    <col min="5" max="5" width="10" style="385" customWidth="1"/>
    <col min="6" max="6" width="10" style="218" customWidth="1"/>
    <col min="7" max="9" width="10" style="385" customWidth="1"/>
    <col min="10" max="10" width="10.6640625" style="385" customWidth="1"/>
    <col min="11" max="11" width="3.44140625" style="385" customWidth="1"/>
    <col min="12" max="12" width="13.5546875" style="385" customWidth="1"/>
    <col min="13" max="14" width="9" style="385" customWidth="1"/>
    <col min="15" max="15" width="7.6640625" style="385" customWidth="1"/>
    <col min="16" max="16" width="8.44140625" style="385" bestFit="1" customWidth="1"/>
    <col min="17" max="17" width="7.6640625" style="385" customWidth="1"/>
    <col min="18" max="18" width="16.44140625" style="385" customWidth="1"/>
    <col min="19" max="26" width="7.6640625" style="385" customWidth="1"/>
    <col min="27" max="16384" width="12.5546875" style="385"/>
  </cols>
  <sheetData>
    <row r="1" spans="1:25" ht="12" customHeight="1">
      <c r="C1" s="1568" t="s">
        <v>456</v>
      </c>
      <c r="D1" s="1568"/>
      <c r="E1" s="1568"/>
      <c r="F1" s="1568"/>
      <c r="G1" s="1568"/>
      <c r="H1" s="1568"/>
      <c r="I1" s="1568"/>
      <c r="J1" s="1568"/>
      <c r="K1" s="386"/>
      <c r="L1" s="386"/>
      <c r="M1" s="386"/>
      <c r="N1" s="386"/>
      <c r="O1" s="386"/>
      <c r="P1" s="386"/>
      <c r="Q1" s="386"/>
      <c r="R1" s="386"/>
      <c r="S1" s="386"/>
      <c r="T1" s="386"/>
      <c r="U1" s="386"/>
      <c r="V1" s="386"/>
      <c r="W1" s="386"/>
      <c r="X1" s="386"/>
      <c r="Y1" s="386"/>
    </row>
    <row r="2" spans="1:25" ht="12" customHeight="1">
      <c r="C2" s="781" t="s">
        <v>714</v>
      </c>
      <c r="D2" s="387"/>
      <c r="E2" s="387"/>
      <c r="G2" s="387"/>
      <c r="H2" s="387"/>
      <c r="I2" s="387"/>
      <c r="J2" s="387"/>
      <c r="K2" s="387"/>
    </row>
    <row r="3" spans="1:25" ht="12" customHeight="1">
      <c r="C3" s="674" t="str">
        <f>'T2 MET'!A3</f>
        <v>United Kingdom</v>
      </c>
      <c r="D3" s="387"/>
      <c r="E3" s="387"/>
      <c r="G3" s="387"/>
      <c r="H3" s="387"/>
      <c r="I3" s="387"/>
      <c r="J3" s="387"/>
      <c r="K3" s="387"/>
    </row>
    <row r="4" spans="1:25" ht="12" customHeight="1">
      <c r="C4" s="83" t="str">
        <f>'T2 MET'!A4</f>
        <v>Currency : GBP £</v>
      </c>
      <c r="D4" s="387"/>
      <c r="E4" s="387"/>
      <c r="G4" s="387"/>
      <c r="H4" s="387"/>
      <c r="I4" s="387"/>
      <c r="J4" s="387"/>
      <c r="K4" s="387"/>
    </row>
    <row r="5" spans="1:25" ht="12" customHeight="1">
      <c r="C5" s="146" t="str">
        <f>'T2 MET'!A5</f>
        <v>Met Office</v>
      </c>
      <c r="D5" s="387"/>
      <c r="E5" s="389"/>
      <c r="G5" s="389"/>
      <c r="H5" s="387"/>
      <c r="I5" s="387"/>
      <c r="J5" s="387"/>
      <c r="K5" s="387"/>
    </row>
    <row r="6" spans="1:25" ht="12" customHeight="1">
      <c r="C6" s="389"/>
      <c r="D6" s="389"/>
      <c r="E6" s="389"/>
      <c r="F6" s="389"/>
      <c r="G6" s="389"/>
      <c r="H6" s="389"/>
      <c r="I6" s="389"/>
      <c r="J6" s="389"/>
      <c r="K6" s="389"/>
    </row>
    <row r="7" spans="1:25" ht="12" customHeight="1">
      <c r="A7" s="454" t="s">
        <v>457</v>
      </c>
      <c r="C7" s="390" t="s">
        <v>458</v>
      </c>
      <c r="D7" s="391" t="s">
        <v>459</v>
      </c>
      <c r="E7" s="392">
        <v>2020</v>
      </c>
      <c r="F7" s="393">
        <v>2021</v>
      </c>
      <c r="G7" s="393">
        <v>2022</v>
      </c>
      <c r="H7" s="393">
        <v>2023</v>
      </c>
      <c r="I7" s="394">
        <v>2024</v>
      </c>
      <c r="J7" s="390" t="s">
        <v>460</v>
      </c>
      <c r="K7" s="387"/>
    </row>
    <row r="8" spans="1:25" ht="11.7" customHeight="1">
      <c r="C8" s="396"/>
      <c r="D8" s="396"/>
      <c r="E8" s="396"/>
      <c r="F8" s="396"/>
      <c r="G8" s="396"/>
      <c r="H8" s="396"/>
      <c r="I8" s="396"/>
      <c r="J8" s="396"/>
      <c r="K8" s="387"/>
    </row>
    <row r="9" spans="1:25" ht="12" customHeight="1">
      <c r="A9" s="454">
        <v>2018</v>
      </c>
      <c r="C9" s="397" t="s">
        <v>461</v>
      </c>
      <c r="D9" s="501">
        <v>-609.86563758111561</v>
      </c>
      <c r="E9" s="399">
        <v>-610</v>
      </c>
      <c r="F9" s="400"/>
      <c r="G9" s="401"/>
      <c r="H9" s="401"/>
      <c r="I9" s="475"/>
      <c r="J9" s="403"/>
      <c r="L9" s="385" t="s">
        <v>710</v>
      </c>
    </row>
    <row r="10" spans="1:25" ht="12" customHeight="1">
      <c r="A10" s="454">
        <v>2019</v>
      </c>
      <c r="C10" s="405" t="s">
        <v>462</v>
      </c>
      <c r="D10" s="476">
        <v>-658.94394173630394</v>
      </c>
      <c r="E10" s="407"/>
      <c r="F10" s="408">
        <f>D10</f>
        <v>-658.94394173630394</v>
      </c>
      <c r="G10" s="409"/>
      <c r="H10" s="409"/>
      <c r="I10" s="410"/>
      <c r="J10" s="411"/>
      <c r="L10" s="385" t="s">
        <v>711</v>
      </c>
    </row>
    <row r="11" spans="1:25" ht="12" customHeight="1">
      <c r="A11" s="454" t="s">
        <v>463</v>
      </c>
      <c r="C11" s="412" t="s">
        <v>464</v>
      </c>
      <c r="D11" s="413">
        <f>SUM(D9:D10)</f>
        <v>-1268.8095793174195</v>
      </c>
      <c r="E11" s="414">
        <f t="shared" ref="E11:F11" si="0">SUM(E9:E10)</f>
        <v>-610</v>
      </c>
      <c r="F11" s="415">
        <f t="shared" si="0"/>
        <v>-658.94394173630394</v>
      </c>
      <c r="G11" s="416"/>
      <c r="H11" s="416"/>
      <c r="I11" s="417"/>
      <c r="J11" s="418"/>
    </row>
    <row r="12" spans="1:25" ht="12" customHeight="1">
      <c r="A12" s="454">
        <v>2020</v>
      </c>
      <c r="C12" s="397" t="s">
        <v>465</v>
      </c>
      <c r="D12" s="398">
        <f>'T2 MET'!C19</f>
        <v>-336.8495792190696</v>
      </c>
      <c r="E12" s="419"/>
      <c r="F12" s="400"/>
      <c r="G12" s="420">
        <f>D12</f>
        <v>-336.8495792190696</v>
      </c>
      <c r="H12" s="401"/>
      <c r="I12" s="475"/>
      <c r="J12" s="403"/>
    </row>
    <row r="13" spans="1:25" ht="12" customHeight="1">
      <c r="A13" s="454">
        <v>2021</v>
      </c>
      <c r="C13" s="405" t="s">
        <v>466</v>
      </c>
      <c r="D13" s="406">
        <f>'T2 MET'!D19</f>
        <v>-153.07113773851486</v>
      </c>
      <c r="E13" s="407"/>
      <c r="F13" s="421"/>
      <c r="G13" s="409"/>
      <c r="H13" s="422">
        <f>D13</f>
        <v>-153.07113773851486</v>
      </c>
      <c r="I13" s="410"/>
      <c r="J13" s="411"/>
    </row>
    <row r="14" spans="1:25" ht="12" customHeight="1">
      <c r="A14" s="454">
        <v>2022</v>
      </c>
      <c r="C14" s="405" t="s">
        <v>467</v>
      </c>
      <c r="D14" s="406">
        <f>'T2 MET'!E19</f>
        <v>2030.2987230384365</v>
      </c>
      <c r="E14" s="407"/>
      <c r="F14" s="421"/>
      <c r="G14" s="409"/>
      <c r="H14" s="409"/>
      <c r="I14" s="529">
        <f>D14</f>
        <v>2030.2987230384365</v>
      </c>
      <c r="J14" s="411"/>
    </row>
    <row r="15" spans="1:25" ht="12" customHeight="1">
      <c r="A15" s="454">
        <v>2023</v>
      </c>
      <c r="C15" s="405" t="s">
        <v>470</v>
      </c>
      <c r="D15" s="406">
        <f>'T2 MET'!F19</f>
        <v>0</v>
      </c>
      <c r="E15" s="407"/>
      <c r="F15" s="421"/>
      <c r="G15" s="409"/>
      <c r="H15" s="409"/>
      <c r="I15" s="477"/>
      <c r="J15" s="424">
        <f>D15</f>
        <v>0</v>
      </c>
    </row>
    <row r="16" spans="1:25" ht="12" customHeight="1">
      <c r="A16" s="454">
        <v>2024</v>
      </c>
      <c r="C16" s="425" t="s">
        <v>471</v>
      </c>
      <c r="D16" s="406">
        <f>'T2 MET'!G19</f>
        <v>0</v>
      </c>
      <c r="E16" s="427"/>
      <c r="F16" s="428"/>
      <c r="G16" s="428"/>
      <c r="H16" s="428"/>
      <c r="I16" s="478"/>
      <c r="J16" s="429">
        <f>D16</f>
        <v>0</v>
      </c>
    </row>
    <row r="17" spans="1:10" ht="12" customHeight="1">
      <c r="A17" s="454" t="s">
        <v>475</v>
      </c>
      <c r="C17" s="430" t="s">
        <v>476</v>
      </c>
      <c r="D17" s="431">
        <f>SUM(D11:D16)</f>
        <v>271.56842676343263</v>
      </c>
      <c r="E17" s="479">
        <f t="shared" ref="E17:J17" si="1">SUM(E11:E16)</f>
        <v>-610</v>
      </c>
      <c r="F17" s="433">
        <f t="shared" si="1"/>
        <v>-658.94394173630394</v>
      </c>
      <c r="G17" s="433">
        <f t="shared" si="1"/>
        <v>-336.8495792190696</v>
      </c>
      <c r="H17" s="433">
        <f t="shared" si="1"/>
        <v>-153.07113773851486</v>
      </c>
      <c r="I17" s="480">
        <f t="shared" si="1"/>
        <v>2030.2987230384365</v>
      </c>
      <c r="J17" s="431">
        <f t="shared" si="1"/>
        <v>0</v>
      </c>
    </row>
    <row r="18" spans="1:10" ht="4.2" customHeight="1">
      <c r="A18" s="748"/>
      <c r="C18" s="481"/>
      <c r="D18" s="482"/>
      <c r="E18" s="483"/>
      <c r="F18" s="483"/>
      <c r="G18" s="483"/>
      <c r="H18" s="483"/>
      <c r="I18" s="483"/>
      <c r="J18" s="483"/>
    </row>
    <row r="19" spans="1:10" ht="12.6" customHeight="1">
      <c r="A19" s="454">
        <v>2017</v>
      </c>
      <c r="C19" s="397" t="s">
        <v>477</v>
      </c>
      <c r="D19" s="530"/>
      <c r="E19" s="505"/>
      <c r="F19" s="506"/>
      <c r="G19" s="506"/>
      <c r="H19" s="506"/>
      <c r="I19" s="531"/>
      <c r="J19" s="403"/>
    </row>
    <row r="20" spans="1:10" ht="12" customHeight="1">
      <c r="A20" s="454">
        <v>2018</v>
      </c>
      <c r="C20" s="405" t="s">
        <v>478</v>
      </c>
      <c r="D20" s="532"/>
      <c r="E20" s="507"/>
      <c r="F20" s="508"/>
      <c r="G20" s="508"/>
      <c r="H20" s="508"/>
      <c r="I20" s="509"/>
      <c r="J20" s="411"/>
    </row>
    <row r="21" spans="1:10" ht="12" customHeight="1">
      <c r="A21" s="454">
        <v>2019</v>
      </c>
      <c r="C21" s="425" t="s">
        <v>479</v>
      </c>
      <c r="D21" s="532"/>
      <c r="E21" s="456"/>
      <c r="F21" s="508"/>
      <c r="G21" s="508"/>
      <c r="H21" s="508"/>
      <c r="I21" s="509"/>
      <c r="J21" s="411"/>
    </row>
    <row r="22" spans="1:10" ht="12" customHeight="1">
      <c r="A22" s="454" t="s">
        <v>463</v>
      </c>
      <c r="C22" s="412" t="s">
        <v>480</v>
      </c>
      <c r="D22" s="418"/>
      <c r="E22" s="463"/>
      <c r="F22" s="416"/>
      <c r="G22" s="416"/>
      <c r="H22" s="416"/>
      <c r="I22" s="417"/>
      <c r="J22" s="418"/>
    </row>
    <row r="23" spans="1:10" ht="12" customHeight="1">
      <c r="A23" s="454">
        <v>2020</v>
      </c>
      <c r="C23" s="405" t="s">
        <v>481</v>
      </c>
      <c r="D23" s="403"/>
      <c r="E23" s="455"/>
      <c r="F23" s="401"/>
      <c r="G23" s="401"/>
      <c r="H23" s="401"/>
      <c r="I23" s="475"/>
      <c r="J23" s="403"/>
    </row>
    <row r="24" spans="1:10" ht="12" customHeight="1">
      <c r="A24" s="454">
        <v>2021</v>
      </c>
      <c r="C24" s="405" t="s">
        <v>482</v>
      </c>
      <c r="D24" s="411"/>
      <c r="E24" s="456"/>
      <c r="F24" s="409"/>
      <c r="G24" s="409"/>
      <c r="H24" s="409"/>
      <c r="I24" s="410"/>
      <c r="J24" s="411"/>
    </row>
    <row r="25" spans="1:10" ht="12" customHeight="1">
      <c r="A25" s="454">
        <v>2022</v>
      </c>
      <c r="C25" s="405" t="s">
        <v>483</v>
      </c>
      <c r="D25" s="411"/>
      <c r="E25" s="456"/>
      <c r="F25" s="409"/>
      <c r="G25" s="409"/>
      <c r="H25" s="409"/>
      <c r="I25" s="477"/>
      <c r="J25" s="411"/>
    </row>
    <row r="26" spans="1:10" ht="12" customHeight="1">
      <c r="A26" s="454">
        <v>2023</v>
      </c>
      <c r="C26" s="405" t="s">
        <v>485</v>
      </c>
      <c r="D26" s="411"/>
      <c r="E26" s="456"/>
      <c r="F26" s="409"/>
      <c r="G26" s="409"/>
      <c r="H26" s="409"/>
      <c r="I26" s="477"/>
      <c r="J26" s="411"/>
    </row>
    <row r="27" spans="1:10" ht="12" customHeight="1">
      <c r="A27" s="454">
        <v>2024</v>
      </c>
      <c r="C27" s="425" t="s">
        <v>486</v>
      </c>
      <c r="D27" s="411"/>
      <c r="E27" s="459"/>
      <c r="F27" s="460"/>
      <c r="G27" s="460"/>
      <c r="H27" s="460"/>
      <c r="I27" s="498"/>
      <c r="J27" s="467"/>
    </row>
    <row r="28" spans="1:10" ht="12" customHeight="1">
      <c r="A28" s="454" t="s">
        <v>475</v>
      </c>
      <c r="C28" s="525" t="s">
        <v>490</v>
      </c>
      <c r="D28" s="499"/>
      <c r="E28" s="533"/>
      <c r="F28" s="494"/>
      <c r="G28" s="494"/>
      <c r="H28" s="494"/>
      <c r="I28" s="534"/>
      <c r="J28" s="499"/>
    </row>
    <row r="29" spans="1:10" ht="4.2" customHeight="1">
      <c r="A29" s="748"/>
      <c r="C29" s="481"/>
      <c r="D29" s="481"/>
      <c r="E29" s="446"/>
      <c r="F29" s="446"/>
      <c r="G29" s="446"/>
      <c r="H29" s="446"/>
      <c r="I29" s="446"/>
      <c r="J29" s="446"/>
    </row>
    <row r="30" spans="1:10" ht="12" customHeight="1">
      <c r="A30" s="454">
        <v>2020</v>
      </c>
      <c r="C30" s="397" t="s">
        <v>491</v>
      </c>
      <c r="D30" s="442">
        <f>'T2 MET'!C22</f>
        <v>0</v>
      </c>
      <c r="E30" s="419"/>
      <c r="F30" s="400"/>
      <c r="G30" s="486">
        <f>D30</f>
        <v>0</v>
      </c>
      <c r="H30" s="401"/>
      <c r="I30" s="475"/>
      <c r="J30" s="398">
        <f t="shared" ref="J30:J32" si="2">D30-SUM(E30:I30)</f>
        <v>0</v>
      </c>
    </row>
    <row r="31" spans="1:10" ht="12" customHeight="1">
      <c r="A31" s="454">
        <v>2021</v>
      </c>
      <c r="C31" s="405" t="s">
        <v>492</v>
      </c>
      <c r="D31" s="443">
        <f>'T2 MET'!D22</f>
        <v>0</v>
      </c>
      <c r="E31" s="407"/>
      <c r="F31" s="421"/>
      <c r="G31" s="409"/>
      <c r="H31" s="490">
        <f>D31</f>
        <v>0</v>
      </c>
      <c r="I31" s="410"/>
      <c r="J31" s="406">
        <f t="shared" si="2"/>
        <v>0</v>
      </c>
    </row>
    <row r="32" spans="1:10" ht="12" customHeight="1">
      <c r="A32" s="454">
        <v>2022</v>
      </c>
      <c r="C32" s="405" t="s">
        <v>493</v>
      </c>
      <c r="D32" s="443">
        <f>'T2 MET'!E22</f>
        <v>0</v>
      </c>
      <c r="E32" s="407"/>
      <c r="F32" s="421"/>
      <c r="G32" s="409"/>
      <c r="H32" s="409"/>
      <c r="I32" s="492">
        <f>D32</f>
        <v>0</v>
      </c>
      <c r="J32" s="406">
        <f t="shared" si="2"/>
        <v>0</v>
      </c>
    </row>
    <row r="33" spans="1:12" ht="12" customHeight="1">
      <c r="A33" s="454">
        <v>2023</v>
      </c>
      <c r="C33" s="405" t="s">
        <v>495</v>
      </c>
      <c r="D33" s="443">
        <f>'T2 MET'!F22</f>
        <v>0</v>
      </c>
      <c r="E33" s="407"/>
      <c r="F33" s="421"/>
      <c r="G33" s="409"/>
      <c r="H33" s="409"/>
      <c r="I33" s="477"/>
      <c r="J33" s="406">
        <f>D33</f>
        <v>0</v>
      </c>
    </row>
    <row r="34" spans="1:12" ht="12" customHeight="1">
      <c r="A34" s="454">
        <v>2024</v>
      </c>
      <c r="C34" s="425" t="s">
        <v>496</v>
      </c>
      <c r="D34" s="444">
        <f>'T2 MET'!G22</f>
        <v>0</v>
      </c>
      <c r="E34" s="427"/>
      <c r="F34" s="428"/>
      <c r="G34" s="428"/>
      <c r="H34" s="428"/>
      <c r="I34" s="478"/>
      <c r="J34" s="429">
        <f>D34</f>
        <v>0</v>
      </c>
    </row>
    <row r="35" spans="1:12" ht="12" customHeight="1">
      <c r="A35" s="454" t="s">
        <v>475</v>
      </c>
      <c r="C35" s="430" t="s">
        <v>500</v>
      </c>
      <c r="D35" s="431">
        <f>SUM(D30:D34)</f>
        <v>0</v>
      </c>
      <c r="E35" s="493"/>
      <c r="F35" s="494"/>
      <c r="G35" s="433">
        <f t="shared" ref="G35:J35" si="3">SUM(G30:G34)</f>
        <v>0</v>
      </c>
      <c r="H35" s="433">
        <f t="shared" si="3"/>
        <v>0</v>
      </c>
      <c r="I35" s="480">
        <f t="shared" si="3"/>
        <v>0</v>
      </c>
      <c r="J35" s="431">
        <f t="shared" si="3"/>
        <v>0</v>
      </c>
    </row>
    <row r="36" spans="1:12" ht="4.2" customHeight="1">
      <c r="A36" s="748"/>
      <c r="C36" s="481"/>
      <c r="D36" s="481"/>
      <c r="E36" s="446"/>
      <c r="F36" s="446"/>
      <c r="G36" s="446"/>
      <c r="H36" s="446"/>
      <c r="I36" s="446"/>
      <c r="J36" s="446"/>
    </row>
    <row r="37" spans="1:12" ht="12" customHeight="1">
      <c r="A37" s="454">
        <v>2020</v>
      </c>
      <c r="C37" s="397" t="s">
        <v>501</v>
      </c>
      <c r="D37" s="495"/>
      <c r="E37" s="419"/>
      <c r="F37" s="400"/>
      <c r="G37" s="401"/>
      <c r="H37" s="401"/>
      <c r="I37" s="475"/>
      <c r="J37" s="403"/>
    </row>
    <row r="38" spans="1:12" ht="12" customHeight="1">
      <c r="A38" s="454">
        <v>2021</v>
      </c>
      <c r="C38" s="405" t="s">
        <v>502</v>
      </c>
      <c r="D38" s="496"/>
      <c r="E38" s="407"/>
      <c r="F38" s="421"/>
      <c r="G38" s="409"/>
      <c r="H38" s="409"/>
      <c r="I38" s="410"/>
      <c r="J38" s="411"/>
    </row>
    <row r="39" spans="1:12" ht="12" customHeight="1">
      <c r="A39" s="454">
        <v>2022</v>
      </c>
      <c r="C39" s="405" t="s">
        <v>503</v>
      </c>
      <c r="D39" s="496"/>
      <c r="E39" s="407"/>
      <c r="F39" s="421"/>
      <c r="G39" s="409"/>
      <c r="H39" s="409"/>
      <c r="I39" s="477"/>
      <c r="J39" s="411"/>
    </row>
    <row r="40" spans="1:12" ht="12" customHeight="1">
      <c r="A40" s="454">
        <v>2023</v>
      </c>
      <c r="C40" s="405" t="s">
        <v>505</v>
      </c>
      <c r="D40" s="496"/>
      <c r="E40" s="407"/>
      <c r="F40" s="421"/>
      <c r="G40" s="409"/>
      <c r="H40" s="409"/>
      <c r="I40" s="477"/>
      <c r="J40" s="411"/>
      <c r="L40" s="221"/>
    </row>
    <row r="41" spans="1:12" ht="12" customHeight="1">
      <c r="A41" s="454">
        <v>2024</v>
      </c>
      <c r="C41" s="425" t="s">
        <v>506</v>
      </c>
      <c r="D41" s="497"/>
      <c r="E41" s="427"/>
      <c r="F41" s="428"/>
      <c r="G41" s="460"/>
      <c r="H41" s="460"/>
      <c r="I41" s="498"/>
      <c r="J41" s="467"/>
    </row>
    <row r="42" spans="1:12" ht="12" customHeight="1">
      <c r="A42" s="454" t="s">
        <v>475</v>
      </c>
      <c r="C42" s="525" t="s">
        <v>715</v>
      </c>
      <c r="D42" s="499"/>
      <c r="E42" s="533"/>
      <c r="F42" s="494"/>
      <c r="G42" s="494"/>
      <c r="H42" s="494"/>
      <c r="I42" s="534"/>
      <c r="J42" s="499"/>
    </row>
    <row r="43" spans="1:12" ht="4.95" customHeight="1">
      <c r="A43" s="748"/>
      <c r="C43" s="481"/>
      <c r="D43" s="481"/>
      <c r="E43" s="446"/>
      <c r="F43" s="446"/>
      <c r="G43" s="446"/>
      <c r="H43" s="446"/>
      <c r="I43" s="446"/>
      <c r="J43" s="446"/>
    </row>
    <row r="44" spans="1:12" ht="12" customHeight="1">
      <c r="A44" s="454">
        <v>2020</v>
      </c>
      <c r="C44" s="397" t="s">
        <v>511</v>
      </c>
      <c r="D44" s="495"/>
      <c r="E44" s="419"/>
      <c r="F44" s="400"/>
      <c r="G44" s="401"/>
      <c r="H44" s="401"/>
      <c r="I44" s="475"/>
      <c r="J44" s="403"/>
    </row>
    <row r="45" spans="1:12" ht="12" customHeight="1">
      <c r="A45" s="454">
        <v>2021</v>
      </c>
      <c r="C45" s="405" t="s">
        <v>512</v>
      </c>
      <c r="D45" s="496"/>
      <c r="E45" s="407"/>
      <c r="F45" s="421"/>
      <c r="G45" s="409"/>
      <c r="H45" s="409"/>
      <c r="I45" s="410"/>
      <c r="J45" s="411"/>
      <c r="L45" s="309"/>
    </row>
    <row r="46" spans="1:12" ht="12" customHeight="1">
      <c r="A46" s="454">
        <v>2022</v>
      </c>
      <c r="C46" s="405" t="s">
        <v>513</v>
      </c>
      <c r="D46" s="496"/>
      <c r="E46" s="407"/>
      <c r="F46" s="421"/>
      <c r="G46" s="409"/>
      <c r="H46" s="409"/>
      <c r="I46" s="477"/>
      <c r="J46" s="411"/>
    </row>
    <row r="47" spans="1:12" ht="12" customHeight="1">
      <c r="A47" s="454">
        <v>2023</v>
      </c>
      <c r="C47" s="405" t="s">
        <v>515</v>
      </c>
      <c r="D47" s="496"/>
      <c r="E47" s="407"/>
      <c r="F47" s="421"/>
      <c r="G47" s="409"/>
      <c r="H47" s="409"/>
      <c r="I47" s="477"/>
      <c r="J47" s="411"/>
    </row>
    <row r="48" spans="1:12" ht="12" customHeight="1">
      <c r="A48" s="454">
        <v>2024</v>
      </c>
      <c r="C48" s="425" t="s">
        <v>516</v>
      </c>
      <c r="D48" s="497"/>
      <c r="E48" s="427"/>
      <c r="F48" s="428"/>
      <c r="G48" s="460"/>
      <c r="H48" s="460"/>
      <c r="I48" s="498"/>
      <c r="J48" s="467"/>
    </row>
    <row r="49" spans="1:10" ht="12" customHeight="1">
      <c r="A49" s="454" t="s">
        <v>475</v>
      </c>
      <c r="C49" s="525" t="s">
        <v>716</v>
      </c>
      <c r="D49" s="499"/>
      <c r="E49" s="533"/>
      <c r="F49" s="494"/>
      <c r="G49" s="494"/>
      <c r="H49" s="494"/>
      <c r="I49" s="534"/>
      <c r="J49" s="499"/>
    </row>
    <row r="50" spans="1:10" ht="4.95" customHeight="1">
      <c r="A50" s="748"/>
      <c r="C50" s="481"/>
      <c r="D50" s="481"/>
      <c r="E50" s="446"/>
      <c r="F50" s="446"/>
      <c r="G50" s="446"/>
      <c r="H50" s="446"/>
      <c r="I50" s="446"/>
      <c r="J50" s="446"/>
    </row>
    <row r="51" spans="1:10" ht="12" customHeight="1">
      <c r="A51" s="454">
        <v>2020</v>
      </c>
      <c r="C51" s="397" t="s">
        <v>521</v>
      </c>
      <c r="D51" s="442">
        <f>'T2 MET'!C25</f>
        <v>0</v>
      </c>
      <c r="E51" s="419"/>
      <c r="F51" s="400"/>
      <c r="G51" s="486">
        <f>D51</f>
        <v>0</v>
      </c>
      <c r="H51" s="401"/>
      <c r="I51" s="475"/>
      <c r="J51" s="398">
        <f t="shared" ref="J51:J53" si="4">D51-SUM(E51:I51)</f>
        <v>0</v>
      </c>
    </row>
    <row r="52" spans="1:10" ht="12" customHeight="1">
      <c r="A52" s="454">
        <v>2021</v>
      </c>
      <c r="C52" s="405" t="s">
        <v>522</v>
      </c>
      <c r="D52" s="443">
        <f>'T2 MET'!D25</f>
        <v>0</v>
      </c>
      <c r="E52" s="407"/>
      <c r="F52" s="421"/>
      <c r="G52" s="409"/>
      <c r="H52" s="490">
        <f>D52</f>
        <v>0</v>
      </c>
      <c r="I52" s="410"/>
      <c r="J52" s="406">
        <f t="shared" si="4"/>
        <v>0</v>
      </c>
    </row>
    <row r="53" spans="1:10" ht="12" customHeight="1">
      <c r="A53" s="454">
        <v>2022</v>
      </c>
      <c r="C53" s="405" t="s">
        <v>523</v>
      </c>
      <c r="D53" s="443">
        <f>'T2 MET'!E25</f>
        <v>0</v>
      </c>
      <c r="E53" s="407"/>
      <c r="F53" s="421"/>
      <c r="G53" s="409"/>
      <c r="H53" s="409"/>
      <c r="I53" s="492">
        <f>D53</f>
        <v>0</v>
      </c>
      <c r="J53" s="406">
        <f t="shared" si="4"/>
        <v>0</v>
      </c>
    </row>
    <row r="54" spans="1:10" ht="12" customHeight="1">
      <c r="A54" s="454">
        <v>2023</v>
      </c>
      <c r="C54" s="405" t="s">
        <v>525</v>
      </c>
      <c r="D54" s="443">
        <f>'T2 MET'!F25</f>
        <v>0</v>
      </c>
      <c r="E54" s="407"/>
      <c r="F54" s="421"/>
      <c r="G54" s="409"/>
      <c r="H54" s="409"/>
      <c r="I54" s="477"/>
      <c r="J54" s="406">
        <f>D54</f>
        <v>0</v>
      </c>
    </row>
    <row r="55" spans="1:10" ht="12" customHeight="1">
      <c r="A55" s="454">
        <v>2024</v>
      </c>
      <c r="C55" s="425" t="s">
        <v>526</v>
      </c>
      <c r="D55" s="444">
        <f>'T2 MET'!G25</f>
        <v>0</v>
      </c>
      <c r="E55" s="427"/>
      <c r="F55" s="428"/>
      <c r="G55" s="428"/>
      <c r="H55" s="428"/>
      <c r="I55" s="478"/>
      <c r="J55" s="426">
        <f>D55</f>
        <v>0</v>
      </c>
    </row>
    <row r="56" spans="1:10" ht="12" customHeight="1">
      <c r="A56" s="454" t="s">
        <v>475</v>
      </c>
      <c r="C56" s="430" t="s">
        <v>530</v>
      </c>
      <c r="D56" s="431">
        <f t="shared" ref="D56:J56" si="5">SUM(D51:D55)</f>
        <v>0</v>
      </c>
      <c r="E56" s="493"/>
      <c r="F56" s="494"/>
      <c r="G56" s="433">
        <f t="shared" si="5"/>
        <v>0</v>
      </c>
      <c r="H56" s="433">
        <f t="shared" si="5"/>
        <v>0</v>
      </c>
      <c r="I56" s="480">
        <f t="shared" si="5"/>
        <v>0</v>
      </c>
      <c r="J56" s="431">
        <f t="shared" si="5"/>
        <v>0</v>
      </c>
    </row>
    <row r="57" spans="1:10" ht="3.6" customHeight="1">
      <c r="A57" s="748"/>
      <c r="C57" s="481"/>
      <c r="D57" s="481"/>
      <c r="E57" s="446"/>
      <c r="F57" s="446"/>
      <c r="G57" s="446"/>
      <c r="H57" s="446"/>
      <c r="I57" s="446"/>
      <c r="J57" s="446"/>
    </row>
    <row r="58" spans="1:10" ht="12" customHeight="1">
      <c r="A58" s="454">
        <v>2020</v>
      </c>
      <c r="C58" s="397" t="s">
        <v>531</v>
      </c>
      <c r="D58" s="442">
        <f>'T2 MET'!C26</f>
        <v>0</v>
      </c>
      <c r="E58" s="419"/>
      <c r="F58" s="400"/>
      <c r="G58" s="486">
        <f>D58</f>
        <v>0</v>
      </c>
      <c r="H58" s="401"/>
      <c r="I58" s="475"/>
      <c r="J58" s="398">
        <f t="shared" ref="J58:J60" si="6">D58-SUM(E58:I58)</f>
        <v>0</v>
      </c>
    </row>
    <row r="59" spans="1:10" ht="12" customHeight="1">
      <c r="A59" s="454">
        <v>2021</v>
      </c>
      <c r="C59" s="405" t="s">
        <v>532</v>
      </c>
      <c r="D59" s="443">
        <f>'T2 MET'!D26</f>
        <v>0</v>
      </c>
      <c r="E59" s="407"/>
      <c r="F59" s="421"/>
      <c r="G59" s="409"/>
      <c r="H59" s="490">
        <f>D59</f>
        <v>0</v>
      </c>
      <c r="I59" s="410"/>
      <c r="J59" s="406">
        <f t="shared" si="6"/>
        <v>0</v>
      </c>
    </row>
    <row r="60" spans="1:10" ht="12" customHeight="1">
      <c r="A60" s="454">
        <v>2022</v>
      </c>
      <c r="C60" s="405" t="s">
        <v>533</v>
      </c>
      <c r="D60" s="443">
        <f>'T2 MET'!E26</f>
        <v>0</v>
      </c>
      <c r="E60" s="407"/>
      <c r="F60" s="421"/>
      <c r="G60" s="409"/>
      <c r="H60" s="409"/>
      <c r="I60" s="492">
        <f>D60</f>
        <v>0</v>
      </c>
      <c r="J60" s="406">
        <f t="shared" si="6"/>
        <v>0</v>
      </c>
    </row>
    <row r="61" spans="1:10" ht="12" customHeight="1">
      <c r="A61" s="454">
        <v>2023</v>
      </c>
      <c r="C61" s="405" t="s">
        <v>535</v>
      </c>
      <c r="D61" s="443">
        <f>'T2 MET'!F26</f>
        <v>0</v>
      </c>
      <c r="E61" s="407"/>
      <c r="F61" s="421"/>
      <c r="G61" s="409"/>
      <c r="H61" s="409"/>
      <c r="I61" s="477"/>
      <c r="J61" s="406">
        <f>D61</f>
        <v>0</v>
      </c>
    </row>
    <row r="62" spans="1:10" ht="12" customHeight="1">
      <c r="A62" s="454">
        <v>2024</v>
      </c>
      <c r="C62" s="425" t="s">
        <v>536</v>
      </c>
      <c r="D62" s="444">
        <f>'T2 MET'!G26</f>
        <v>0</v>
      </c>
      <c r="E62" s="427"/>
      <c r="F62" s="428"/>
      <c r="G62" s="428"/>
      <c r="H62" s="428"/>
      <c r="I62" s="478"/>
      <c r="J62" s="426">
        <f>D62</f>
        <v>0</v>
      </c>
    </row>
    <row r="63" spans="1:10" ht="12" customHeight="1">
      <c r="A63" s="454" t="s">
        <v>475</v>
      </c>
      <c r="C63" s="430" t="s">
        <v>540</v>
      </c>
      <c r="D63" s="431">
        <f t="shared" ref="D63:J63" si="7">SUM(D58:D62)</f>
        <v>0</v>
      </c>
      <c r="E63" s="493"/>
      <c r="F63" s="494"/>
      <c r="G63" s="433">
        <f t="shared" si="7"/>
        <v>0</v>
      </c>
      <c r="H63" s="433">
        <f t="shared" si="7"/>
        <v>0</v>
      </c>
      <c r="I63" s="480">
        <f t="shared" si="7"/>
        <v>0</v>
      </c>
      <c r="J63" s="431">
        <f t="shared" si="7"/>
        <v>0</v>
      </c>
    </row>
    <row r="64" spans="1:10" ht="3.6" customHeight="1">
      <c r="A64" s="748"/>
      <c r="C64" s="481"/>
      <c r="D64" s="481"/>
      <c r="E64" s="446"/>
      <c r="F64" s="446"/>
      <c r="G64" s="446"/>
      <c r="H64" s="446"/>
      <c r="I64" s="446"/>
      <c r="J64" s="446"/>
    </row>
    <row r="65" spans="1:10" ht="12" customHeight="1">
      <c r="A65" s="454">
        <v>2020</v>
      </c>
      <c r="C65" s="397" t="s">
        <v>541</v>
      </c>
      <c r="D65" s="442">
        <f>'T2 MET'!C27</f>
        <v>0</v>
      </c>
      <c r="E65" s="419"/>
      <c r="F65" s="400"/>
      <c r="G65" s="486">
        <f>+D65</f>
        <v>0</v>
      </c>
      <c r="H65" s="401"/>
      <c r="I65" s="475"/>
      <c r="J65" s="398">
        <f t="shared" ref="J65:J67" si="8">D65-SUM(E65:I65)</f>
        <v>0</v>
      </c>
    </row>
    <row r="66" spans="1:10" ht="12" customHeight="1">
      <c r="A66" s="454">
        <v>2021</v>
      </c>
      <c r="C66" s="405" t="s">
        <v>542</v>
      </c>
      <c r="D66" s="443">
        <f>'T2 MET'!D27</f>
        <v>0</v>
      </c>
      <c r="E66" s="407"/>
      <c r="F66" s="421"/>
      <c r="G66" s="409"/>
      <c r="H66" s="490">
        <f>+D66</f>
        <v>0</v>
      </c>
      <c r="I66" s="410"/>
      <c r="J66" s="406">
        <f t="shared" si="8"/>
        <v>0</v>
      </c>
    </row>
    <row r="67" spans="1:10" ht="12" customHeight="1">
      <c r="A67" s="454">
        <v>2022</v>
      </c>
      <c r="C67" s="405" t="s">
        <v>543</v>
      </c>
      <c r="D67" s="443">
        <f>'T2 MET'!E27</f>
        <v>0</v>
      </c>
      <c r="E67" s="407"/>
      <c r="F67" s="421"/>
      <c r="G67" s="409"/>
      <c r="H67" s="409"/>
      <c r="I67" s="492">
        <f>+D67</f>
        <v>0</v>
      </c>
      <c r="J67" s="406">
        <f t="shared" si="8"/>
        <v>0</v>
      </c>
    </row>
    <row r="68" spans="1:10" ht="12" customHeight="1">
      <c r="A68" s="454">
        <v>2023</v>
      </c>
      <c r="C68" s="405" t="s">
        <v>544</v>
      </c>
      <c r="D68" s="443">
        <f>'T2 MET'!F27</f>
        <v>0</v>
      </c>
      <c r="E68" s="407"/>
      <c r="F68" s="421"/>
      <c r="G68" s="409"/>
      <c r="H68" s="409"/>
      <c r="I68" s="477"/>
      <c r="J68" s="406">
        <f>D68</f>
        <v>0</v>
      </c>
    </row>
    <row r="69" spans="1:10" ht="12" customHeight="1">
      <c r="A69" s="454">
        <v>2024</v>
      </c>
      <c r="C69" s="425" t="s">
        <v>545</v>
      </c>
      <c r="D69" s="444">
        <f>'T2 MET'!G27</f>
        <v>0</v>
      </c>
      <c r="E69" s="427"/>
      <c r="F69" s="428"/>
      <c r="G69" s="428"/>
      <c r="H69" s="428"/>
      <c r="I69" s="478"/>
      <c r="J69" s="426">
        <f>D69</f>
        <v>0</v>
      </c>
    </row>
    <row r="70" spans="1:10" ht="12" customHeight="1">
      <c r="A70" s="454" t="s">
        <v>475</v>
      </c>
      <c r="C70" s="430" t="s">
        <v>549</v>
      </c>
      <c r="D70" s="431">
        <f t="shared" ref="D70:J70" si="9">SUM(D65:D69)</f>
        <v>0</v>
      </c>
      <c r="E70" s="493"/>
      <c r="F70" s="494"/>
      <c r="G70" s="433">
        <f t="shared" si="9"/>
        <v>0</v>
      </c>
      <c r="H70" s="433">
        <f t="shared" si="9"/>
        <v>0</v>
      </c>
      <c r="I70" s="480">
        <f t="shared" si="9"/>
        <v>0</v>
      </c>
      <c r="J70" s="431">
        <f t="shared" si="9"/>
        <v>0</v>
      </c>
    </row>
    <row r="71" spans="1:10" ht="3.6" customHeight="1">
      <c r="A71" s="748"/>
      <c r="C71" s="481"/>
      <c r="D71" s="481"/>
      <c r="E71" s="446"/>
      <c r="F71" s="446"/>
      <c r="G71" s="446"/>
      <c r="H71" s="446"/>
      <c r="I71" s="446"/>
      <c r="J71" s="446"/>
    </row>
    <row r="72" spans="1:10" ht="12" customHeight="1">
      <c r="A72" s="454">
        <v>2017</v>
      </c>
      <c r="C72" s="435" t="s">
        <v>550</v>
      </c>
      <c r="D72" s="501">
        <v>0</v>
      </c>
      <c r="E72" s="485">
        <v>0</v>
      </c>
      <c r="F72" s="486">
        <v>0</v>
      </c>
      <c r="G72" s="486">
        <f>+D72</f>
        <v>0</v>
      </c>
      <c r="H72" s="486">
        <v>0</v>
      </c>
      <c r="I72" s="487">
        <v>0</v>
      </c>
      <c r="J72" s="398">
        <f t="shared" ref="J72:J74" si="10">D72-SUM(E72:I72)</f>
        <v>0</v>
      </c>
    </row>
    <row r="73" spans="1:10" ht="12" customHeight="1">
      <c r="A73" s="454">
        <v>2018</v>
      </c>
      <c r="C73" s="438" t="s">
        <v>551</v>
      </c>
      <c r="D73" s="502">
        <v>0</v>
      </c>
      <c r="E73" s="489">
        <f>+D73</f>
        <v>0</v>
      </c>
      <c r="F73" s="490">
        <v>0</v>
      </c>
      <c r="G73" s="490">
        <v>0</v>
      </c>
      <c r="H73" s="490">
        <v>0</v>
      </c>
      <c r="I73" s="491">
        <v>0</v>
      </c>
      <c r="J73" s="406">
        <f t="shared" si="10"/>
        <v>0</v>
      </c>
    </row>
    <row r="74" spans="1:10" ht="12" customHeight="1">
      <c r="A74" s="454">
        <v>2019</v>
      </c>
      <c r="C74" s="438" t="s">
        <v>717</v>
      </c>
      <c r="D74" s="502"/>
      <c r="E74" s="503"/>
      <c r="F74" s="490">
        <v>0</v>
      </c>
      <c r="G74" s="490">
        <v>0</v>
      </c>
      <c r="H74" s="490">
        <v>0</v>
      </c>
      <c r="I74" s="491">
        <v>0</v>
      </c>
      <c r="J74" s="406">
        <f t="shared" si="10"/>
        <v>0</v>
      </c>
    </row>
    <row r="75" spans="1:10" ht="12" customHeight="1">
      <c r="A75" s="454" t="s">
        <v>475</v>
      </c>
      <c r="C75" s="430" t="s">
        <v>557</v>
      </c>
      <c r="D75" s="431">
        <f>SUM(D72:D74)</f>
        <v>0</v>
      </c>
      <c r="E75" s="479">
        <f t="shared" ref="E75:J75" si="11">SUM(E72:E74)</f>
        <v>0</v>
      </c>
      <c r="F75" s="433">
        <f t="shared" si="11"/>
        <v>0</v>
      </c>
      <c r="G75" s="433">
        <f t="shared" si="11"/>
        <v>0</v>
      </c>
      <c r="H75" s="433">
        <f t="shared" si="11"/>
        <v>0</v>
      </c>
      <c r="I75" s="480">
        <f t="shared" si="11"/>
        <v>0</v>
      </c>
      <c r="J75" s="431">
        <f t="shared" si="11"/>
        <v>0</v>
      </c>
    </row>
    <row r="76" spans="1:10" ht="3.6" customHeight="1">
      <c r="A76" s="748"/>
      <c r="C76" s="481"/>
      <c r="D76" s="481"/>
      <c r="E76" s="446"/>
      <c r="F76" s="446"/>
      <c r="G76" s="446"/>
      <c r="H76" s="446"/>
      <c r="I76" s="446"/>
      <c r="J76" s="446"/>
    </row>
    <row r="77" spans="1:10" ht="12" customHeight="1">
      <c r="A77" s="454">
        <v>2017</v>
      </c>
      <c r="C77" s="435" t="s">
        <v>558</v>
      </c>
      <c r="D77" s="535"/>
      <c r="E77" s="505"/>
      <c r="F77" s="506"/>
      <c r="G77" s="506"/>
      <c r="H77" s="506"/>
      <c r="I77" s="531"/>
      <c r="J77" s="403"/>
    </row>
    <row r="78" spans="1:10" ht="12" customHeight="1">
      <c r="A78" s="454">
        <v>2018</v>
      </c>
      <c r="C78" s="438" t="s">
        <v>559</v>
      </c>
      <c r="D78" s="536"/>
      <c r="E78" s="456"/>
      <c r="F78" s="409"/>
      <c r="G78" s="409"/>
      <c r="H78" s="409"/>
      <c r="I78" s="477"/>
      <c r="J78" s="411"/>
    </row>
    <row r="79" spans="1:10" ht="12" customHeight="1">
      <c r="A79" s="454">
        <v>2019</v>
      </c>
      <c r="C79" s="438" t="s">
        <v>560</v>
      </c>
      <c r="D79" s="536"/>
      <c r="E79" s="456"/>
      <c r="F79" s="409"/>
      <c r="G79" s="409"/>
      <c r="H79" s="409"/>
      <c r="I79" s="410"/>
      <c r="J79" s="411"/>
    </row>
    <row r="80" spans="1:10" ht="12" customHeight="1">
      <c r="A80" s="454" t="s">
        <v>463</v>
      </c>
      <c r="C80" s="412" t="s">
        <v>561</v>
      </c>
      <c r="D80" s="418"/>
      <c r="E80" s="463"/>
      <c r="F80" s="416"/>
      <c r="G80" s="416"/>
      <c r="H80" s="416"/>
      <c r="I80" s="417"/>
      <c r="J80" s="418"/>
    </row>
    <row r="81" spans="1:10" ht="12" customHeight="1">
      <c r="A81" s="454">
        <v>2020</v>
      </c>
      <c r="C81" s="397" t="s">
        <v>562</v>
      </c>
      <c r="D81" s="540"/>
      <c r="E81" s="455"/>
      <c r="F81" s="401"/>
      <c r="G81" s="401"/>
      <c r="H81" s="401"/>
      <c r="I81" s="475"/>
      <c r="J81" s="403"/>
    </row>
    <row r="82" spans="1:10" ht="12" customHeight="1">
      <c r="A82" s="454">
        <v>2021</v>
      </c>
      <c r="C82" s="405" t="s">
        <v>563</v>
      </c>
      <c r="D82" s="541"/>
      <c r="E82" s="456"/>
      <c r="F82" s="409"/>
      <c r="G82" s="409"/>
      <c r="H82" s="409"/>
      <c r="I82" s="410"/>
      <c r="J82" s="411"/>
    </row>
    <row r="83" spans="1:10" ht="12" customHeight="1">
      <c r="A83" s="454">
        <v>2022</v>
      </c>
      <c r="C83" s="405" t="s">
        <v>564</v>
      </c>
      <c r="D83" s="541"/>
      <c r="E83" s="456"/>
      <c r="F83" s="409"/>
      <c r="G83" s="409"/>
      <c r="H83" s="409"/>
      <c r="I83" s="410"/>
      <c r="J83" s="411"/>
    </row>
    <row r="84" spans="1:10" ht="12" customHeight="1">
      <c r="A84" s="454">
        <v>2023</v>
      </c>
      <c r="C84" s="405" t="s">
        <v>566</v>
      </c>
      <c r="D84" s="541"/>
      <c r="E84" s="456"/>
      <c r="F84" s="409"/>
      <c r="G84" s="409"/>
      <c r="H84" s="409"/>
      <c r="I84" s="477"/>
      <c r="J84" s="411"/>
    </row>
    <row r="85" spans="1:10" ht="12" customHeight="1">
      <c r="A85" s="454">
        <v>2024</v>
      </c>
      <c r="C85" s="425" t="s">
        <v>567</v>
      </c>
      <c r="D85" s="542"/>
      <c r="E85" s="459"/>
      <c r="F85" s="460"/>
      <c r="G85" s="460"/>
      <c r="H85" s="460"/>
      <c r="I85" s="498"/>
      <c r="J85" s="467"/>
    </row>
    <row r="86" spans="1:10" ht="12" customHeight="1">
      <c r="A86" s="454" t="s">
        <v>475</v>
      </c>
      <c r="C86" s="430" t="s">
        <v>571</v>
      </c>
      <c r="D86" s="499"/>
      <c r="E86" s="493"/>
      <c r="F86" s="494"/>
      <c r="G86" s="494"/>
      <c r="H86" s="494"/>
      <c r="I86" s="500"/>
      <c r="J86" s="499"/>
    </row>
    <row r="87" spans="1:10" ht="4.2" customHeight="1">
      <c r="A87" s="748"/>
      <c r="C87" s="481"/>
      <c r="D87" s="481"/>
      <c r="E87" s="481"/>
      <c r="F87" s="481"/>
      <c r="G87" s="481"/>
      <c r="H87" s="481"/>
      <c r="I87" s="504"/>
      <c r="J87" s="481"/>
    </row>
    <row r="88" spans="1:10" ht="12" customHeight="1">
      <c r="A88" s="454">
        <v>2017</v>
      </c>
      <c r="C88" s="397" t="s">
        <v>572</v>
      </c>
      <c r="D88" s="474">
        <v>0</v>
      </c>
      <c r="E88" s="485">
        <v>0</v>
      </c>
      <c r="F88" s="486">
        <v>0</v>
      </c>
      <c r="G88" s="486">
        <v>0</v>
      </c>
      <c r="H88" s="486">
        <v>0</v>
      </c>
      <c r="I88" s="487">
        <v>0</v>
      </c>
      <c r="J88" s="403"/>
    </row>
    <row r="89" spans="1:10" ht="12" customHeight="1">
      <c r="A89" s="454">
        <v>2018</v>
      </c>
      <c r="C89" s="405" t="s">
        <v>573</v>
      </c>
      <c r="D89" s="476">
        <v>0</v>
      </c>
      <c r="E89" s="489">
        <v>0</v>
      </c>
      <c r="F89" s="490">
        <v>0</v>
      </c>
      <c r="G89" s="490">
        <v>0</v>
      </c>
      <c r="H89" s="490">
        <v>0</v>
      </c>
      <c r="I89" s="491">
        <v>0</v>
      </c>
      <c r="J89" s="411"/>
    </row>
    <row r="90" spans="1:10" ht="12" customHeight="1">
      <c r="A90" s="454">
        <v>2019</v>
      </c>
      <c r="C90" s="405" t="s">
        <v>574</v>
      </c>
      <c r="D90" s="476"/>
      <c r="E90" s="503"/>
      <c r="F90" s="490">
        <v>0</v>
      </c>
      <c r="G90" s="490">
        <v>0</v>
      </c>
      <c r="H90" s="490">
        <v>0</v>
      </c>
      <c r="I90" s="491">
        <v>0</v>
      </c>
      <c r="J90" s="411"/>
    </row>
    <row r="91" spans="1:10" ht="11.7" customHeight="1">
      <c r="A91" s="454" t="s">
        <v>463</v>
      </c>
      <c r="C91" s="412" t="s">
        <v>575</v>
      </c>
      <c r="D91" s="415">
        <f>SUM(D88:D90)</f>
        <v>0</v>
      </c>
      <c r="E91" s="415">
        <f t="shared" ref="E91:I91" si="12">SUM(E88:E90)</f>
        <v>0</v>
      </c>
      <c r="F91" s="415">
        <f t="shared" si="12"/>
        <v>0</v>
      </c>
      <c r="G91" s="415">
        <f t="shared" si="12"/>
        <v>0</v>
      </c>
      <c r="H91" s="415">
        <f t="shared" si="12"/>
        <v>0</v>
      </c>
      <c r="I91" s="450">
        <f t="shared" si="12"/>
        <v>0</v>
      </c>
      <c r="J91" s="418"/>
    </row>
    <row r="92" spans="1:10" ht="12" customHeight="1">
      <c r="A92" s="454">
        <v>2020</v>
      </c>
      <c r="C92" s="397" t="s">
        <v>576</v>
      </c>
      <c r="D92" s="451">
        <f>'T2 MET'!C59</f>
        <v>0</v>
      </c>
      <c r="E92" s="419"/>
      <c r="F92" s="400"/>
      <c r="G92" s="420">
        <f>+D92</f>
        <v>0</v>
      </c>
      <c r="H92" s="401"/>
      <c r="I92" s="475"/>
      <c r="J92" s="403"/>
    </row>
    <row r="93" spans="1:10" ht="12" customHeight="1">
      <c r="A93" s="454">
        <v>2021</v>
      </c>
      <c r="C93" s="405" t="s">
        <v>577</v>
      </c>
      <c r="D93" s="452">
        <f>'T2 MET'!D59</f>
        <v>0</v>
      </c>
      <c r="E93" s="407"/>
      <c r="F93" s="421"/>
      <c r="G93" s="409"/>
      <c r="H93" s="422">
        <f>+D93</f>
        <v>0</v>
      </c>
      <c r="I93" s="410"/>
      <c r="J93" s="411"/>
    </row>
    <row r="94" spans="1:10" ht="12" customHeight="1">
      <c r="A94" s="454">
        <v>2022</v>
      </c>
      <c r="C94" s="405" t="s">
        <v>578</v>
      </c>
      <c r="D94" s="452">
        <f>'T2 MET'!E59</f>
        <v>0</v>
      </c>
      <c r="E94" s="407"/>
      <c r="F94" s="421"/>
      <c r="G94" s="409"/>
      <c r="H94" s="409"/>
      <c r="I94" s="529">
        <f>+D94</f>
        <v>0</v>
      </c>
      <c r="J94" s="411"/>
    </row>
    <row r="95" spans="1:10" ht="12" customHeight="1">
      <c r="A95" s="454">
        <v>2023</v>
      </c>
      <c r="C95" s="405" t="s">
        <v>580</v>
      </c>
      <c r="D95" s="452">
        <f>'T2 MET'!F59</f>
        <v>0</v>
      </c>
      <c r="E95" s="407"/>
      <c r="F95" s="421"/>
      <c r="G95" s="409"/>
      <c r="H95" s="409"/>
      <c r="I95" s="477"/>
      <c r="J95" s="406">
        <f>+D95</f>
        <v>0</v>
      </c>
    </row>
    <row r="96" spans="1:10" ht="12" customHeight="1">
      <c r="A96" s="454">
        <v>2024</v>
      </c>
      <c r="C96" s="425" t="s">
        <v>581</v>
      </c>
      <c r="D96" s="453">
        <f>'T2 MET'!G59</f>
        <v>0</v>
      </c>
      <c r="E96" s="427"/>
      <c r="F96" s="428"/>
      <c r="G96" s="428"/>
      <c r="H96" s="428"/>
      <c r="I96" s="478"/>
      <c r="J96" s="426">
        <f>+D96</f>
        <v>0</v>
      </c>
    </row>
    <row r="97" spans="1:12" ht="12" customHeight="1">
      <c r="A97" s="454" t="s">
        <v>475</v>
      </c>
      <c r="C97" s="430" t="s">
        <v>585</v>
      </c>
      <c r="D97" s="431">
        <f>SUM(D91:D96)</f>
        <v>0</v>
      </c>
      <c r="E97" s="479">
        <f t="shared" ref="E97:J97" si="13">SUM(E91:E96)</f>
        <v>0</v>
      </c>
      <c r="F97" s="433">
        <f t="shared" si="13"/>
        <v>0</v>
      </c>
      <c r="G97" s="433">
        <f t="shared" si="13"/>
        <v>0</v>
      </c>
      <c r="H97" s="433">
        <f t="shared" si="13"/>
        <v>0</v>
      </c>
      <c r="I97" s="480">
        <f t="shared" si="13"/>
        <v>0</v>
      </c>
      <c r="J97" s="431">
        <f t="shared" si="13"/>
        <v>0</v>
      </c>
    </row>
    <row r="98" spans="1:12" ht="4.95" customHeight="1">
      <c r="A98" s="748"/>
      <c r="C98" s="481"/>
      <c r="D98" s="481"/>
      <c r="E98" s="446"/>
      <c r="F98" s="446"/>
      <c r="G98" s="446"/>
      <c r="H98" s="446"/>
      <c r="I98" s="446"/>
      <c r="J98" s="446"/>
    </row>
    <row r="99" spans="1:12" ht="12" customHeight="1">
      <c r="A99" s="454">
        <v>2017</v>
      </c>
      <c r="C99" s="397" t="s">
        <v>586</v>
      </c>
      <c r="D99" s="501">
        <v>0</v>
      </c>
      <c r="E99" s="485">
        <v>0</v>
      </c>
      <c r="F99" s="486">
        <v>0</v>
      </c>
      <c r="G99" s="486">
        <v>0</v>
      </c>
      <c r="H99" s="486">
        <v>0</v>
      </c>
      <c r="I99" s="487">
        <v>0</v>
      </c>
      <c r="J99" s="398">
        <f t="shared" ref="J99:J107" si="14">D99-SUM(E99:I99)</f>
        <v>0</v>
      </c>
    </row>
    <row r="100" spans="1:12" ht="12" customHeight="1">
      <c r="A100" s="454">
        <v>2018</v>
      </c>
      <c r="C100" s="405" t="s">
        <v>587</v>
      </c>
      <c r="D100" s="898">
        <v>-3366</v>
      </c>
      <c r="E100" s="489">
        <v>-3366</v>
      </c>
      <c r="F100" s="490">
        <v>0</v>
      </c>
      <c r="G100" s="490">
        <v>0</v>
      </c>
      <c r="H100" s="490">
        <v>0</v>
      </c>
      <c r="I100" s="491">
        <v>0</v>
      </c>
      <c r="J100" s="406">
        <f t="shared" si="14"/>
        <v>0</v>
      </c>
      <c r="L100" s="385" t="s">
        <v>712</v>
      </c>
    </row>
    <row r="101" spans="1:12" ht="12" customHeight="1">
      <c r="A101" s="454">
        <v>2019</v>
      </c>
      <c r="C101" s="405" t="s">
        <v>588</v>
      </c>
      <c r="D101" s="502">
        <v>-3558.1829458164898</v>
      </c>
      <c r="E101" s="503"/>
      <c r="F101" s="490">
        <v>-3558.1829458164898</v>
      </c>
      <c r="G101" s="490">
        <v>0</v>
      </c>
      <c r="H101" s="490">
        <v>0</v>
      </c>
      <c r="I101" s="491">
        <v>0</v>
      </c>
      <c r="J101" s="406">
        <f t="shared" si="14"/>
        <v>0</v>
      </c>
      <c r="L101" s="385" t="s">
        <v>713</v>
      </c>
    </row>
    <row r="102" spans="1:12" ht="12" customHeight="1">
      <c r="A102" s="454" t="s">
        <v>463</v>
      </c>
      <c r="C102" s="412" t="s">
        <v>589</v>
      </c>
      <c r="D102" s="413">
        <f t="shared" ref="D102:J102" si="15">SUM(D99:D101)</f>
        <v>-6924.1829458164902</v>
      </c>
      <c r="E102" s="414">
        <f t="shared" si="15"/>
        <v>-3366</v>
      </c>
      <c r="F102" s="415">
        <f t="shared" si="15"/>
        <v>-3558.1829458164898</v>
      </c>
      <c r="G102" s="415">
        <f t="shared" si="15"/>
        <v>0</v>
      </c>
      <c r="H102" s="415">
        <f t="shared" si="15"/>
        <v>0</v>
      </c>
      <c r="I102" s="441">
        <f t="shared" si="15"/>
        <v>0</v>
      </c>
      <c r="J102" s="413">
        <f t="shared" si="15"/>
        <v>0</v>
      </c>
      <c r="L102" s="539"/>
    </row>
    <row r="103" spans="1:12" ht="12" customHeight="1">
      <c r="A103" s="454">
        <v>2020</v>
      </c>
      <c r="C103" s="397" t="s">
        <v>590</v>
      </c>
      <c r="D103" s="398">
        <f>(E11+E22+E75+E80+E91+E102+E108)*-'T2 MET'!C40</f>
        <v>-2373.0253109101909</v>
      </c>
      <c r="E103" s="505"/>
      <c r="F103" s="506"/>
      <c r="G103" s="537">
        <f>D103</f>
        <v>-2373.0253109101909</v>
      </c>
      <c r="H103" s="486"/>
      <c r="I103" s="487"/>
      <c r="J103" s="398">
        <f t="shared" si="14"/>
        <v>0</v>
      </c>
    </row>
    <row r="104" spans="1:12" ht="12" customHeight="1">
      <c r="A104" s="454">
        <v>2021</v>
      </c>
      <c r="C104" s="405" t="s">
        <v>591</v>
      </c>
      <c r="D104" s="406">
        <f>(F11+F22+F75+F80+F91+F102+F108)*-'T2 MET'!D40</f>
        <v>-2407.5829623894406</v>
      </c>
      <c r="E104" s="507"/>
      <c r="F104" s="508"/>
      <c r="G104" s="508"/>
      <c r="H104" s="511">
        <f>+D104</f>
        <v>-2407.5829623894406</v>
      </c>
      <c r="I104" s="491"/>
      <c r="J104" s="406">
        <f t="shared" si="14"/>
        <v>0</v>
      </c>
    </row>
    <row r="105" spans="1:12" ht="12" customHeight="1">
      <c r="A105" s="454">
        <v>2022</v>
      </c>
      <c r="C105" s="405" t="s">
        <v>592</v>
      </c>
      <c r="D105" s="406">
        <f>(G11+G22+G75+G80+G91+G102+G108)*-'T2 MET'!E40</f>
        <v>-432.18455715325831</v>
      </c>
      <c r="E105" s="507"/>
      <c r="F105" s="508"/>
      <c r="G105" s="508"/>
      <c r="H105" s="508"/>
      <c r="I105" s="492">
        <f>+D105</f>
        <v>-432.18455715325831</v>
      </c>
      <c r="J105" s="406">
        <f t="shared" si="14"/>
        <v>0</v>
      </c>
    </row>
    <row r="106" spans="1:12" ht="12" customHeight="1">
      <c r="A106" s="454">
        <v>2023</v>
      </c>
      <c r="C106" s="405" t="s">
        <v>594</v>
      </c>
      <c r="D106" s="406">
        <f>(H11+H22+H75+H80+H91+H102+H108)*-'T2 MET'!F40</f>
        <v>0</v>
      </c>
      <c r="E106" s="507"/>
      <c r="F106" s="508"/>
      <c r="G106" s="508"/>
      <c r="H106" s="508"/>
      <c r="I106" s="509"/>
      <c r="J106" s="406">
        <f t="shared" si="14"/>
        <v>0</v>
      </c>
    </row>
    <row r="107" spans="1:12" ht="12" customHeight="1">
      <c r="A107" s="454">
        <v>2024</v>
      </c>
      <c r="C107" s="425" t="s">
        <v>595</v>
      </c>
      <c r="D107" s="406">
        <f>(I11+I22+I75+I80+I91+I102+I108)*-'T2 MET'!G40</f>
        <v>0</v>
      </c>
      <c r="E107" s="507"/>
      <c r="F107" s="508"/>
      <c r="G107" s="508"/>
      <c r="H107" s="508"/>
      <c r="I107" s="509"/>
      <c r="J107" s="406">
        <f t="shared" si="14"/>
        <v>0</v>
      </c>
    </row>
    <row r="108" spans="1:12" ht="12" customHeight="1">
      <c r="A108" s="454" t="s">
        <v>463</v>
      </c>
      <c r="C108" s="412" t="s">
        <v>599</v>
      </c>
      <c r="D108" s="413">
        <f>SUM(D103:D107)</f>
        <v>-5212.7928304528896</v>
      </c>
      <c r="E108" s="414">
        <f>SUM(E103:E107)</f>
        <v>0</v>
      </c>
      <c r="F108" s="415">
        <f t="shared" ref="F108:I108" si="16">SUM(F103:F107)</f>
        <v>0</v>
      </c>
      <c r="G108" s="415">
        <f t="shared" si="16"/>
        <v>-2373.0253109101909</v>
      </c>
      <c r="H108" s="415">
        <f t="shared" si="16"/>
        <v>-2407.5829623894406</v>
      </c>
      <c r="I108" s="441">
        <f t="shared" si="16"/>
        <v>-432.18455715325831</v>
      </c>
      <c r="J108" s="413">
        <f>SUM(J103:J107)</f>
        <v>0</v>
      </c>
    </row>
    <row r="109" spans="1:12" ht="12" customHeight="1">
      <c r="A109" s="454">
        <v>2020</v>
      </c>
      <c r="C109" s="397" t="s">
        <v>600</v>
      </c>
      <c r="D109" s="451">
        <f>'T2 MET'!C46</f>
        <v>18464.92709133905</v>
      </c>
      <c r="E109" s="419"/>
      <c r="F109" s="400"/>
      <c r="G109" s="457">
        <f>D109</f>
        <v>18464.92709133905</v>
      </c>
      <c r="H109" s="401"/>
      <c r="I109" s="475"/>
      <c r="J109" s="403"/>
    </row>
    <row r="110" spans="1:12" ht="12" customHeight="1">
      <c r="A110" s="454">
        <v>2021</v>
      </c>
      <c r="C110" s="405" t="s">
        <v>601</v>
      </c>
      <c r="D110" s="452">
        <f>'T2 MET'!D46</f>
        <v>17237.891830478791</v>
      </c>
      <c r="E110" s="407"/>
      <c r="F110" s="421"/>
      <c r="G110" s="421"/>
      <c r="H110" s="408">
        <f>D110</f>
        <v>17237.891830478791</v>
      </c>
      <c r="I110" s="477"/>
      <c r="J110" s="411"/>
    </row>
    <row r="111" spans="1:12" ht="12" customHeight="1">
      <c r="A111" s="454">
        <v>2022</v>
      </c>
      <c r="C111" s="405" t="s">
        <v>602</v>
      </c>
      <c r="D111" s="452">
        <f>'T2 MET'!E46</f>
        <v>9062.462397290401</v>
      </c>
      <c r="E111" s="407"/>
      <c r="F111" s="421"/>
      <c r="G111" s="421"/>
      <c r="H111" s="421"/>
      <c r="I111" s="458">
        <f>D111</f>
        <v>9062.462397290401</v>
      </c>
      <c r="J111" s="411"/>
    </row>
    <row r="112" spans="1:12" ht="12" customHeight="1">
      <c r="A112" s="454">
        <v>2023</v>
      </c>
      <c r="C112" s="405" t="s">
        <v>604</v>
      </c>
      <c r="D112" s="452">
        <f>'T2 MET'!F46</f>
        <v>0</v>
      </c>
      <c r="E112" s="407"/>
      <c r="F112" s="421"/>
      <c r="G112" s="421"/>
      <c r="H112" s="421"/>
      <c r="I112" s="510"/>
      <c r="J112" s="406">
        <f>D112</f>
        <v>0</v>
      </c>
    </row>
    <row r="113" spans="1:10" ht="12" customHeight="1">
      <c r="A113" s="454">
        <v>2024</v>
      </c>
      <c r="C113" s="425" t="s">
        <v>605</v>
      </c>
      <c r="D113" s="453">
        <f>'T2 MET'!G46</f>
        <v>0</v>
      </c>
      <c r="E113" s="427"/>
      <c r="F113" s="428"/>
      <c r="G113" s="428"/>
      <c r="H113" s="428"/>
      <c r="I113" s="478"/>
      <c r="J113" s="426">
        <f>D113</f>
        <v>0</v>
      </c>
    </row>
    <row r="114" spans="1:10" ht="12" customHeight="1">
      <c r="A114" s="454" t="s">
        <v>475</v>
      </c>
      <c r="C114" s="430" t="s">
        <v>609</v>
      </c>
      <c r="D114" s="431">
        <f>D102+SUM(D108:D113)</f>
        <v>32628.305542838858</v>
      </c>
      <c r="E114" s="479">
        <f t="shared" ref="E114:J114" si="17">E102+SUM(E108:E113)</f>
        <v>-3366</v>
      </c>
      <c r="F114" s="433">
        <f t="shared" si="17"/>
        <v>-3558.1829458164898</v>
      </c>
      <c r="G114" s="433">
        <f t="shared" si="17"/>
        <v>16091.90178042886</v>
      </c>
      <c r="H114" s="433">
        <f t="shared" si="17"/>
        <v>14830.308868089351</v>
      </c>
      <c r="I114" s="480">
        <f t="shared" si="17"/>
        <v>8630.2778401371434</v>
      </c>
      <c r="J114" s="431">
        <f t="shared" si="17"/>
        <v>0</v>
      </c>
    </row>
    <row r="115" spans="1:10" ht="4.2" customHeight="1">
      <c r="A115" s="748"/>
    </row>
    <row r="116" spans="1:10" ht="12" customHeight="1">
      <c r="A116" s="454">
        <v>2017</v>
      </c>
      <c r="C116" s="397" t="s">
        <v>610</v>
      </c>
      <c r="D116" s="474">
        <v>0</v>
      </c>
      <c r="E116" s="485">
        <v>0</v>
      </c>
      <c r="F116" s="486">
        <v>0</v>
      </c>
      <c r="G116" s="486">
        <v>0</v>
      </c>
      <c r="H116" s="486">
        <v>0</v>
      </c>
      <c r="I116" s="487">
        <v>0</v>
      </c>
      <c r="J116" s="398">
        <f t="shared" ref="J116:J124" si="18">D116-SUM(E116:I116)</f>
        <v>0</v>
      </c>
    </row>
    <row r="117" spans="1:10" ht="12" customHeight="1">
      <c r="A117" s="454">
        <v>2018</v>
      </c>
      <c r="C117" s="405" t="s">
        <v>611</v>
      </c>
      <c r="D117" s="476">
        <v>0</v>
      </c>
      <c r="E117" s="489">
        <f>+D117</f>
        <v>0</v>
      </c>
      <c r="F117" s="490">
        <v>0</v>
      </c>
      <c r="G117" s="490">
        <v>0</v>
      </c>
      <c r="H117" s="490">
        <v>0</v>
      </c>
      <c r="I117" s="491">
        <v>0</v>
      </c>
      <c r="J117" s="406">
        <f t="shared" si="18"/>
        <v>0</v>
      </c>
    </row>
    <row r="118" spans="1:10" ht="12" customHeight="1">
      <c r="A118" s="454">
        <v>2019</v>
      </c>
      <c r="C118" s="405" t="s">
        <v>612</v>
      </c>
      <c r="D118" s="476">
        <v>0</v>
      </c>
      <c r="E118" s="489">
        <v>0</v>
      </c>
      <c r="F118" s="490">
        <v>0</v>
      </c>
      <c r="G118" s="490">
        <v>0</v>
      </c>
      <c r="H118" s="490">
        <v>0</v>
      </c>
      <c r="I118" s="491">
        <v>0</v>
      </c>
      <c r="J118" s="406">
        <f t="shared" si="18"/>
        <v>0</v>
      </c>
    </row>
    <row r="119" spans="1:10" ht="12" customHeight="1">
      <c r="A119" s="454" t="s">
        <v>463</v>
      </c>
      <c r="C119" s="412" t="s">
        <v>613</v>
      </c>
      <c r="D119" s="413">
        <f>SUM(D116:D118)</f>
        <v>0</v>
      </c>
      <c r="E119" s="414">
        <f t="shared" ref="E119:J119" si="19">SUM(E116:E118)</f>
        <v>0</v>
      </c>
      <c r="F119" s="415">
        <f t="shared" si="19"/>
        <v>0</v>
      </c>
      <c r="G119" s="415">
        <f t="shared" si="19"/>
        <v>0</v>
      </c>
      <c r="H119" s="415">
        <f t="shared" si="19"/>
        <v>0</v>
      </c>
      <c r="I119" s="441">
        <f t="shared" si="19"/>
        <v>0</v>
      </c>
      <c r="J119" s="413">
        <f t="shared" si="19"/>
        <v>0</v>
      </c>
    </row>
    <row r="120" spans="1:10" ht="12" customHeight="1">
      <c r="A120" s="454">
        <v>2020</v>
      </c>
      <c r="C120" s="397" t="s">
        <v>614</v>
      </c>
      <c r="D120" s="451">
        <f>'T2 MET'!C69</f>
        <v>0</v>
      </c>
      <c r="E120" s="485">
        <f>D120</f>
        <v>0</v>
      </c>
      <c r="F120" s="486">
        <v>0</v>
      </c>
      <c r="G120" s="486">
        <v>0</v>
      </c>
      <c r="H120" s="486">
        <v>0</v>
      </c>
      <c r="I120" s="487">
        <v>0</v>
      </c>
      <c r="J120" s="398">
        <f t="shared" si="18"/>
        <v>0</v>
      </c>
    </row>
    <row r="121" spans="1:10" ht="12" customHeight="1">
      <c r="A121" s="454">
        <v>2021</v>
      </c>
      <c r="C121" s="405" t="s">
        <v>615</v>
      </c>
      <c r="D121" s="452">
        <f>'T2 MET'!D69</f>
        <v>0</v>
      </c>
      <c r="E121" s="507"/>
      <c r="F121" s="490">
        <v>0</v>
      </c>
      <c r="G121" s="490">
        <v>0</v>
      </c>
      <c r="H121" s="490">
        <f>D121</f>
        <v>0</v>
      </c>
      <c r="I121" s="491">
        <v>0</v>
      </c>
      <c r="J121" s="406">
        <f t="shared" si="18"/>
        <v>0</v>
      </c>
    </row>
    <row r="122" spans="1:10" ht="12" customHeight="1">
      <c r="A122" s="454">
        <v>2022</v>
      </c>
      <c r="C122" s="405" t="s">
        <v>616</v>
      </c>
      <c r="D122" s="452">
        <f>'T2 MET'!E69</f>
        <v>0</v>
      </c>
      <c r="E122" s="507"/>
      <c r="F122" s="508"/>
      <c r="G122" s="490">
        <v>0</v>
      </c>
      <c r="H122" s="490">
        <v>0</v>
      </c>
      <c r="I122" s="491">
        <f>D122</f>
        <v>0</v>
      </c>
      <c r="J122" s="406">
        <f t="shared" si="18"/>
        <v>0</v>
      </c>
    </row>
    <row r="123" spans="1:10" ht="12" customHeight="1">
      <c r="A123" s="454">
        <v>2023</v>
      </c>
      <c r="C123" s="405" t="s">
        <v>618</v>
      </c>
      <c r="D123" s="452">
        <f>'T2 MET'!F69</f>
        <v>0</v>
      </c>
      <c r="E123" s="507"/>
      <c r="F123" s="508"/>
      <c r="G123" s="508"/>
      <c r="H123" s="490">
        <v>0</v>
      </c>
      <c r="I123" s="491">
        <v>0</v>
      </c>
      <c r="J123" s="406">
        <f t="shared" si="18"/>
        <v>0</v>
      </c>
    </row>
    <row r="124" spans="1:10" ht="12" customHeight="1">
      <c r="A124" s="454">
        <v>2024</v>
      </c>
      <c r="C124" s="425" t="s">
        <v>619</v>
      </c>
      <c r="D124" s="453">
        <f>'T2 MET'!G69</f>
        <v>0</v>
      </c>
      <c r="E124" s="512"/>
      <c r="F124" s="513"/>
      <c r="G124" s="513"/>
      <c r="H124" s="513"/>
      <c r="I124" s="514">
        <v>0</v>
      </c>
      <c r="J124" s="426">
        <f t="shared" si="18"/>
        <v>0</v>
      </c>
    </row>
    <row r="125" spans="1:10" ht="12" customHeight="1">
      <c r="A125" s="454" t="s">
        <v>475</v>
      </c>
      <c r="C125" s="430" t="s">
        <v>623</v>
      </c>
      <c r="D125" s="431">
        <f>SUM(D119:D124)</f>
        <v>0</v>
      </c>
      <c r="E125" s="479">
        <f t="shared" ref="E125:J125" si="20">SUM(E119:E124)</f>
        <v>0</v>
      </c>
      <c r="F125" s="433">
        <f t="shared" si="20"/>
        <v>0</v>
      </c>
      <c r="G125" s="433">
        <f t="shared" si="20"/>
        <v>0</v>
      </c>
      <c r="H125" s="433">
        <f t="shared" si="20"/>
        <v>0</v>
      </c>
      <c r="I125" s="480">
        <f t="shared" si="20"/>
        <v>0</v>
      </c>
      <c r="J125" s="431">
        <f t="shared" si="20"/>
        <v>0</v>
      </c>
    </row>
    <row r="126" spans="1:10" ht="4.2" customHeight="1">
      <c r="A126" s="748"/>
    </row>
    <row r="127" spans="1:10" ht="12" customHeight="1">
      <c r="A127" s="454">
        <v>2017</v>
      </c>
      <c r="C127" s="397" t="s">
        <v>624</v>
      </c>
      <c r="D127" s="474">
        <v>0</v>
      </c>
      <c r="E127" s="485">
        <v>0</v>
      </c>
      <c r="F127" s="486">
        <v>0</v>
      </c>
      <c r="G127" s="486">
        <v>0</v>
      </c>
      <c r="H127" s="486">
        <v>0</v>
      </c>
      <c r="I127" s="487">
        <v>0</v>
      </c>
      <c r="J127" s="398">
        <f t="shared" ref="J127:J129" si="21">D127-SUM(E127:I127)</f>
        <v>0</v>
      </c>
    </row>
    <row r="128" spans="1:10" ht="12" customHeight="1">
      <c r="A128" s="454">
        <v>2018</v>
      </c>
      <c r="C128" s="405" t="s">
        <v>625</v>
      </c>
      <c r="D128" s="476">
        <v>0</v>
      </c>
      <c r="E128" s="489">
        <v>0</v>
      </c>
      <c r="F128" s="490">
        <v>0</v>
      </c>
      <c r="G128" s="490">
        <v>0</v>
      </c>
      <c r="H128" s="490">
        <v>0</v>
      </c>
      <c r="I128" s="491">
        <v>0</v>
      </c>
      <c r="J128" s="406">
        <f t="shared" si="21"/>
        <v>0</v>
      </c>
    </row>
    <row r="129" spans="1:10" ht="12" customHeight="1">
      <c r="A129" s="454">
        <v>2019</v>
      </c>
      <c r="C129" s="405" t="s">
        <v>626</v>
      </c>
      <c r="D129" s="476"/>
      <c r="E129" s="489">
        <v>0</v>
      </c>
      <c r="F129" s="490">
        <v>0</v>
      </c>
      <c r="G129" s="490">
        <v>0</v>
      </c>
      <c r="H129" s="490">
        <v>0</v>
      </c>
      <c r="I129" s="491">
        <v>0</v>
      </c>
      <c r="J129" s="406">
        <f t="shared" si="21"/>
        <v>0</v>
      </c>
    </row>
    <row r="130" spans="1:10" ht="12" customHeight="1">
      <c r="A130" s="454" t="s">
        <v>463</v>
      </c>
      <c r="C130" s="412" t="s">
        <v>718</v>
      </c>
      <c r="D130" s="413">
        <f>SUM(D127:D129)</f>
        <v>0</v>
      </c>
      <c r="E130" s="414">
        <f t="shared" ref="E130:J130" si="22">SUM(E127:E129)</f>
        <v>0</v>
      </c>
      <c r="F130" s="415">
        <f t="shared" si="22"/>
        <v>0</v>
      </c>
      <c r="G130" s="415">
        <f t="shared" si="22"/>
        <v>0</v>
      </c>
      <c r="H130" s="415">
        <f t="shared" si="22"/>
        <v>0</v>
      </c>
      <c r="I130" s="441">
        <f t="shared" si="22"/>
        <v>0</v>
      </c>
      <c r="J130" s="413">
        <f t="shared" si="22"/>
        <v>0</v>
      </c>
    </row>
    <row r="131" spans="1:10" s="515" customFormat="1" ht="14.7" customHeight="1">
      <c r="A131" s="454">
        <v>2020</v>
      </c>
      <c r="B131" s="385"/>
      <c r="C131" s="397" t="s">
        <v>628</v>
      </c>
      <c r="D131" s="451">
        <f>'T2 MET'!C70</f>
        <v>0</v>
      </c>
      <c r="E131" s="485">
        <v>0</v>
      </c>
      <c r="F131" s="486">
        <v>0</v>
      </c>
      <c r="G131" s="486">
        <v>0</v>
      </c>
      <c r="H131" s="486">
        <v>0</v>
      </c>
      <c r="I131" s="487">
        <v>0</v>
      </c>
      <c r="J131" s="398">
        <f t="shared" ref="J131:J135" si="23">D131-SUM(E131:I131)</f>
        <v>0</v>
      </c>
    </row>
    <row r="132" spans="1:10" ht="12" customHeight="1">
      <c r="A132" s="454">
        <v>2021</v>
      </c>
      <c r="C132" s="405" t="s">
        <v>629</v>
      </c>
      <c r="D132" s="452">
        <f>'T2 MET'!D70</f>
        <v>0</v>
      </c>
      <c r="E132" s="507"/>
      <c r="F132" s="490">
        <v>0</v>
      </c>
      <c r="G132" s="490">
        <v>0</v>
      </c>
      <c r="H132" s="490">
        <v>0</v>
      </c>
      <c r="I132" s="491">
        <v>0</v>
      </c>
      <c r="J132" s="406">
        <f t="shared" si="23"/>
        <v>0</v>
      </c>
    </row>
    <row r="133" spans="1:10" ht="12" customHeight="1">
      <c r="A133" s="454">
        <v>2022</v>
      </c>
      <c r="C133" s="405" t="s">
        <v>630</v>
      </c>
      <c r="D133" s="452">
        <f>'T2 MET'!E70</f>
        <v>0</v>
      </c>
      <c r="E133" s="507"/>
      <c r="F133" s="508"/>
      <c r="G133" s="490">
        <v>0</v>
      </c>
      <c r="H133" s="490">
        <v>0</v>
      </c>
      <c r="I133" s="491">
        <v>0</v>
      </c>
      <c r="J133" s="406">
        <f t="shared" si="23"/>
        <v>0</v>
      </c>
    </row>
    <row r="134" spans="1:10" ht="12" customHeight="1">
      <c r="A134" s="454">
        <v>2023</v>
      </c>
      <c r="C134" s="405" t="s">
        <v>632</v>
      </c>
      <c r="D134" s="452">
        <f>'T2 MET'!F70</f>
        <v>0</v>
      </c>
      <c r="E134" s="507"/>
      <c r="F134" s="508"/>
      <c r="G134" s="508"/>
      <c r="H134" s="490">
        <v>0</v>
      </c>
      <c r="I134" s="491">
        <v>0</v>
      </c>
      <c r="J134" s="406">
        <f t="shared" si="23"/>
        <v>0</v>
      </c>
    </row>
    <row r="135" spans="1:10" ht="12" customHeight="1">
      <c r="A135" s="454">
        <v>2024</v>
      </c>
      <c r="C135" s="425" t="s">
        <v>633</v>
      </c>
      <c r="D135" s="453">
        <f>'T2 MET'!G70</f>
        <v>0</v>
      </c>
      <c r="E135" s="512"/>
      <c r="F135" s="513"/>
      <c r="G135" s="513"/>
      <c r="H135" s="513"/>
      <c r="I135" s="514">
        <v>0</v>
      </c>
      <c r="J135" s="426">
        <f t="shared" si="23"/>
        <v>0</v>
      </c>
    </row>
    <row r="136" spans="1:10" ht="12" customHeight="1">
      <c r="A136" s="454" t="s">
        <v>475</v>
      </c>
      <c r="C136" s="430" t="s">
        <v>637</v>
      </c>
      <c r="D136" s="431">
        <f>SUM(D130:D135)</f>
        <v>0</v>
      </c>
      <c r="E136" s="479">
        <f t="shared" ref="E136:J136" si="24">SUM(E130:E135)</f>
        <v>0</v>
      </c>
      <c r="F136" s="433">
        <f t="shared" si="24"/>
        <v>0</v>
      </c>
      <c r="G136" s="433">
        <f t="shared" si="24"/>
        <v>0</v>
      </c>
      <c r="H136" s="433">
        <f t="shared" si="24"/>
        <v>0</v>
      </c>
      <c r="I136" s="480">
        <f t="shared" si="24"/>
        <v>0</v>
      </c>
      <c r="J136" s="431">
        <f t="shared" si="24"/>
        <v>0</v>
      </c>
    </row>
    <row r="137" spans="1:10" ht="4.2" customHeight="1">
      <c r="A137" s="748"/>
    </row>
    <row r="138" spans="1:10" ht="12" customHeight="1">
      <c r="A138" s="454">
        <v>2017</v>
      </c>
      <c r="C138" s="397" t="s">
        <v>638</v>
      </c>
      <c r="D138" s="516">
        <v>0</v>
      </c>
      <c r="E138" s="485">
        <v>0</v>
      </c>
      <c r="F138" s="486">
        <v>0</v>
      </c>
      <c r="G138" s="486">
        <v>0</v>
      </c>
      <c r="H138" s="486">
        <v>0</v>
      </c>
      <c r="I138" s="487">
        <v>0</v>
      </c>
      <c r="J138" s="398">
        <f t="shared" ref="J138:J140" si="25">D138-SUM(E138:I138)</f>
        <v>0</v>
      </c>
    </row>
    <row r="139" spans="1:10" ht="12" customHeight="1">
      <c r="A139" s="454">
        <v>2018</v>
      </c>
      <c r="C139" s="405" t="s">
        <v>639</v>
      </c>
      <c r="D139" s="517">
        <v>0</v>
      </c>
      <c r="E139" s="489">
        <v>0</v>
      </c>
      <c r="F139" s="490">
        <v>0</v>
      </c>
      <c r="G139" s="490">
        <v>0</v>
      </c>
      <c r="H139" s="490">
        <v>0</v>
      </c>
      <c r="I139" s="491">
        <v>0</v>
      </c>
      <c r="J139" s="406">
        <f t="shared" si="25"/>
        <v>0</v>
      </c>
    </row>
    <row r="140" spans="1:10" ht="12" customHeight="1">
      <c r="A140" s="454">
        <v>2019</v>
      </c>
      <c r="C140" s="405" t="s">
        <v>640</v>
      </c>
      <c r="D140" s="406"/>
      <c r="E140" s="489">
        <v>0</v>
      </c>
      <c r="F140" s="490">
        <v>0</v>
      </c>
      <c r="G140" s="490">
        <v>0</v>
      </c>
      <c r="H140" s="490">
        <v>0</v>
      </c>
      <c r="I140" s="491">
        <v>0</v>
      </c>
      <c r="J140" s="406">
        <f t="shared" si="25"/>
        <v>0</v>
      </c>
    </row>
    <row r="141" spans="1:10" ht="12" customHeight="1">
      <c r="A141" s="454" t="s">
        <v>463</v>
      </c>
      <c r="C141" s="412" t="s">
        <v>641</v>
      </c>
      <c r="D141" s="413">
        <f>SUM(D138:D140)</f>
        <v>0</v>
      </c>
      <c r="E141" s="414">
        <f t="shared" ref="E141:J141" si="26">SUM(E138:E140)</f>
        <v>0</v>
      </c>
      <c r="F141" s="415">
        <f t="shared" si="26"/>
        <v>0</v>
      </c>
      <c r="G141" s="415">
        <f t="shared" si="26"/>
        <v>0</v>
      </c>
      <c r="H141" s="415">
        <f t="shared" si="26"/>
        <v>0</v>
      </c>
      <c r="I141" s="441">
        <f t="shared" si="26"/>
        <v>0</v>
      </c>
      <c r="J141" s="413">
        <f t="shared" si="26"/>
        <v>0</v>
      </c>
    </row>
    <row r="142" spans="1:10" s="515" customFormat="1" ht="14.7" customHeight="1">
      <c r="A142" s="454">
        <v>2020</v>
      </c>
      <c r="B142" s="385"/>
      <c r="C142" s="397" t="s">
        <v>642</v>
      </c>
      <c r="D142" s="451">
        <f>'T2 MET'!C71</f>
        <v>0</v>
      </c>
      <c r="E142" s="485">
        <f>+D142</f>
        <v>0</v>
      </c>
      <c r="F142" s="486">
        <v>0</v>
      </c>
      <c r="G142" s="486">
        <v>0</v>
      </c>
      <c r="H142" s="506"/>
      <c r="I142" s="518"/>
      <c r="J142" s="403"/>
    </row>
    <row r="143" spans="1:10" ht="12" customHeight="1">
      <c r="A143" s="454">
        <v>2021</v>
      </c>
      <c r="C143" s="405" t="s">
        <v>643</v>
      </c>
      <c r="D143" s="452">
        <f>'T2 MET'!D71</f>
        <v>0</v>
      </c>
      <c r="E143" s="507"/>
      <c r="F143" s="490">
        <v>0</v>
      </c>
      <c r="G143" s="490">
        <v>0</v>
      </c>
      <c r="H143" s="519">
        <f>D143</f>
        <v>0</v>
      </c>
      <c r="I143" s="520"/>
      <c r="J143" s="411"/>
    </row>
    <row r="144" spans="1:10" ht="12" customHeight="1">
      <c r="A144" s="454">
        <v>2022</v>
      </c>
      <c r="C144" s="405" t="s">
        <v>644</v>
      </c>
      <c r="D144" s="452">
        <f>'T2 MET'!E71</f>
        <v>0</v>
      </c>
      <c r="E144" s="507"/>
      <c r="F144" s="508"/>
      <c r="G144" s="490">
        <v>0</v>
      </c>
      <c r="H144" s="490">
        <v>0</v>
      </c>
      <c r="I144" s="491">
        <f>D144</f>
        <v>0</v>
      </c>
      <c r="J144" s="411"/>
    </row>
    <row r="145" spans="1:10" ht="12" customHeight="1">
      <c r="A145" s="454">
        <v>2023</v>
      </c>
      <c r="C145" s="405" t="s">
        <v>646</v>
      </c>
      <c r="D145" s="452">
        <f>'T2 MET'!F71</f>
        <v>0</v>
      </c>
      <c r="E145" s="507"/>
      <c r="F145" s="508"/>
      <c r="G145" s="508"/>
      <c r="H145" s="490">
        <v>0</v>
      </c>
      <c r="I145" s="490">
        <v>0</v>
      </c>
      <c r="J145" s="406">
        <f>D145</f>
        <v>0</v>
      </c>
    </row>
    <row r="146" spans="1:10" ht="12" customHeight="1">
      <c r="A146" s="454">
        <v>2024</v>
      </c>
      <c r="C146" s="425" t="s">
        <v>647</v>
      </c>
      <c r="D146" s="453">
        <f>'T2 MET'!G71</f>
        <v>0</v>
      </c>
      <c r="E146" s="512"/>
      <c r="F146" s="513"/>
      <c r="G146" s="513"/>
      <c r="H146" s="513"/>
      <c r="I146" s="521">
        <v>0</v>
      </c>
      <c r="J146" s="426">
        <f>D146</f>
        <v>0</v>
      </c>
    </row>
    <row r="147" spans="1:10" ht="12" customHeight="1">
      <c r="A147" s="454" t="s">
        <v>475</v>
      </c>
      <c r="C147" s="430" t="s">
        <v>651</v>
      </c>
      <c r="D147" s="431">
        <f>SUM(D141:D146)</f>
        <v>0</v>
      </c>
      <c r="E147" s="479">
        <f t="shared" ref="E147:J147" si="27">SUM(E141:E146)</f>
        <v>0</v>
      </c>
      <c r="F147" s="433">
        <f t="shared" si="27"/>
        <v>0</v>
      </c>
      <c r="G147" s="433">
        <f t="shared" si="27"/>
        <v>0</v>
      </c>
      <c r="H147" s="433">
        <f t="shared" si="27"/>
        <v>0</v>
      </c>
      <c r="I147" s="480">
        <f t="shared" si="27"/>
        <v>0</v>
      </c>
      <c r="J147" s="431">
        <f t="shared" si="27"/>
        <v>0</v>
      </c>
    </row>
    <row r="148" spans="1:10" ht="4.2" customHeight="1">
      <c r="A148" s="748"/>
    </row>
    <row r="149" spans="1:10" ht="12" customHeight="1">
      <c r="A149" s="454">
        <v>2017</v>
      </c>
      <c r="C149" s="397" t="s">
        <v>652</v>
      </c>
      <c r="D149" s="403"/>
      <c r="E149" s="455"/>
      <c r="F149" s="401"/>
      <c r="G149" s="401"/>
      <c r="H149" s="401"/>
      <c r="I149" s="475"/>
      <c r="J149" s="403"/>
    </row>
    <row r="150" spans="1:10" ht="12" customHeight="1">
      <c r="A150" s="454">
        <v>2018</v>
      </c>
      <c r="C150" s="405" t="s">
        <v>653</v>
      </c>
      <c r="D150" s="411"/>
      <c r="E150" s="456"/>
      <c r="F150" s="409"/>
      <c r="G150" s="409"/>
      <c r="H150" s="409"/>
      <c r="I150" s="477"/>
      <c r="J150" s="411"/>
    </row>
    <row r="151" spans="1:10" ht="12" customHeight="1">
      <c r="A151" s="454">
        <v>2019</v>
      </c>
      <c r="C151" s="405" t="s">
        <v>654</v>
      </c>
      <c r="D151" s="411"/>
      <c r="E151" s="456"/>
      <c r="F151" s="409"/>
      <c r="G151" s="409"/>
      <c r="H151" s="409"/>
      <c r="I151" s="410"/>
      <c r="J151" s="411"/>
    </row>
    <row r="152" spans="1:10" ht="12" customHeight="1">
      <c r="A152" s="454" t="s">
        <v>463</v>
      </c>
      <c r="C152" s="412" t="s">
        <v>655</v>
      </c>
      <c r="D152" s="418"/>
      <c r="E152" s="463"/>
      <c r="F152" s="416"/>
      <c r="G152" s="416"/>
      <c r="H152" s="416"/>
      <c r="I152" s="417"/>
      <c r="J152" s="418"/>
    </row>
    <row r="153" spans="1:10" s="515" customFormat="1" ht="14.7" customHeight="1">
      <c r="A153" s="454">
        <v>2020</v>
      </c>
      <c r="B153" s="385"/>
      <c r="C153" s="397" t="s">
        <v>656</v>
      </c>
      <c r="D153" s="464"/>
      <c r="E153" s="455"/>
      <c r="F153" s="401"/>
      <c r="G153" s="401"/>
      <c r="H153" s="401"/>
      <c r="I153" s="475"/>
      <c r="J153" s="403"/>
    </row>
    <row r="154" spans="1:10" ht="12" customHeight="1">
      <c r="A154" s="454">
        <v>2021</v>
      </c>
      <c r="C154" s="405" t="s">
        <v>657</v>
      </c>
      <c r="D154" s="465"/>
      <c r="E154" s="456"/>
      <c r="F154" s="409"/>
      <c r="G154" s="409"/>
      <c r="H154" s="409"/>
      <c r="I154" s="477"/>
      <c r="J154" s="411"/>
    </row>
    <row r="155" spans="1:10" ht="12" customHeight="1">
      <c r="A155" s="454">
        <v>2022</v>
      </c>
      <c r="C155" s="405" t="s">
        <v>658</v>
      </c>
      <c r="D155" s="465"/>
      <c r="E155" s="456"/>
      <c r="F155" s="409"/>
      <c r="G155" s="409"/>
      <c r="H155" s="409"/>
      <c r="I155" s="409"/>
      <c r="J155" s="411"/>
    </row>
    <row r="156" spans="1:10" ht="12" customHeight="1">
      <c r="A156" s="454">
        <v>2023</v>
      </c>
      <c r="C156" s="405" t="s">
        <v>660</v>
      </c>
      <c r="D156" s="465"/>
      <c r="E156" s="456"/>
      <c r="F156" s="409"/>
      <c r="G156" s="409"/>
      <c r="H156" s="409"/>
      <c r="I156" s="409"/>
      <c r="J156" s="411"/>
    </row>
    <row r="157" spans="1:10" ht="12" customHeight="1">
      <c r="A157" s="454">
        <v>2024</v>
      </c>
      <c r="C157" s="425" t="s">
        <v>661</v>
      </c>
      <c r="D157" s="466"/>
      <c r="E157" s="459"/>
      <c r="F157" s="460"/>
      <c r="G157" s="460"/>
      <c r="H157" s="460"/>
      <c r="I157" s="460"/>
      <c r="J157" s="467"/>
    </row>
    <row r="158" spans="1:10" ht="12" customHeight="1">
      <c r="A158" s="454" t="s">
        <v>475</v>
      </c>
      <c r="C158" s="525" t="s">
        <v>665</v>
      </c>
      <c r="D158" s="499"/>
      <c r="E158" s="533"/>
      <c r="F158" s="494"/>
      <c r="G158" s="494"/>
      <c r="H158" s="494"/>
      <c r="I158" s="534"/>
      <c r="J158" s="499"/>
    </row>
    <row r="159" spans="1:10" ht="4.2" customHeight="1">
      <c r="A159" s="748"/>
    </row>
    <row r="160" spans="1:10" ht="12" customHeight="1">
      <c r="A160" s="454">
        <v>2020</v>
      </c>
      <c r="C160" s="468" t="s">
        <v>666</v>
      </c>
      <c r="D160" s="447">
        <f>'T2 MET'!C63</f>
        <v>0</v>
      </c>
      <c r="E160" s="485">
        <v>0</v>
      </c>
      <c r="F160" s="486">
        <v>0</v>
      </c>
      <c r="G160" s="486">
        <v>0</v>
      </c>
      <c r="H160" s="486">
        <v>0</v>
      </c>
      <c r="I160" s="487">
        <v>0</v>
      </c>
      <c r="J160" s="398">
        <f t="shared" ref="J160:J164" si="28">D160-SUM(E160:I160)</f>
        <v>0</v>
      </c>
    </row>
    <row r="161" spans="1:12" ht="12" customHeight="1">
      <c r="A161" s="454">
        <v>2021</v>
      </c>
      <c r="C161" s="469" t="s">
        <v>667</v>
      </c>
      <c r="D161" s="448">
        <f>'T2 MET'!D63</f>
        <v>0</v>
      </c>
      <c r="E161" s="503"/>
      <c r="F161" s="490">
        <v>0</v>
      </c>
      <c r="G161" s="490">
        <v>0</v>
      </c>
      <c r="H161" s="490">
        <v>0</v>
      </c>
      <c r="I161" s="491">
        <v>0</v>
      </c>
      <c r="J161" s="406">
        <f t="shared" si="28"/>
        <v>0</v>
      </c>
    </row>
    <row r="162" spans="1:12" ht="12" customHeight="1">
      <c r="A162" s="454">
        <v>2022</v>
      </c>
      <c r="C162" s="469" t="s">
        <v>668</v>
      </c>
      <c r="D162" s="448">
        <f>'T2 MET'!E63</f>
        <v>0</v>
      </c>
      <c r="E162" s="503"/>
      <c r="F162" s="522"/>
      <c r="G162" s="490">
        <v>0</v>
      </c>
      <c r="H162" s="490">
        <v>0</v>
      </c>
      <c r="I162" s="491">
        <v>0</v>
      </c>
      <c r="J162" s="406">
        <f t="shared" si="28"/>
        <v>0</v>
      </c>
    </row>
    <row r="163" spans="1:12" ht="12" customHeight="1">
      <c r="A163" s="454">
        <v>2023</v>
      </c>
      <c r="C163" s="469" t="s">
        <v>670</v>
      </c>
      <c r="D163" s="448">
        <f>'T2 MET'!F63</f>
        <v>0</v>
      </c>
      <c r="E163" s="503"/>
      <c r="F163" s="522"/>
      <c r="G163" s="522"/>
      <c r="H163" s="490">
        <v>0</v>
      </c>
      <c r="I163" s="491">
        <v>0</v>
      </c>
      <c r="J163" s="406">
        <f t="shared" si="28"/>
        <v>0</v>
      </c>
    </row>
    <row r="164" spans="1:12" ht="12" customHeight="1">
      <c r="A164" s="454">
        <v>2024</v>
      </c>
      <c r="C164" s="470" t="s">
        <v>671</v>
      </c>
      <c r="D164" s="449">
        <f>'T2 MET'!G63</f>
        <v>0</v>
      </c>
      <c r="E164" s="523"/>
      <c r="F164" s="524"/>
      <c r="G164" s="524"/>
      <c r="H164" s="524"/>
      <c r="I164" s="514">
        <v>0</v>
      </c>
      <c r="J164" s="426">
        <f t="shared" si="28"/>
        <v>0</v>
      </c>
    </row>
    <row r="165" spans="1:12" ht="12" customHeight="1">
      <c r="A165" s="454" t="s">
        <v>475</v>
      </c>
      <c r="C165" s="525" t="s">
        <v>675</v>
      </c>
      <c r="D165" s="431">
        <f>SUM(D160:D164)</f>
        <v>0</v>
      </c>
      <c r="E165" s="526">
        <f t="shared" ref="E165:J165" si="29">SUM(E160:E164)</f>
        <v>0</v>
      </c>
      <c r="F165" s="527">
        <f t="shared" si="29"/>
        <v>0</v>
      </c>
      <c r="G165" s="527">
        <f t="shared" si="29"/>
        <v>0</v>
      </c>
      <c r="H165" s="527">
        <f t="shared" si="29"/>
        <v>0</v>
      </c>
      <c r="I165" s="528">
        <f t="shared" si="29"/>
        <v>0</v>
      </c>
      <c r="J165" s="431">
        <f t="shared" si="29"/>
        <v>0</v>
      </c>
    </row>
    <row r="166" spans="1:12" ht="3" customHeight="1"/>
    <row r="167" spans="1:12" ht="12" customHeight="1">
      <c r="A167" s="454">
        <v>2020</v>
      </c>
      <c r="B167" s="395"/>
      <c r="C167" s="468" t="s">
        <v>676</v>
      </c>
      <c r="D167" s="540"/>
      <c r="E167" s="455"/>
      <c r="F167" s="401"/>
      <c r="G167" s="401"/>
      <c r="H167" s="401"/>
      <c r="I167" s="402"/>
      <c r="J167" s="403"/>
      <c r="L167" s="768"/>
    </row>
    <row r="168" spans="1:12" ht="12" customHeight="1">
      <c r="A168" s="454">
        <v>2021</v>
      </c>
      <c r="B168" s="395"/>
      <c r="C168" s="469" t="s">
        <v>677</v>
      </c>
      <c r="D168" s="541"/>
      <c r="E168" s="456"/>
      <c r="F168" s="409"/>
      <c r="G168" s="409"/>
      <c r="H168" s="409"/>
      <c r="I168" s="410"/>
      <c r="J168" s="411"/>
      <c r="L168" s="768"/>
    </row>
    <row r="169" spans="1:12" ht="12" customHeight="1">
      <c r="A169" s="454">
        <v>2022</v>
      </c>
      <c r="B169" s="395"/>
      <c r="C169" s="469" t="s">
        <v>678</v>
      </c>
      <c r="D169" s="541"/>
      <c r="E169" s="456"/>
      <c r="F169" s="409"/>
      <c r="G169" s="409"/>
      <c r="H169" s="409"/>
      <c r="I169" s="410"/>
      <c r="J169" s="411"/>
      <c r="L169" s="768"/>
    </row>
    <row r="170" spans="1:12" ht="12" customHeight="1">
      <c r="A170" s="454">
        <v>2023</v>
      </c>
      <c r="B170" s="395"/>
      <c r="C170" s="469" t="s">
        <v>680</v>
      </c>
      <c r="D170" s="541"/>
      <c r="E170" s="456"/>
      <c r="F170" s="409"/>
      <c r="G170" s="409"/>
      <c r="H170" s="409"/>
      <c r="I170" s="410"/>
      <c r="J170" s="411"/>
      <c r="L170" s="768"/>
    </row>
    <row r="171" spans="1:12" ht="12" customHeight="1">
      <c r="A171" s="454">
        <v>2024</v>
      </c>
      <c r="B171" s="395"/>
      <c r="C171" s="470" t="s">
        <v>681</v>
      </c>
      <c r="D171" s="542"/>
      <c r="E171" s="459"/>
      <c r="F171" s="460"/>
      <c r="G171" s="460"/>
      <c r="H171" s="460"/>
      <c r="I171" s="769"/>
      <c r="J171" s="467"/>
      <c r="L171" s="768"/>
    </row>
    <row r="172" spans="1:12" ht="12" customHeight="1">
      <c r="A172" s="454" t="s">
        <v>475</v>
      </c>
      <c r="B172" s="395"/>
      <c r="C172" s="430" t="s">
        <v>685</v>
      </c>
      <c r="D172" s="499"/>
      <c r="E172" s="533"/>
      <c r="F172" s="494"/>
      <c r="G172" s="494"/>
      <c r="H172" s="494"/>
      <c r="I172" s="534"/>
      <c r="J172" s="499"/>
      <c r="L172" s="768"/>
    </row>
    <row r="173" spans="1:12" ht="4.2" customHeight="1">
      <c r="C173" s="471"/>
      <c r="D173" s="471"/>
      <c r="E173" s="471"/>
      <c r="F173" s="472"/>
      <c r="G173" s="471"/>
      <c r="H173" s="471"/>
      <c r="I173" s="471"/>
      <c r="J173" s="471"/>
    </row>
    <row r="174" spans="1:12" ht="3" customHeight="1"/>
    <row r="175" spans="1:12" ht="12" customHeight="1">
      <c r="B175" s="395"/>
      <c r="C175" s="430" t="s">
        <v>686</v>
      </c>
      <c r="D175" s="431">
        <f t="shared" ref="D175:J175" si="30">D17+D28+D35+D42+D49+D56+D63+D70+D75+D86+D97+D114+D125+D136+D147+D158+D165+D172</f>
        <v>32899.873969602289</v>
      </c>
      <c r="E175" s="431">
        <f t="shared" si="30"/>
        <v>-3976</v>
      </c>
      <c r="F175" s="431">
        <f t="shared" si="30"/>
        <v>-4217.126887552794</v>
      </c>
      <c r="G175" s="431">
        <f t="shared" si="30"/>
        <v>15755.05220120979</v>
      </c>
      <c r="H175" s="431">
        <f t="shared" si="30"/>
        <v>14677.237730350837</v>
      </c>
      <c r="I175" s="431">
        <f t="shared" si="30"/>
        <v>10660.57656317558</v>
      </c>
      <c r="J175" s="431">
        <f t="shared" si="30"/>
        <v>0</v>
      </c>
      <c r="L175" s="404"/>
    </row>
    <row r="176" spans="1:12" ht="3" customHeight="1"/>
    <row r="177" spans="3:10" ht="12" customHeight="1">
      <c r="C177" s="1" t="s">
        <v>705</v>
      </c>
    </row>
    <row r="178" spans="3:10" ht="12" customHeight="1">
      <c r="C178" s="1" t="s">
        <v>706</v>
      </c>
      <c r="D178" s="143"/>
      <c r="E178" s="473"/>
      <c r="F178" s="473"/>
      <c r="G178" s="473"/>
      <c r="H178" s="473"/>
      <c r="I178" s="473"/>
      <c r="J178" s="473"/>
    </row>
  </sheetData>
  <mergeCells count="1">
    <mergeCell ref="C1:J1"/>
  </mergeCells>
  <pageMargins left="0.7" right="0.7" top="0.75" bottom="0.75" header="0.3" footer="0.3"/>
  <pageSetup paperSize="9" scale="38"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Q261"/>
  <sheetViews>
    <sheetView topLeftCell="A19" zoomScale="80" zoomScaleNormal="80" workbookViewId="0">
      <selection activeCell="H69" sqref="H69"/>
    </sheetView>
  </sheetViews>
  <sheetFormatPr defaultColWidth="2.44140625" defaultRowHeight="14.4"/>
  <cols>
    <col min="1" max="1" width="4.33203125" style="454" customWidth="1"/>
    <col min="2" max="2" width="2.33203125" style="385" customWidth="1"/>
    <col min="3" max="3" width="57.6640625" style="385" customWidth="1"/>
    <col min="4" max="4" width="10.5546875" style="385" bestFit="1" customWidth="1"/>
    <col min="5" max="5" width="8.6640625" style="385" customWidth="1"/>
    <col min="6" max="6" width="8.6640625" style="218" customWidth="1"/>
    <col min="7" max="7" width="8.33203125" style="385" bestFit="1" customWidth="1"/>
    <col min="8" max="8" width="12.33203125" style="385" bestFit="1" customWidth="1"/>
    <col min="9" max="9" width="11.6640625" style="385" customWidth="1"/>
    <col min="10" max="10" width="4.109375" style="385" bestFit="1" customWidth="1"/>
    <col min="11" max="12" width="6.33203125" style="385" bestFit="1" customWidth="1"/>
    <col min="13" max="13" width="6.6640625" style="385" bestFit="1" customWidth="1"/>
    <col min="14" max="14" width="3.44140625" style="385" customWidth="1"/>
    <col min="15" max="15" width="35.33203125" style="1362" bestFit="1" customWidth="1"/>
    <col min="16" max="17" width="2.33203125" style="385" customWidth="1"/>
    <col min="18" max="16384" width="2.44140625" style="385"/>
  </cols>
  <sheetData>
    <row r="1" spans="1:17" ht="12" customHeight="1">
      <c r="C1" s="1568" t="s">
        <v>456</v>
      </c>
      <c r="D1" s="1568"/>
      <c r="E1" s="1568"/>
      <c r="F1" s="1568"/>
      <c r="G1" s="1568"/>
      <c r="H1" s="1568"/>
      <c r="I1" s="1568"/>
      <c r="J1" s="1568"/>
      <c r="K1" s="1568"/>
      <c r="L1" s="1568"/>
      <c r="M1" s="1568"/>
      <c r="N1" s="386"/>
      <c r="O1" s="386"/>
      <c r="P1" s="386"/>
      <c r="Q1" s="386"/>
    </row>
    <row r="2" spans="1:17" ht="12" customHeight="1">
      <c r="C2" s="781"/>
      <c r="D2" s="387"/>
      <c r="E2" s="387"/>
      <c r="G2" s="387"/>
      <c r="H2" s="387"/>
      <c r="I2" s="387"/>
      <c r="J2" s="387"/>
      <c r="K2" s="387"/>
      <c r="L2" s="387"/>
      <c r="M2" s="387"/>
      <c r="N2" s="387"/>
    </row>
    <row r="3" spans="1:17" ht="12" customHeight="1">
      <c r="C3" s="674" t="str">
        <f>'T2 ANSP'!A3</f>
        <v>United Kingdom</v>
      </c>
      <c r="D3" s="387"/>
      <c r="E3" s="387"/>
      <c r="G3" s="387"/>
      <c r="H3" s="387"/>
      <c r="I3" s="387"/>
      <c r="J3" s="387"/>
      <c r="K3" s="387"/>
      <c r="L3" s="387"/>
      <c r="M3" s="387"/>
      <c r="N3" s="387"/>
    </row>
    <row r="4" spans="1:17" ht="12" customHeight="1">
      <c r="C4" s="83" t="str">
        <f>'T2 ANSP'!A4</f>
        <v>Currency : GBP £</v>
      </c>
      <c r="D4" s="387"/>
      <c r="E4" s="387"/>
      <c r="G4" s="387"/>
      <c r="H4" s="387"/>
      <c r="I4" s="979"/>
      <c r="J4" s="979"/>
      <c r="K4" s="979"/>
      <c r="L4" s="979"/>
      <c r="M4" s="387"/>
      <c r="N4" s="387"/>
    </row>
    <row r="5" spans="1:17" ht="12" customHeight="1">
      <c r="C5" s="146" t="str">
        <f>'T2 ANSP'!A5</f>
        <v>NERL</v>
      </c>
      <c r="D5" s="387"/>
      <c r="E5" s="389"/>
      <c r="G5" s="389"/>
      <c r="H5" s="387"/>
      <c r="I5" s="387"/>
      <c r="J5" s="387"/>
      <c r="K5" s="387"/>
      <c r="L5" s="387"/>
      <c r="M5" s="387"/>
      <c r="N5" s="387"/>
    </row>
    <row r="6" spans="1:17" ht="12" customHeight="1">
      <c r="C6" s="389"/>
      <c r="D6" s="389"/>
      <c r="E6" s="389"/>
      <c r="F6" s="389"/>
      <c r="G6" s="389"/>
      <c r="H6" s="389"/>
      <c r="I6" s="389"/>
      <c r="J6" s="389"/>
      <c r="K6" s="389"/>
      <c r="L6" s="389"/>
      <c r="M6" s="389"/>
      <c r="N6" s="389"/>
    </row>
    <row r="7" spans="1:17" ht="12" customHeight="1">
      <c r="A7" s="454" t="s">
        <v>457</v>
      </c>
      <c r="C7" s="390" t="s">
        <v>458</v>
      </c>
      <c r="D7" s="391" t="s">
        <v>459</v>
      </c>
      <c r="E7" s="392">
        <v>2020</v>
      </c>
      <c r="F7" s="393">
        <v>2021</v>
      </c>
      <c r="G7" s="393">
        <v>2022</v>
      </c>
      <c r="H7" s="393">
        <v>2023</v>
      </c>
      <c r="I7" s="1037">
        <v>2024</v>
      </c>
      <c r="J7" s="393">
        <v>2025</v>
      </c>
      <c r="K7" s="1037">
        <v>2026</v>
      </c>
      <c r="L7" s="393">
        <v>2027</v>
      </c>
      <c r="M7" s="1028" t="s">
        <v>460</v>
      </c>
      <c r="N7" s="387"/>
    </row>
    <row r="8" spans="1:17" ht="11.1" customHeight="1">
      <c r="C8" s="396"/>
      <c r="D8" s="396"/>
      <c r="E8" s="396"/>
      <c r="F8" s="396"/>
      <c r="G8" s="396"/>
      <c r="H8" s="396"/>
      <c r="I8" s="396"/>
      <c r="M8" s="396"/>
      <c r="N8" s="387"/>
    </row>
    <row r="9" spans="1:17" ht="12" customHeight="1">
      <c r="A9" s="454">
        <v>2018</v>
      </c>
      <c r="C9" s="397" t="s">
        <v>461</v>
      </c>
      <c r="D9" s="501">
        <v>-1452.8342198263231</v>
      </c>
      <c r="E9" s="399">
        <v>-1453</v>
      </c>
      <c r="F9" s="400"/>
      <c r="G9" s="401"/>
      <c r="H9" s="401"/>
      <c r="I9" s="1038"/>
      <c r="J9" s="1038"/>
      <c r="K9" s="1038"/>
      <c r="L9" s="1038"/>
      <c r="M9" s="1038"/>
      <c r="O9" s="1362" t="s">
        <v>719</v>
      </c>
    </row>
    <row r="10" spans="1:17" ht="12" customHeight="1">
      <c r="A10" s="454">
        <v>2019</v>
      </c>
      <c r="C10" s="405" t="s">
        <v>462</v>
      </c>
      <c r="D10" s="476">
        <v>-1608.5000588783619</v>
      </c>
      <c r="E10" s="407"/>
      <c r="F10" s="408">
        <f>D10</f>
        <v>-1608.5000588783619</v>
      </c>
      <c r="G10" s="409"/>
      <c r="H10" s="409"/>
      <c r="I10" s="1039"/>
      <c r="J10" s="1039"/>
      <c r="K10" s="1039"/>
      <c r="L10" s="1039"/>
      <c r="M10" s="1039"/>
      <c r="O10" s="1362" t="s">
        <v>720</v>
      </c>
    </row>
    <row r="11" spans="1:17" ht="12" customHeight="1">
      <c r="A11" s="454" t="s">
        <v>463</v>
      </c>
      <c r="C11" s="412" t="s">
        <v>464</v>
      </c>
      <c r="D11" s="413">
        <f>SUM(D9:D10)</f>
        <v>-3061.3342787046849</v>
      </c>
      <c r="E11" s="413">
        <f t="shared" ref="E11:F11" si="0">SUM(E9:E10)</f>
        <v>-1453</v>
      </c>
      <c r="F11" s="413">
        <f t="shared" si="0"/>
        <v>-1608.5000588783619</v>
      </c>
      <c r="G11" s="416"/>
      <c r="H11" s="416"/>
      <c r="I11" s="1040"/>
      <c r="J11" s="1040"/>
      <c r="K11" s="1040"/>
      <c r="L11" s="1040"/>
      <c r="M11" s="1040"/>
    </row>
    <row r="12" spans="1:17" ht="12" customHeight="1">
      <c r="A12" s="454">
        <v>2020</v>
      </c>
      <c r="C12" s="397" t="s">
        <v>465</v>
      </c>
      <c r="D12" s="1385">
        <f>'T2 NSA'!C19</f>
        <v>0</v>
      </c>
      <c r="E12" s="419"/>
      <c r="F12" s="400"/>
      <c r="G12" s="420">
        <f>D12</f>
        <v>0</v>
      </c>
      <c r="H12" s="401"/>
      <c r="I12" s="409"/>
      <c r="J12" s="409"/>
      <c r="K12" s="409"/>
      <c r="L12" s="409"/>
      <c r="M12" s="1034"/>
    </row>
    <row r="13" spans="1:17" ht="12" customHeight="1">
      <c r="A13" s="454">
        <v>2021</v>
      </c>
      <c r="C13" s="405" t="s">
        <v>466</v>
      </c>
      <c r="D13" s="1386">
        <f>'T2 NSA'!D19</f>
        <v>0</v>
      </c>
      <c r="E13" s="407"/>
      <c r="F13" s="421"/>
      <c r="G13" s="409"/>
      <c r="H13" s="422">
        <f>D13</f>
        <v>0</v>
      </c>
      <c r="I13" s="409"/>
      <c r="J13" s="409"/>
      <c r="K13" s="409"/>
      <c r="L13" s="409"/>
      <c r="M13" s="1029"/>
    </row>
    <row r="14" spans="1:17" ht="12" customHeight="1">
      <c r="A14" s="454">
        <v>2022</v>
      </c>
      <c r="C14" s="405" t="s">
        <v>467</v>
      </c>
      <c r="D14" s="1386">
        <f>'T2 NSA'!E19</f>
        <v>0</v>
      </c>
      <c r="E14" s="407"/>
      <c r="F14" s="421"/>
      <c r="G14" s="409"/>
      <c r="H14" s="409"/>
      <c r="I14" s="1041">
        <f>D14</f>
        <v>0</v>
      </c>
      <c r="J14" s="409"/>
      <c r="K14" s="409"/>
      <c r="L14" s="409"/>
      <c r="M14" s="1029"/>
    </row>
    <row r="15" spans="1:17" ht="12" customHeight="1">
      <c r="A15" s="454" t="s">
        <v>468</v>
      </c>
      <c r="C15" s="412" t="s">
        <v>469</v>
      </c>
      <c r="D15" s="413">
        <f>SUM(D12:D14)</f>
        <v>0</v>
      </c>
      <c r="E15" s="1062"/>
      <c r="F15" s="1063"/>
      <c r="G15" s="415">
        <f>SUM(G12:G14)</f>
        <v>0</v>
      </c>
      <c r="H15" s="415">
        <f>SUM(H12:H14)</f>
        <v>0</v>
      </c>
      <c r="I15" s="415">
        <f>SUM(I12:I14)</f>
        <v>0</v>
      </c>
      <c r="J15" s="416"/>
      <c r="K15" s="416"/>
      <c r="L15" s="416"/>
      <c r="M15" s="1030"/>
    </row>
    <row r="16" spans="1:17" ht="12" customHeight="1">
      <c r="A16" s="454">
        <v>2023</v>
      </c>
      <c r="C16" s="405" t="s">
        <v>470</v>
      </c>
      <c r="D16" s="406">
        <f>'T2 NSA'!F19</f>
        <v>0</v>
      </c>
      <c r="E16" s="407"/>
      <c r="F16" s="421"/>
      <c r="G16" s="409"/>
      <c r="H16" s="409"/>
      <c r="I16" s="409"/>
      <c r="J16" s="1041">
        <f>D16</f>
        <v>0</v>
      </c>
      <c r="K16" s="409"/>
      <c r="L16" s="409"/>
      <c r="M16" s="1029"/>
    </row>
    <row r="17" spans="1:13" ht="12" customHeight="1">
      <c r="A17" s="454">
        <v>2024</v>
      </c>
      <c r="C17" s="405" t="s">
        <v>471</v>
      </c>
      <c r="D17" s="406">
        <f>'T2 NSA'!G19</f>
        <v>0</v>
      </c>
      <c r="E17" s="407"/>
      <c r="F17" s="421"/>
      <c r="G17" s="409"/>
      <c r="H17" s="409"/>
      <c r="I17" s="409"/>
      <c r="J17" s="409"/>
      <c r="K17" s="1041">
        <f>D17</f>
        <v>0</v>
      </c>
      <c r="L17" s="409"/>
      <c r="M17" s="1029"/>
    </row>
    <row r="18" spans="1:13" ht="12" customHeight="1">
      <c r="A18" s="454">
        <v>2025</v>
      </c>
      <c r="C18" s="405" t="s">
        <v>472</v>
      </c>
      <c r="D18" s="406">
        <f>'T2 NSA'!H19</f>
        <v>0</v>
      </c>
      <c r="E18" s="407"/>
      <c r="F18" s="421"/>
      <c r="G18" s="409"/>
      <c r="H18" s="409"/>
      <c r="I18" s="409"/>
      <c r="J18" s="409"/>
      <c r="K18" s="409"/>
      <c r="L18" s="1041">
        <f>D18</f>
        <v>0</v>
      </c>
      <c r="M18" s="1029"/>
    </row>
    <row r="19" spans="1:13" ht="12" customHeight="1">
      <c r="A19" s="454">
        <v>2026</v>
      </c>
      <c r="C19" s="405" t="s">
        <v>473</v>
      </c>
      <c r="D19" s="406">
        <f>'T2 NSA'!I19</f>
        <v>0</v>
      </c>
      <c r="E19" s="407"/>
      <c r="F19" s="421"/>
      <c r="G19" s="409"/>
      <c r="H19" s="409"/>
      <c r="I19" s="409"/>
      <c r="J19" s="409"/>
      <c r="K19" s="409"/>
      <c r="L19" s="409"/>
      <c r="M19" s="1053">
        <f>D19</f>
        <v>0</v>
      </c>
    </row>
    <row r="20" spans="1:13" ht="12" customHeight="1">
      <c r="A20" s="454">
        <v>2027</v>
      </c>
      <c r="C20" s="425" t="s">
        <v>474</v>
      </c>
      <c r="D20" s="426">
        <f>'T2 NSA'!J19</f>
        <v>0</v>
      </c>
      <c r="E20" s="427"/>
      <c r="F20" s="428"/>
      <c r="G20" s="428"/>
      <c r="H20" s="428"/>
      <c r="I20" s="409"/>
      <c r="J20" s="409"/>
      <c r="K20" s="409"/>
      <c r="L20" s="409"/>
      <c r="M20" s="1054">
        <f>D20</f>
        <v>0</v>
      </c>
    </row>
    <row r="21" spans="1:13" ht="12" customHeight="1">
      <c r="A21" s="454" t="s">
        <v>475</v>
      </c>
      <c r="C21" s="430" t="s">
        <v>912</v>
      </c>
      <c r="D21" s="431">
        <f t="shared" ref="D21:M21" si="1">SUM(D16:D20)+D11+D15</f>
        <v>-3061.3342787046849</v>
      </c>
      <c r="E21" s="479">
        <f t="shared" si="1"/>
        <v>-1453</v>
      </c>
      <c r="F21" s="433">
        <f t="shared" si="1"/>
        <v>-1608.5000588783619</v>
      </c>
      <c r="G21" s="433">
        <f t="shared" si="1"/>
        <v>0</v>
      </c>
      <c r="H21" s="433">
        <f t="shared" si="1"/>
        <v>0</v>
      </c>
      <c r="I21" s="480">
        <f t="shared" si="1"/>
        <v>0</v>
      </c>
      <c r="J21" s="480">
        <f t="shared" si="1"/>
        <v>0</v>
      </c>
      <c r="K21" s="480">
        <f t="shared" si="1"/>
        <v>0</v>
      </c>
      <c r="L21" s="480">
        <f t="shared" si="1"/>
        <v>0</v>
      </c>
      <c r="M21" s="1055">
        <f t="shared" si="1"/>
        <v>0</v>
      </c>
    </row>
    <row r="22" spans="1:13" ht="4.2" customHeight="1">
      <c r="A22" s="748"/>
      <c r="C22" s="481"/>
      <c r="D22" s="482"/>
      <c r="E22" s="483"/>
      <c r="F22" s="483"/>
      <c r="G22" s="483"/>
      <c r="H22" s="483"/>
      <c r="I22" s="483"/>
      <c r="J22" s="446"/>
      <c r="K22" s="446"/>
      <c r="L22" s="446"/>
      <c r="M22" s="483"/>
    </row>
    <row r="23" spans="1:13" ht="12.6" customHeight="1">
      <c r="A23" s="454">
        <v>2017</v>
      </c>
      <c r="C23" s="397" t="s">
        <v>477</v>
      </c>
      <c r="D23" s="530"/>
      <c r="E23" s="505"/>
      <c r="F23" s="506"/>
      <c r="G23" s="506"/>
      <c r="H23" s="506"/>
      <c r="I23" s="1064"/>
      <c r="J23" s="1064"/>
      <c r="K23" s="1064"/>
      <c r="L23" s="1064"/>
      <c r="M23" s="1034"/>
    </row>
    <row r="24" spans="1:13" ht="12" customHeight="1">
      <c r="A24" s="454">
        <v>2018</v>
      </c>
      <c r="C24" s="405" t="s">
        <v>478</v>
      </c>
      <c r="D24" s="532"/>
      <c r="E24" s="507"/>
      <c r="F24" s="508"/>
      <c r="G24" s="508"/>
      <c r="H24" s="508"/>
      <c r="I24" s="1047"/>
      <c r="J24" s="1047"/>
      <c r="K24" s="1047"/>
      <c r="L24" s="1047"/>
      <c r="M24" s="1029"/>
    </row>
    <row r="25" spans="1:13" ht="12" customHeight="1">
      <c r="A25" s="454">
        <v>2019</v>
      </c>
      <c r="C25" s="405" t="s">
        <v>479</v>
      </c>
      <c r="D25" s="532"/>
      <c r="E25" s="456"/>
      <c r="F25" s="508"/>
      <c r="G25" s="508"/>
      <c r="H25" s="508"/>
      <c r="I25" s="1047"/>
      <c r="J25" s="1047"/>
      <c r="K25" s="1047"/>
      <c r="L25" s="1047"/>
      <c r="M25" s="1029"/>
    </row>
    <row r="26" spans="1:13" ht="12" customHeight="1">
      <c r="A26" s="454" t="s">
        <v>463</v>
      </c>
      <c r="C26" s="412" t="s">
        <v>480</v>
      </c>
      <c r="D26" s="418"/>
      <c r="E26" s="463"/>
      <c r="F26" s="416"/>
      <c r="G26" s="416"/>
      <c r="H26" s="416"/>
      <c r="I26" s="1040"/>
      <c r="J26" s="1040"/>
      <c r="K26" s="1040"/>
      <c r="L26" s="1040"/>
      <c r="M26" s="1030"/>
    </row>
    <row r="27" spans="1:13" ht="12" customHeight="1">
      <c r="A27" s="454">
        <v>2020</v>
      </c>
      <c r="C27" s="397" t="s">
        <v>481</v>
      </c>
      <c r="D27" s="411"/>
      <c r="E27" s="455"/>
      <c r="F27" s="401"/>
      <c r="G27" s="401"/>
      <c r="H27" s="401"/>
      <c r="I27" s="401"/>
      <c r="J27" s="401"/>
      <c r="K27" s="401"/>
      <c r="L27" s="401"/>
      <c r="M27" s="1034"/>
    </row>
    <row r="28" spans="1:13" ht="12" customHeight="1">
      <c r="A28" s="454">
        <v>2021</v>
      </c>
      <c r="C28" s="405" t="s">
        <v>482</v>
      </c>
      <c r="D28" s="411"/>
      <c r="E28" s="456"/>
      <c r="F28" s="409"/>
      <c r="G28" s="409"/>
      <c r="H28" s="409"/>
      <c r="I28" s="1047"/>
      <c r="J28" s="409"/>
      <c r="K28" s="409"/>
      <c r="L28" s="409"/>
      <c r="M28" s="1029"/>
    </row>
    <row r="29" spans="1:13" ht="12" customHeight="1">
      <c r="A29" s="454">
        <v>2022</v>
      </c>
      <c r="C29" s="405" t="s">
        <v>483</v>
      </c>
      <c r="D29" s="411"/>
      <c r="E29" s="456"/>
      <c r="F29" s="409"/>
      <c r="G29" s="409"/>
      <c r="H29" s="409"/>
      <c r="I29" s="409"/>
      <c r="J29" s="409"/>
      <c r="K29" s="409"/>
      <c r="L29" s="409"/>
      <c r="M29" s="1029"/>
    </row>
    <row r="30" spans="1:13" ht="12" customHeight="1">
      <c r="A30" s="454" t="s">
        <v>468</v>
      </c>
      <c r="C30" s="412" t="s">
        <v>484</v>
      </c>
      <c r="D30" s="418"/>
      <c r="E30" s="463"/>
      <c r="F30" s="416"/>
      <c r="G30" s="416"/>
      <c r="H30" s="416"/>
      <c r="I30" s="416"/>
      <c r="J30" s="416"/>
      <c r="K30" s="416"/>
      <c r="L30" s="416"/>
      <c r="M30" s="1030"/>
    </row>
    <row r="31" spans="1:13" ht="12" customHeight="1">
      <c r="A31" s="454">
        <v>2023</v>
      </c>
      <c r="C31" s="405" t="s">
        <v>485</v>
      </c>
      <c r="D31" s="411"/>
      <c r="E31" s="456"/>
      <c r="F31" s="409"/>
      <c r="G31" s="409"/>
      <c r="H31" s="409"/>
      <c r="I31" s="409"/>
      <c r="J31" s="409"/>
      <c r="K31" s="409"/>
      <c r="L31" s="409"/>
      <c r="M31" s="1029"/>
    </row>
    <row r="32" spans="1:13" ht="12" customHeight="1">
      <c r="A32" s="454">
        <v>2024</v>
      </c>
      <c r="C32" s="405" t="s">
        <v>486</v>
      </c>
      <c r="D32" s="411"/>
      <c r="E32" s="456"/>
      <c r="F32" s="409"/>
      <c r="G32" s="409"/>
      <c r="H32" s="409"/>
      <c r="I32" s="409"/>
      <c r="J32" s="409"/>
      <c r="K32" s="409"/>
      <c r="L32" s="409"/>
      <c r="M32" s="1029"/>
    </row>
    <row r="33" spans="1:13" ht="12" customHeight="1">
      <c r="A33" s="454">
        <v>2025</v>
      </c>
      <c r="C33" s="405" t="s">
        <v>487</v>
      </c>
      <c r="D33" s="411"/>
      <c r="E33" s="456"/>
      <c r="F33" s="409"/>
      <c r="G33" s="409"/>
      <c r="H33" s="409"/>
      <c r="I33" s="409"/>
      <c r="J33" s="409"/>
      <c r="K33" s="409"/>
      <c r="L33" s="409"/>
      <c r="M33" s="1029"/>
    </row>
    <row r="34" spans="1:13" ht="12" customHeight="1">
      <c r="A34" s="454">
        <v>2026</v>
      </c>
      <c r="C34" s="405" t="s">
        <v>488</v>
      </c>
      <c r="D34" s="411"/>
      <c r="E34" s="456"/>
      <c r="F34" s="409"/>
      <c r="G34" s="409"/>
      <c r="H34" s="409"/>
      <c r="I34" s="409"/>
      <c r="J34" s="409"/>
      <c r="K34" s="409"/>
      <c r="L34" s="409"/>
      <c r="M34" s="1029"/>
    </row>
    <row r="35" spans="1:13" ht="12" customHeight="1">
      <c r="A35" s="454">
        <v>2027</v>
      </c>
      <c r="C35" s="405" t="s">
        <v>489</v>
      </c>
      <c r="D35" s="467"/>
      <c r="E35" s="459"/>
      <c r="F35" s="460"/>
      <c r="G35" s="460"/>
      <c r="H35" s="460"/>
      <c r="I35" s="460"/>
      <c r="J35" s="460"/>
      <c r="K35" s="460"/>
      <c r="L35" s="460"/>
      <c r="M35" s="1035"/>
    </row>
    <row r="36" spans="1:13" ht="12" customHeight="1">
      <c r="A36" s="454" t="s">
        <v>475</v>
      </c>
      <c r="C36" s="430" t="s">
        <v>913</v>
      </c>
      <c r="D36" s="493"/>
      <c r="E36" s="493"/>
      <c r="F36" s="493"/>
      <c r="G36" s="493"/>
      <c r="H36" s="493"/>
      <c r="I36" s="493"/>
      <c r="J36" s="493"/>
      <c r="K36" s="493"/>
      <c r="L36" s="493"/>
      <c r="M36" s="1036"/>
    </row>
    <row r="37" spans="1:13" ht="4.2" customHeight="1">
      <c r="A37" s="748"/>
      <c r="C37" s="481"/>
      <c r="D37" s="481"/>
      <c r="E37" s="446"/>
      <c r="F37" s="446"/>
      <c r="G37" s="446"/>
      <c r="H37" s="446"/>
      <c r="I37" s="446"/>
      <c r="J37" s="446"/>
      <c r="K37" s="446"/>
      <c r="L37" s="446"/>
      <c r="M37" s="446"/>
    </row>
    <row r="38" spans="1:13" ht="12" customHeight="1">
      <c r="A38" s="454">
        <v>2020</v>
      </c>
      <c r="C38" s="397" t="s">
        <v>491</v>
      </c>
      <c r="D38" s="495"/>
      <c r="E38" s="455"/>
      <c r="F38" s="401"/>
      <c r="G38" s="506"/>
      <c r="H38" s="401"/>
      <c r="I38" s="1038"/>
      <c r="J38" s="401"/>
      <c r="K38" s="401"/>
      <c r="L38" s="401"/>
      <c r="M38" s="1034"/>
    </row>
    <row r="39" spans="1:13" ht="12" customHeight="1">
      <c r="A39" s="454">
        <v>2021</v>
      </c>
      <c r="C39" s="405" t="s">
        <v>492</v>
      </c>
      <c r="D39" s="496"/>
      <c r="E39" s="456"/>
      <c r="F39" s="409"/>
      <c r="G39" s="409"/>
      <c r="H39" s="508"/>
      <c r="I39" s="1039"/>
      <c r="J39" s="409"/>
      <c r="K39" s="409"/>
      <c r="L39" s="409"/>
      <c r="M39" s="1029"/>
    </row>
    <row r="40" spans="1:13" ht="12" customHeight="1">
      <c r="A40" s="454">
        <v>2022</v>
      </c>
      <c r="C40" s="405" t="s">
        <v>493</v>
      </c>
      <c r="D40" s="496"/>
      <c r="E40" s="456"/>
      <c r="F40" s="409"/>
      <c r="G40" s="409"/>
      <c r="H40" s="409"/>
      <c r="I40" s="1066"/>
      <c r="J40" s="409"/>
      <c r="K40" s="409"/>
      <c r="L40" s="409"/>
      <c r="M40" s="1029"/>
    </row>
    <row r="41" spans="1:13" ht="12" customHeight="1">
      <c r="A41" s="454" t="s">
        <v>468</v>
      </c>
      <c r="C41" s="412" t="s">
        <v>494</v>
      </c>
      <c r="D41" s="418"/>
      <c r="E41" s="463"/>
      <c r="F41" s="416"/>
      <c r="G41" s="416"/>
      <c r="H41" s="416"/>
      <c r="I41" s="416"/>
      <c r="J41" s="416"/>
      <c r="K41" s="416"/>
      <c r="L41" s="416"/>
      <c r="M41" s="1030"/>
    </row>
    <row r="42" spans="1:13" ht="12" customHeight="1">
      <c r="A42" s="454">
        <v>2023</v>
      </c>
      <c r="C42" s="405" t="s">
        <v>495</v>
      </c>
      <c r="D42" s="496"/>
      <c r="E42" s="456"/>
      <c r="F42" s="409"/>
      <c r="G42" s="409"/>
      <c r="H42" s="409"/>
      <c r="I42" s="1042"/>
      <c r="J42" s="1060"/>
      <c r="K42" s="1060"/>
      <c r="L42" s="401"/>
      <c r="M42" s="1034"/>
    </row>
    <row r="43" spans="1:13" ht="12" customHeight="1">
      <c r="A43" s="454">
        <v>2024</v>
      </c>
      <c r="C43" s="405" t="s">
        <v>496</v>
      </c>
      <c r="D43" s="496"/>
      <c r="E43" s="456"/>
      <c r="F43" s="409"/>
      <c r="G43" s="409"/>
      <c r="H43" s="409"/>
      <c r="I43" s="1042"/>
      <c r="J43" s="1060"/>
      <c r="K43" s="1060"/>
      <c r="L43" s="409"/>
      <c r="M43" s="1029"/>
    </row>
    <row r="44" spans="1:13" ht="12" customHeight="1">
      <c r="A44" s="454">
        <v>2025</v>
      </c>
      <c r="C44" s="405" t="s">
        <v>497</v>
      </c>
      <c r="D44" s="496"/>
      <c r="E44" s="456"/>
      <c r="F44" s="409"/>
      <c r="G44" s="409"/>
      <c r="H44" s="409"/>
      <c r="I44" s="1042"/>
      <c r="J44" s="1060"/>
      <c r="K44" s="1060"/>
      <c r="L44" s="1060"/>
      <c r="M44" s="1029"/>
    </row>
    <row r="45" spans="1:13" ht="12" customHeight="1">
      <c r="A45" s="454">
        <v>2026</v>
      </c>
      <c r="C45" s="405" t="s">
        <v>498</v>
      </c>
      <c r="D45" s="496"/>
      <c r="E45" s="456"/>
      <c r="F45" s="409"/>
      <c r="G45" s="409"/>
      <c r="H45" s="409"/>
      <c r="I45" s="1042"/>
      <c r="J45" s="1060"/>
      <c r="K45" s="1060"/>
      <c r="L45" s="1060"/>
      <c r="M45" s="1029"/>
    </row>
    <row r="46" spans="1:13" ht="12" customHeight="1">
      <c r="A46" s="454">
        <v>2027</v>
      </c>
      <c r="C46" s="405" t="s">
        <v>499</v>
      </c>
      <c r="D46" s="497"/>
      <c r="E46" s="459"/>
      <c r="F46" s="460"/>
      <c r="G46" s="460"/>
      <c r="H46" s="460"/>
      <c r="I46" s="1316"/>
      <c r="J46" s="1060"/>
      <c r="K46" s="1060"/>
      <c r="L46" s="1060"/>
      <c r="M46" s="1035"/>
    </row>
    <row r="47" spans="1:13" ht="12" customHeight="1">
      <c r="A47" s="454" t="s">
        <v>475</v>
      </c>
      <c r="C47" s="430" t="s">
        <v>914</v>
      </c>
      <c r="D47" s="499"/>
      <c r="E47" s="493"/>
      <c r="F47" s="494"/>
      <c r="G47" s="493"/>
      <c r="H47" s="493"/>
      <c r="I47" s="493"/>
      <c r="J47" s="493"/>
      <c r="K47" s="493"/>
      <c r="L47" s="493"/>
      <c r="M47" s="1036"/>
    </row>
    <row r="48" spans="1:13" ht="4.2" customHeight="1">
      <c r="A48" s="748"/>
      <c r="C48" s="481"/>
      <c r="D48" s="481"/>
      <c r="E48" s="446"/>
      <c r="F48" s="446"/>
      <c r="G48" s="446"/>
      <c r="H48" s="446"/>
      <c r="I48" s="446"/>
      <c r="J48" s="446"/>
      <c r="K48" s="446"/>
      <c r="L48" s="446"/>
      <c r="M48" s="446"/>
    </row>
    <row r="49" spans="1:15" ht="12" customHeight="1">
      <c r="A49" s="454">
        <v>2020</v>
      </c>
      <c r="C49" s="397" t="s">
        <v>501</v>
      </c>
      <c r="D49" s="442">
        <f>'T2 NSA'!C23</f>
        <v>-3711.3231999999698</v>
      </c>
      <c r="E49" s="419"/>
      <c r="F49" s="400"/>
      <c r="G49" s="486">
        <f>D49</f>
        <v>-3711.3231999999698</v>
      </c>
      <c r="H49" s="401"/>
      <c r="I49" s="1038"/>
      <c r="J49" s="401"/>
      <c r="K49" s="401"/>
      <c r="L49" s="401"/>
      <c r="M49" s="1034"/>
    </row>
    <row r="50" spans="1:15" ht="12" customHeight="1">
      <c r="A50" s="454">
        <v>2021</v>
      </c>
      <c r="C50" s="405" t="s">
        <v>502</v>
      </c>
      <c r="D50" s="1390">
        <f>'T2 NSA'!D23</f>
        <v>0.26560000000608852</v>
      </c>
      <c r="E50" s="407"/>
      <c r="F50" s="421"/>
      <c r="G50" s="409"/>
      <c r="H50" s="490">
        <f>D50</f>
        <v>0.26560000000608852</v>
      </c>
      <c r="I50" s="1039"/>
      <c r="J50" s="409"/>
      <c r="K50" s="409"/>
      <c r="L50" s="409"/>
      <c r="M50" s="1029"/>
    </row>
    <row r="51" spans="1:15" ht="12" customHeight="1">
      <c r="A51" s="454">
        <v>2022</v>
      </c>
      <c r="C51" s="405" t="s">
        <v>503</v>
      </c>
      <c r="D51" s="443">
        <f>'T2 NSA'!E23</f>
        <v>-85.705767720006406</v>
      </c>
      <c r="E51" s="407"/>
      <c r="F51" s="421"/>
      <c r="G51" s="409"/>
      <c r="H51" s="409"/>
      <c r="I51" s="1504">
        <f>D51</f>
        <v>-85.705767720006406</v>
      </c>
      <c r="J51" s="409"/>
      <c r="K51" s="409"/>
      <c r="L51" s="409"/>
      <c r="M51" s="1029"/>
    </row>
    <row r="52" spans="1:15" ht="12" customHeight="1">
      <c r="A52" s="454" t="s">
        <v>468</v>
      </c>
      <c r="C52" s="412" t="s">
        <v>504</v>
      </c>
      <c r="D52" s="413">
        <f>SUM(D49:D51)</f>
        <v>-3796.7633677199701</v>
      </c>
      <c r="E52" s="1062"/>
      <c r="F52" s="1063"/>
      <c r="G52" s="415">
        <f>SUM(G49:G51)</f>
        <v>-3711.3231999999698</v>
      </c>
      <c r="H52" s="1391">
        <f>SUM(H49:H51)</f>
        <v>0.26560000000608852</v>
      </c>
      <c r="I52" s="415">
        <f>SUM(I49:I51)</f>
        <v>-85.705767720006406</v>
      </c>
      <c r="J52" s="416"/>
      <c r="K52" s="416"/>
      <c r="L52" s="416"/>
      <c r="M52" s="1030"/>
    </row>
    <row r="53" spans="1:15" ht="12" customHeight="1">
      <c r="A53" s="454">
        <v>2023</v>
      </c>
      <c r="C53" s="405" t="s">
        <v>505</v>
      </c>
      <c r="D53" s="443">
        <f>'T2 NSA'!F23</f>
        <v>0</v>
      </c>
      <c r="E53" s="407"/>
      <c r="F53" s="421"/>
      <c r="G53" s="409"/>
      <c r="H53" s="409"/>
      <c r="I53" s="1042"/>
      <c r="J53" s="1065">
        <f>D53</f>
        <v>0</v>
      </c>
      <c r="K53" s="1060"/>
      <c r="L53" s="401"/>
      <c r="M53" s="1034"/>
      <c r="O53" s="1"/>
    </row>
    <row r="54" spans="1:15" ht="12" customHeight="1">
      <c r="A54" s="454">
        <v>2024</v>
      </c>
      <c r="C54" s="405" t="s">
        <v>506</v>
      </c>
      <c r="D54" s="443">
        <f>'T2 NSA'!G23</f>
        <v>0</v>
      </c>
      <c r="E54" s="407"/>
      <c r="F54" s="421"/>
      <c r="G54" s="409"/>
      <c r="H54" s="409"/>
      <c r="I54" s="1042"/>
      <c r="J54" s="1060"/>
      <c r="K54" s="1065">
        <f>D54</f>
        <v>0</v>
      </c>
      <c r="L54" s="409"/>
      <c r="M54" s="1029"/>
      <c r="O54" s="1"/>
    </row>
    <row r="55" spans="1:15" ht="12" customHeight="1">
      <c r="A55" s="454">
        <v>2025</v>
      </c>
      <c r="C55" s="405" t="s">
        <v>507</v>
      </c>
      <c r="D55" s="443">
        <f>'T2 NSA'!H23</f>
        <v>0</v>
      </c>
      <c r="E55" s="407"/>
      <c r="F55" s="421"/>
      <c r="G55" s="409"/>
      <c r="H55" s="409"/>
      <c r="I55" s="1042"/>
      <c r="J55" s="1060"/>
      <c r="K55" s="1060"/>
      <c r="L55" s="1065">
        <f>D55</f>
        <v>0</v>
      </c>
      <c r="M55" s="1029"/>
      <c r="O55" s="1"/>
    </row>
    <row r="56" spans="1:15" ht="12" customHeight="1">
      <c r="A56" s="454">
        <v>2026</v>
      </c>
      <c r="C56" s="405" t="s">
        <v>508</v>
      </c>
      <c r="D56" s="443">
        <f>'T2 NSA'!I23</f>
        <v>0</v>
      </c>
      <c r="E56" s="407"/>
      <c r="F56" s="421"/>
      <c r="G56" s="409"/>
      <c r="H56" s="409"/>
      <c r="I56" s="1042"/>
      <c r="J56" s="1060"/>
      <c r="K56" s="1060"/>
      <c r="L56" s="1060"/>
      <c r="M56" s="439">
        <f>D56</f>
        <v>0</v>
      </c>
      <c r="O56" s="1"/>
    </row>
    <row r="57" spans="1:15" ht="12" customHeight="1">
      <c r="A57" s="454">
        <v>2027</v>
      </c>
      <c r="C57" s="405" t="s">
        <v>509</v>
      </c>
      <c r="D57" s="444">
        <f>'T2 NSA'!J23</f>
        <v>0</v>
      </c>
      <c r="E57" s="427"/>
      <c r="F57" s="428"/>
      <c r="G57" s="428"/>
      <c r="H57" s="428"/>
      <c r="I57" s="1043"/>
      <c r="J57" s="1061"/>
      <c r="K57" s="1061"/>
      <c r="L57" s="1061"/>
      <c r="M57" s="1054">
        <f>D57</f>
        <v>0</v>
      </c>
    </row>
    <row r="58" spans="1:15" ht="12" customHeight="1">
      <c r="A58" s="454" t="s">
        <v>475</v>
      </c>
      <c r="C58" s="430" t="s">
        <v>915</v>
      </c>
      <c r="D58" s="431">
        <f>SUM(D52:D57)</f>
        <v>-3796.7633677199701</v>
      </c>
      <c r="E58" s="493"/>
      <c r="F58" s="494"/>
      <c r="G58" s="479">
        <f t="shared" ref="G58:L58" si="2">SUM(G52:G57)</f>
        <v>-3711.3231999999698</v>
      </c>
      <c r="H58" s="1392">
        <f t="shared" si="2"/>
        <v>0.26560000000608852</v>
      </c>
      <c r="I58" s="479">
        <f t="shared" si="2"/>
        <v>-85.705767720006406</v>
      </c>
      <c r="J58" s="479">
        <f t="shared" si="2"/>
        <v>0</v>
      </c>
      <c r="K58" s="479">
        <f t="shared" si="2"/>
        <v>0</v>
      </c>
      <c r="L58" s="479">
        <f t="shared" si="2"/>
        <v>0</v>
      </c>
      <c r="M58" s="1055">
        <f>SUM(M52:M57)</f>
        <v>0</v>
      </c>
    </row>
    <row r="59" spans="1:15" ht="4.95" customHeight="1">
      <c r="A59" s="748"/>
      <c r="C59" s="481"/>
      <c r="D59" s="446"/>
      <c r="E59" s="446"/>
      <c r="F59" s="446"/>
      <c r="G59" s="446"/>
      <c r="H59" s="446"/>
      <c r="I59" s="446"/>
      <c r="J59" s="446"/>
      <c r="K59" s="446"/>
      <c r="L59" s="446"/>
      <c r="M59" s="446"/>
    </row>
    <row r="60" spans="1:15" ht="12" customHeight="1">
      <c r="A60" s="454">
        <v>2020</v>
      </c>
      <c r="C60" s="397" t="s">
        <v>511</v>
      </c>
      <c r="D60" s="442">
        <f>'T2 NSA'!C24</f>
        <v>-3808.3130923808203</v>
      </c>
      <c r="E60" s="419"/>
      <c r="F60" s="400"/>
      <c r="G60" s="486">
        <f>D60</f>
        <v>-3808.3130923808203</v>
      </c>
      <c r="H60" s="401"/>
      <c r="I60" s="1038"/>
      <c r="J60" s="401"/>
      <c r="K60" s="401"/>
      <c r="L60" s="401"/>
      <c r="M60" s="1034"/>
    </row>
    <row r="61" spans="1:15" ht="12" customHeight="1">
      <c r="A61" s="454">
        <v>2021</v>
      </c>
      <c r="C61" s="405" t="s">
        <v>512</v>
      </c>
      <c r="D61" s="443">
        <f>'T2 NSA'!D24</f>
        <v>-6609.2647955020075</v>
      </c>
      <c r="E61" s="407"/>
      <c r="F61" s="421"/>
      <c r="G61" s="409"/>
      <c r="H61" s="490">
        <f>D61</f>
        <v>-6609.2647955020075</v>
      </c>
      <c r="I61" s="1039"/>
      <c r="J61" s="409"/>
      <c r="K61" s="409"/>
      <c r="L61" s="409"/>
      <c r="M61" s="1029"/>
      <c r="O61" s="1364"/>
    </row>
    <row r="62" spans="1:15" ht="12" customHeight="1">
      <c r="A62" s="454">
        <v>2022</v>
      </c>
      <c r="C62" s="405" t="s">
        <v>513</v>
      </c>
      <c r="D62" s="443">
        <f>'T2 NSA'!E24</f>
        <v>2137.4447000479995</v>
      </c>
      <c r="E62" s="407"/>
      <c r="F62" s="421"/>
      <c r="G62" s="409"/>
      <c r="H62" s="409"/>
      <c r="I62" s="1046">
        <f>D62</f>
        <v>2137.4447000479995</v>
      </c>
      <c r="J62" s="409"/>
      <c r="K62" s="409"/>
      <c r="L62" s="409"/>
      <c r="M62" s="1029"/>
    </row>
    <row r="63" spans="1:15" ht="12" customHeight="1">
      <c r="A63" s="454" t="s">
        <v>468</v>
      </c>
      <c r="C63" s="412" t="s">
        <v>514</v>
      </c>
      <c r="D63" s="413">
        <f>SUM(D60:D62)</f>
        <v>-8280.1331878348283</v>
      </c>
      <c r="E63" s="1062"/>
      <c r="F63" s="1063"/>
      <c r="G63" s="415">
        <f>SUM(G60:G62)</f>
        <v>-3808.3130923808203</v>
      </c>
      <c r="H63" s="415">
        <f>SUM(H60:H62)</f>
        <v>-6609.2647955020075</v>
      </c>
      <c r="I63" s="415">
        <f>SUM(I60:I62)</f>
        <v>2137.4447000479995</v>
      </c>
      <c r="J63" s="416"/>
      <c r="K63" s="416"/>
      <c r="L63" s="416"/>
      <c r="M63" s="1030"/>
    </row>
    <row r="64" spans="1:15" ht="12" customHeight="1">
      <c r="A64" s="454">
        <v>2023</v>
      </c>
      <c r="C64" s="405" t="s">
        <v>515</v>
      </c>
      <c r="D64" s="443">
        <f>'T2 NSA'!F24</f>
        <v>0</v>
      </c>
      <c r="E64" s="407"/>
      <c r="F64" s="421"/>
      <c r="G64" s="409"/>
      <c r="H64" s="409"/>
      <c r="I64" s="1042"/>
      <c r="J64" s="1065">
        <f>D64</f>
        <v>0</v>
      </c>
      <c r="K64" s="1060"/>
      <c r="L64" s="401"/>
      <c r="M64" s="1034"/>
    </row>
    <row r="65" spans="1:13" ht="12" customHeight="1">
      <c r="A65" s="454">
        <v>2024</v>
      </c>
      <c r="C65" s="405" t="s">
        <v>516</v>
      </c>
      <c r="D65" s="443">
        <f>'T2 NSA'!G24</f>
        <v>0</v>
      </c>
      <c r="E65" s="407"/>
      <c r="F65" s="421"/>
      <c r="G65" s="409"/>
      <c r="H65" s="409"/>
      <c r="I65" s="1042"/>
      <c r="J65" s="1060"/>
      <c r="K65" s="1065">
        <f>D65</f>
        <v>0</v>
      </c>
      <c r="L65" s="409"/>
      <c r="M65" s="1029"/>
    </row>
    <row r="66" spans="1:13" ht="12" customHeight="1">
      <c r="A66" s="454">
        <v>2025</v>
      </c>
      <c r="C66" s="405" t="s">
        <v>517</v>
      </c>
      <c r="D66" s="443">
        <f>'T2 NSA'!H24</f>
        <v>0</v>
      </c>
      <c r="E66" s="407"/>
      <c r="F66" s="421"/>
      <c r="G66" s="409"/>
      <c r="H66" s="409"/>
      <c r="I66" s="1042"/>
      <c r="J66" s="1060"/>
      <c r="K66" s="1060"/>
      <c r="L66" s="1065">
        <f>D66</f>
        <v>0</v>
      </c>
      <c r="M66" s="1029"/>
    </row>
    <row r="67" spans="1:13" ht="12" customHeight="1">
      <c r="A67" s="454">
        <v>2026</v>
      </c>
      <c r="C67" s="405" t="s">
        <v>518</v>
      </c>
      <c r="D67" s="443">
        <f>'T2 NSA'!I24</f>
        <v>0</v>
      </c>
      <c r="E67" s="407"/>
      <c r="F67" s="421"/>
      <c r="G67" s="409"/>
      <c r="H67" s="409"/>
      <c r="I67" s="1042"/>
      <c r="J67" s="1060"/>
      <c r="K67" s="1060"/>
      <c r="L67" s="1060"/>
      <c r="M67" s="439">
        <f>D67</f>
        <v>0</v>
      </c>
    </row>
    <row r="68" spans="1:13" ht="12" customHeight="1">
      <c r="A68" s="454">
        <v>2027</v>
      </c>
      <c r="C68" s="405" t="s">
        <v>519</v>
      </c>
      <c r="D68" s="444">
        <f>'T2 NSA'!J24</f>
        <v>0</v>
      </c>
      <c r="E68" s="427"/>
      <c r="F68" s="428"/>
      <c r="G68" s="428"/>
      <c r="H68" s="428"/>
      <c r="I68" s="1043"/>
      <c r="J68" s="1061"/>
      <c r="K68" s="1061"/>
      <c r="L68" s="1061"/>
      <c r="M68" s="1054">
        <f>D68</f>
        <v>0</v>
      </c>
    </row>
    <row r="69" spans="1:13" ht="12" customHeight="1">
      <c r="A69" s="454" t="s">
        <v>475</v>
      </c>
      <c r="C69" s="430" t="s">
        <v>916</v>
      </c>
      <c r="D69" s="431">
        <f>SUM(D63:D68)</f>
        <v>-8280.1331878348283</v>
      </c>
      <c r="E69" s="493"/>
      <c r="F69" s="494"/>
      <c r="G69" s="479">
        <f t="shared" ref="G69:L69" si="3">SUM(G63:G68)</f>
        <v>-3808.3130923808203</v>
      </c>
      <c r="H69" s="1387">
        <f>SUM(H63:H68)</f>
        <v>-6609.2647955020075</v>
      </c>
      <c r="I69" s="479">
        <f t="shared" si="3"/>
        <v>2137.4447000479995</v>
      </c>
      <c r="J69" s="479">
        <f t="shared" si="3"/>
        <v>0</v>
      </c>
      <c r="K69" s="479">
        <f t="shared" si="3"/>
        <v>0</v>
      </c>
      <c r="L69" s="479">
        <f t="shared" si="3"/>
        <v>0</v>
      </c>
      <c r="M69" s="1055">
        <f>SUM(M63:M68)</f>
        <v>0</v>
      </c>
    </row>
    <row r="70" spans="1:13" ht="4.95" customHeight="1">
      <c r="A70" s="748"/>
      <c r="C70" s="481"/>
      <c r="D70" s="481"/>
      <c r="E70" s="446"/>
      <c r="F70" s="446"/>
      <c r="G70" s="446"/>
      <c r="H70" s="446"/>
      <c r="I70" s="446"/>
      <c r="J70" s="446"/>
      <c r="K70" s="446"/>
      <c r="L70" s="446"/>
      <c r="M70" s="446"/>
    </row>
    <row r="71" spans="1:13" ht="12" customHeight="1">
      <c r="A71" s="454">
        <v>2020</v>
      </c>
      <c r="C71" s="397" t="s">
        <v>521</v>
      </c>
      <c r="D71" s="495"/>
      <c r="E71" s="455"/>
      <c r="F71" s="401"/>
      <c r="G71" s="506"/>
      <c r="H71" s="401"/>
      <c r="I71" s="1038"/>
      <c r="J71" s="1038"/>
      <c r="K71" s="1038"/>
      <c r="L71" s="1038"/>
      <c r="M71" s="1034"/>
    </row>
    <row r="72" spans="1:13" ht="12" customHeight="1">
      <c r="A72" s="454">
        <v>2021</v>
      </c>
      <c r="C72" s="405" t="s">
        <v>522</v>
      </c>
      <c r="D72" s="496"/>
      <c r="E72" s="456"/>
      <c r="F72" s="409"/>
      <c r="G72" s="409"/>
      <c r="H72" s="508"/>
      <c r="I72" s="1039"/>
      <c r="J72" s="1039"/>
      <c r="K72" s="1039"/>
      <c r="L72" s="1039"/>
      <c r="M72" s="1029"/>
    </row>
    <row r="73" spans="1:13" ht="12" customHeight="1">
      <c r="A73" s="454">
        <v>2022</v>
      </c>
      <c r="C73" s="405" t="s">
        <v>523</v>
      </c>
      <c r="D73" s="496"/>
      <c r="E73" s="456"/>
      <c r="F73" s="409"/>
      <c r="G73" s="409"/>
      <c r="H73" s="409"/>
      <c r="I73" s="1066"/>
      <c r="J73" s="1066"/>
      <c r="K73" s="1066"/>
      <c r="L73" s="1066"/>
      <c r="M73" s="1029"/>
    </row>
    <row r="74" spans="1:13" ht="12" customHeight="1">
      <c r="A74" s="454" t="s">
        <v>468</v>
      </c>
      <c r="C74" s="412" t="s">
        <v>524</v>
      </c>
      <c r="D74" s="418"/>
      <c r="E74" s="463"/>
      <c r="F74" s="416"/>
      <c r="G74" s="416"/>
      <c r="H74" s="416"/>
      <c r="I74" s="416"/>
      <c r="J74" s="416"/>
      <c r="K74" s="416"/>
      <c r="L74" s="416"/>
      <c r="M74" s="1030"/>
    </row>
    <row r="75" spans="1:13" ht="12" customHeight="1">
      <c r="A75" s="454">
        <v>2023</v>
      </c>
      <c r="C75" s="405" t="s">
        <v>525</v>
      </c>
      <c r="D75" s="496"/>
      <c r="E75" s="456"/>
      <c r="F75" s="409"/>
      <c r="G75" s="409"/>
      <c r="H75" s="409"/>
      <c r="I75" s="1042"/>
      <c r="J75" s="409"/>
      <c r="K75" s="409"/>
      <c r="L75" s="409"/>
      <c r="M75" s="1029"/>
    </row>
    <row r="76" spans="1:13" ht="12" customHeight="1">
      <c r="A76" s="454">
        <v>2024</v>
      </c>
      <c r="C76" s="405" t="s">
        <v>526</v>
      </c>
      <c r="D76" s="496"/>
      <c r="E76" s="456"/>
      <c r="F76" s="409"/>
      <c r="G76" s="409"/>
      <c r="H76" s="409"/>
      <c r="I76" s="1042"/>
      <c r="J76" s="409"/>
      <c r="K76" s="409"/>
      <c r="L76" s="409"/>
      <c r="M76" s="1029"/>
    </row>
    <row r="77" spans="1:13" ht="12" customHeight="1">
      <c r="A77" s="454">
        <v>2025</v>
      </c>
      <c r="C77" s="405" t="s">
        <v>527</v>
      </c>
      <c r="D77" s="496"/>
      <c r="E77" s="456"/>
      <c r="F77" s="409"/>
      <c r="G77" s="409"/>
      <c r="H77" s="409"/>
      <c r="I77" s="1042"/>
      <c r="J77" s="409"/>
      <c r="K77" s="409"/>
      <c r="L77" s="409"/>
      <c r="M77" s="1029"/>
    </row>
    <row r="78" spans="1:13" ht="12" customHeight="1">
      <c r="A78" s="454">
        <v>2026</v>
      </c>
      <c r="C78" s="405" t="s">
        <v>528</v>
      </c>
      <c r="D78" s="496"/>
      <c r="E78" s="456"/>
      <c r="F78" s="409"/>
      <c r="G78" s="409"/>
      <c r="H78" s="409"/>
      <c r="I78" s="1042"/>
      <c r="J78" s="409"/>
      <c r="K78" s="409"/>
      <c r="L78" s="409"/>
      <c r="M78" s="1029"/>
    </row>
    <row r="79" spans="1:13" ht="12" customHeight="1">
      <c r="A79" s="454">
        <v>2027</v>
      </c>
      <c r="C79" s="405" t="s">
        <v>529</v>
      </c>
      <c r="D79" s="497"/>
      <c r="E79" s="459"/>
      <c r="F79" s="460"/>
      <c r="G79" s="460"/>
      <c r="H79" s="460"/>
      <c r="I79" s="1316"/>
      <c r="J79" s="460"/>
      <c r="K79" s="460"/>
      <c r="L79" s="460"/>
      <c r="M79" s="1035"/>
    </row>
    <row r="80" spans="1:13" ht="12" customHeight="1">
      <c r="A80" s="454" t="s">
        <v>475</v>
      </c>
      <c r="C80" s="430" t="s">
        <v>917</v>
      </c>
      <c r="D80" s="499"/>
      <c r="E80" s="493"/>
      <c r="F80" s="494"/>
      <c r="G80" s="494"/>
      <c r="H80" s="494"/>
      <c r="I80" s="494"/>
      <c r="J80" s="494"/>
      <c r="K80" s="494"/>
      <c r="L80" s="494"/>
      <c r="M80" s="1036"/>
    </row>
    <row r="81" spans="1:13" ht="3.6" customHeight="1">
      <c r="A81" s="748"/>
      <c r="C81" s="481"/>
      <c r="D81" s="1317"/>
      <c r="E81" s="1033"/>
      <c r="F81" s="1033"/>
      <c r="G81" s="1033"/>
      <c r="H81" s="1033"/>
      <c r="I81" s="1033"/>
      <c r="J81" s="1033"/>
      <c r="K81" s="1033"/>
      <c r="L81" s="1033"/>
      <c r="M81" s="1033"/>
    </row>
    <row r="82" spans="1:13" ht="12" customHeight="1">
      <c r="A82" s="454">
        <v>2020</v>
      </c>
      <c r="C82" s="397" t="s">
        <v>531</v>
      </c>
      <c r="D82" s="495"/>
      <c r="E82" s="455"/>
      <c r="F82" s="401"/>
      <c r="G82" s="506"/>
      <c r="H82" s="401"/>
      <c r="I82" s="1038"/>
      <c r="J82" s="1038"/>
      <c r="K82" s="1038"/>
      <c r="L82" s="1038"/>
      <c r="M82" s="1034"/>
    </row>
    <row r="83" spans="1:13" ht="12" customHeight="1">
      <c r="A83" s="454">
        <v>2021</v>
      </c>
      <c r="C83" s="405" t="s">
        <v>532</v>
      </c>
      <c r="D83" s="496"/>
      <c r="E83" s="456"/>
      <c r="F83" s="409"/>
      <c r="G83" s="409"/>
      <c r="H83" s="508"/>
      <c r="I83" s="1039"/>
      <c r="J83" s="409"/>
      <c r="K83" s="409"/>
      <c r="L83" s="409"/>
      <c r="M83" s="1029"/>
    </row>
    <row r="84" spans="1:13" ht="12" customHeight="1">
      <c r="A84" s="454">
        <v>2022</v>
      </c>
      <c r="C84" s="405" t="s">
        <v>533</v>
      </c>
      <c r="D84" s="496"/>
      <c r="E84" s="456"/>
      <c r="F84" s="409"/>
      <c r="G84" s="409"/>
      <c r="H84" s="409"/>
      <c r="I84" s="1066"/>
      <c r="J84" s="460"/>
      <c r="K84" s="460"/>
      <c r="L84" s="460"/>
      <c r="M84" s="1029"/>
    </row>
    <row r="85" spans="1:13" ht="12" customHeight="1">
      <c r="A85" s="454" t="s">
        <v>468</v>
      </c>
      <c r="C85" s="412" t="s">
        <v>534</v>
      </c>
      <c r="D85" s="418"/>
      <c r="E85" s="463"/>
      <c r="F85" s="416"/>
      <c r="G85" s="416"/>
      <c r="H85" s="416"/>
      <c r="I85" s="416"/>
      <c r="J85" s="416"/>
      <c r="K85" s="416"/>
      <c r="L85" s="416"/>
      <c r="M85" s="1030"/>
    </row>
    <row r="86" spans="1:13" ht="12" customHeight="1">
      <c r="A86" s="454">
        <v>2023</v>
      </c>
      <c r="C86" s="405" t="s">
        <v>535</v>
      </c>
      <c r="D86" s="495"/>
      <c r="E86" s="456"/>
      <c r="F86" s="409"/>
      <c r="G86" s="409"/>
      <c r="H86" s="409"/>
      <c r="I86" s="1042"/>
      <c r="J86" s="409"/>
      <c r="K86" s="409"/>
      <c r="L86" s="409"/>
      <c r="M86" s="1029"/>
    </row>
    <row r="87" spans="1:13" ht="12" customHeight="1">
      <c r="A87" s="454">
        <v>2024</v>
      </c>
      <c r="C87" s="405" t="s">
        <v>536</v>
      </c>
      <c r="D87" s="496"/>
      <c r="E87" s="456"/>
      <c r="F87" s="409"/>
      <c r="G87" s="409"/>
      <c r="H87" s="409"/>
      <c r="I87" s="1042"/>
      <c r="J87" s="409"/>
      <c r="K87" s="409"/>
      <c r="L87" s="409"/>
      <c r="M87" s="1029"/>
    </row>
    <row r="88" spans="1:13" ht="12" customHeight="1">
      <c r="A88" s="454">
        <v>2025</v>
      </c>
      <c r="C88" s="405" t="s">
        <v>537</v>
      </c>
      <c r="D88" s="496"/>
      <c r="E88" s="456"/>
      <c r="F88" s="409"/>
      <c r="G88" s="409"/>
      <c r="H88" s="409"/>
      <c r="I88" s="1042"/>
      <c r="J88" s="409"/>
      <c r="K88" s="409"/>
      <c r="L88" s="409"/>
      <c r="M88" s="1029"/>
    </row>
    <row r="89" spans="1:13" ht="12" customHeight="1">
      <c r="A89" s="454">
        <v>2026</v>
      </c>
      <c r="C89" s="405" t="s">
        <v>538</v>
      </c>
      <c r="D89" s="496"/>
      <c r="E89" s="456"/>
      <c r="F89" s="409"/>
      <c r="G89" s="409"/>
      <c r="H89" s="409"/>
      <c r="I89" s="1042"/>
      <c r="J89" s="409"/>
      <c r="K89" s="409"/>
      <c r="L89" s="409"/>
      <c r="M89" s="1029"/>
    </row>
    <row r="90" spans="1:13" ht="12" customHeight="1">
      <c r="A90" s="454">
        <v>2027</v>
      </c>
      <c r="C90" s="405" t="s">
        <v>539</v>
      </c>
      <c r="D90" s="497"/>
      <c r="E90" s="459"/>
      <c r="F90" s="460"/>
      <c r="G90" s="460"/>
      <c r="H90" s="460"/>
      <c r="I90" s="1316"/>
      <c r="J90" s="460"/>
      <c r="K90" s="460"/>
      <c r="L90" s="460"/>
      <c r="M90" s="1035"/>
    </row>
    <row r="91" spans="1:13" ht="12" customHeight="1">
      <c r="A91" s="454" t="s">
        <v>475</v>
      </c>
      <c r="C91" s="430" t="s">
        <v>918</v>
      </c>
      <c r="D91" s="499"/>
      <c r="E91" s="493"/>
      <c r="F91" s="494"/>
      <c r="G91" s="494"/>
      <c r="H91" s="494"/>
      <c r="I91" s="494"/>
      <c r="J91" s="494"/>
      <c r="K91" s="494"/>
      <c r="L91" s="494"/>
      <c r="M91" s="1036"/>
    </row>
    <row r="92" spans="1:13" ht="3.6" customHeight="1">
      <c r="A92" s="748"/>
      <c r="C92" s="481"/>
      <c r="D92" s="1317"/>
      <c r="E92" s="1033"/>
      <c r="F92" s="1033"/>
      <c r="G92" s="1033"/>
      <c r="H92" s="1033"/>
      <c r="I92" s="1033"/>
      <c r="J92" s="1033"/>
      <c r="K92" s="1033"/>
      <c r="L92" s="1033"/>
      <c r="M92" s="1033"/>
    </row>
    <row r="93" spans="1:13" ht="12" customHeight="1">
      <c r="A93" s="454">
        <v>2020</v>
      </c>
      <c r="C93" s="397" t="s">
        <v>541</v>
      </c>
      <c r="D93" s="495"/>
      <c r="E93" s="455"/>
      <c r="F93" s="401"/>
      <c r="G93" s="506"/>
      <c r="H93" s="401"/>
      <c r="I93" s="1038"/>
      <c r="J93" s="1038"/>
      <c r="K93" s="1038"/>
      <c r="L93" s="1038"/>
      <c r="M93" s="1034"/>
    </row>
    <row r="94" spans="1:13" ht="12" customHeight="1">
      <c r="A94" s="454">
        <v>2021</v>
      </c>
      <c r="C94" s="405" t="s">
        <v>542</v>
      </c>
      <c r="D94" s="496"/>
      <c r="E94" s="456"/>
      <c r="F94" s="409"/>
      <c r="G94" s="409"/>
      <c r="H94" s="508"/>
      <c r="I94" s="1039"/>
      <c r="J94" s="1039"/>
      <c r="K94" s="1039"/>
      <c r="L94" s="1039"/>
      <c r="M94" s="1029"/>
    </row>
    <row r="95" spans="1:13" ht="12" customHeight="1">
      <c r="A95" s="454">
        <v>2022</v>
      </c>
      <c r="C95" s="405" t="s">
        <v>543</v>
      </c>
      <c r="D95" s="496"/>
      <c r="E95" s="456"/>
      <c r="F95" s="409"/>
      <c r="G95" s="409"/>
      <c r="H95" s="409"/>
      <c r="I95" s="1066"/>
      <c r="J95" s="460"/>
      <c r="K95" s="460"/>
      <c r="L95" s="460"/>
      <c r="M95" s="1029"/>
    </row>
    <row r="96" spans="1:13" ht="12" customHeight="1">
      <c r="A96" s="454" t="s">
        <v>468</v>
      </c>
      <c r="C96" s="412" t="s">
        <v>928</v>
      </c>
      <c r="D96" s="418"/>
      <c r="E96" s="463"/>
      <c r="F96" s="416"/>
      <c r="G96" s="416"/>
      <c r="H96" s="416"/>
      <c r="I96" s="416"/>
      <c r="J96" s="416"/>
      <c r="K96" s="416"/>
      <c r="L96" s="416"/>
      <c r="M96" s="1030"/>
    </row>
    <row r="97" spans="1:15" ht="12" customHeight="1">
      <c r="A97" s="454">
        <v>2023</v>
      </c>
      <c r="C97" s="405" t="s">
        <v>544</v>
      </c>
      <c r="D97" s="496"/>
      <c r="E97" s="456"/>
      <c r="F97" s="409"/>
      <c r="G97" s="409"/>
      <c r="H97" s="409"/>
      <c r="I97" s="1042"/>
      <c r="J97" s="409"/>
      <c r="K97" s="409"/>
      <c r="L97" s="409"/>
      <c r="M97" s="1029"/>
    </row>
    <row r="98" spans="1:15" ht="12" customHeight="1">
      <c r="A98" s="454">
        <v>2024</v>
      </c>
      <c r="C98" s="405" t="s">
        <v>545</v>
      </c>
      <c r="D98" s="496"/>
      <c r="E98" s="456"/>
      <c r="F98" s="409"/>
      <c r="G98" s="409"/>
      <c r="H98" s="409"/>
      <c r="I98" s="1042"/>
      <c r="J98" s="409"/>
      <c r="K98" s="409"/>
      <c r="L98" s="409"/>
      <c r="M98" s="1029"/>
    </row>
    <row r="99" spans="1:15" ht="12" customHeight="1">
      <c r="A99" s="454">
        <v>2025</v>
      </c>
      <c r="C99" s="405" t="s">
        <v>546</v>
      </c>
      <c r="D99" s="496"/>
      <c r="E99" s="456"/>
      <c r="F99" s="409"/>
      <c r="G99" s="409"/>
      <c r="H99" s="409"/>
      <c r="I99" s="1042"/>
      <c r="J99" s="409"/>
      <c r="K99" s="409"/>
      <c r="L99" s="409"/>
      <c r="M99" s="1029"/>
    </row>
    <row r="100" spans="1:15" ht="12" customHeight="1">
      <c r="A100" s="454">
        <v>2026</v>
      </c>
      <c r="C100" s="405" t="s">
        <v>547</v>
      </c>
      <c r="D100" s="496"/>
      <c r="E100" s="456"/>
      <c r="F100" s="409"/>
      <c r="G100" s="409"/>
      <c r="H100" s="409"/>
      <c r="I100" s="1042"/>
      <c r="J100" s="409"/>
      <c r="K100" s="409"/>
      <c r="L100" s="409"/>
      <c r="M100" s="1029"/>
    </row>
    <row r="101" spans="1:15" ht="12" customHeight="1">
      <c r="A101" s="454">
        <v>2027</v>
      </c>
      <c r="C101" s="405" t="s">
        <v>548</v>
      </c>
      <c r="D101" s="497"/>
      <c r="E101" s="459"/>
      <c r="F101" s="460"/>
      <c r="G101" s="460"/>
      <c r="H101" s="460"/>
      <c r="I101" s="1316"/>
      <c r="J101" s="460"/>
      <c r="K101" s="460"/>
      <c r="L101" s="460"/>
      <c r="M101" s="1035"/>
    </row>
    <row r="102" spans="1:15" ht="12" customHeight="1">
      <c r="A102" s="454" t="s">
        <v>475</v>
      </c>
      <c r="C102" s="430" t="s">
        <v>919</v>
      </c>
      <c r="D102" s="499"/>
      <c r="E102" s="493"/>
      <c r="F102" s="494"/>
      <c r="G102" s="494"/>
      <c r="H102" s="494"/>
      <c r="I102" s="494"/>
      <c r="J102" s="494"/>
      <c r="K102" s="494"/>
      <c r="L102" s="494"/>
      <c r="M102" s="1036"/>
    </row>
    <row r="103" spans="1:15" ht="3.6" customHeight="1">
      <c r="A103" s="748"/>
      <c r="C103" s="481"/>
      <c r="D103" s="481"/>
      <c r="E103" s="446"/>
      <c r="F103" s="446"/>
      <c r="G103" s="446"/>
      <c r="H103" s="446"/>
      <c r="I103" s="446"/>
      <c r="J103" s="446"/>
      <c r="K103" s="446"/>
      <c r="L103" s="446"/>
      <c r="M103" s="446"/>
    </row>
    <row r="104" spans="1:15" ht="12" customHeight="1">
      <c r="A104" s="454">
        <v>2017</v>
      </c>
      <c r="C104" s="435" t="s">
        <v>550</v>
      </c>
      <c r="D104" s="501">
        <v>-1152.8989713724077</v>
      </c>
      <c r="E104" s="485">
        <v>0</v>
      </c>
      <c r="F104" s="486">
        <f>+D104</f>
        <v>-1152.8989713724077</v>
      </c>
      <c r="G104" s="1067"/>
      <c r="H104" s="1067"/>
      <c r="I104" s="1068"/>
      <c r="J104" s="1068"/>
      <c r="K104" s="1068"/>
      <c r="L104" s="1068"/>
      <c r="M104" s="398">
        <f t="shared" ref="M104:M106" si="4">G104-SUM(H104:L104)</f>
        <v>0</v>
      </c>
      <c r="O104" s="1362" t="s">
        <v>721</v>
      </c>
    </row>
    <row r="105" spans="1:15" ht="12" customHeight="1">
      <c r="A105" s="454">
        <v>2018</v>
      </c>
      <c r="C105" s="438" t="s">
        <v>551</v>
      </c>
      <c r="D105" s="502">
        <v>-369.83508810512302</v>
      </c>
      <c r="E105" s="489"/>
      <c r="F105" s="490">
        <f>+D105</f>
        <v>-369.83508810512302</v>
      </c>
      <c r="G105" s="1069"/>
      <c r="H105" s="1069"/>
      <c r="I105" s="1070"/>
      <c r="J105" s="1070"/>
      <c r="K105" s="1070"/>
      <c r="L105" s="1070"/>
      <c r="M105" s="406">
        <f t="shared" si="4"/>
        <v>0</v>
      </c>
      <c r="O105" s="1362" t="s">
        <v>722</v>
      </c>
    </row>
    <row r="106" spans="1:15" ht="12" customHeight="1">
      <c r="A106" s="454">
        <v>2019</v>
      </c>
      <c r="C106" s="438" t="s">
        <v>552</v>
      </c>
      <c r="D106" s="502">
        <v>-4006.19</v>
      </c>
      <c r="E106" s="503"/>
      <c r="F106" s="490">
        <f>+D106</f>
        <v>-4006.19</v>
      </c>
      <c r="G106" s="1069"/>
      <c r="H106" s="1069"/>
      <c r="I106" s="1070"/>
      <c r="J106" s="1070"/>
      <c r="K106" s="1070"/>
      <c r="L106" s="1070"/>
      <c r="M106" s="406">
        <f t="shared" si="4"/>
        <v>0</v>
      </c>
      <c r="O106" s="1362" t="s">
        <v>723</v>
      </c>
    </row>
    <row r="107" spans="1:15">
      <c r="A107" s="454" t="s">
        <v>463</v>
      </c>
      <c r="C107" s="430" t="s">
        <v>553</v>
      </c>
      <c r="D107" s="431">
        <f>SUM(D104:D106)</f>
        <v>-5528.924059477531</v>
      </c>
      <c r="E107" s="479">
        <f t="shared" ref="E107:F107" si="5">SUM(E104:E106)</f>
        <v>0</v>
      </c>
      <c r="F107" s="433">
        <f t="shared" si="5"/>
        <v>-5528.924059477531</v>
      </c>
      <c r="G107" s="493"/>
      <c r="H107" s="493"/>
      <c r="I107" s="1032"/>
      <c r="J107" s="1032"/>
      <c r="K107" s="1032"/>
      <c r="L107" s="1032"/>
      <c r="M107" s="431">
        <f t="shared" ref="M107" si="6">SUM(M104:M106)</f>
        <v>0</v>
      </c>
    </row>
    <row r="108" spans="1:15">
      <c r="A108" s="454">
        <v>2020</v>
      </c>
      <c r="C108" s="435" t="s">
        <v>554</v>
      </c>
      <c r="D108" s="437"/>
      <c r="E108" s="1312"/>
      <c r="F108" s="1312"/>
      <c r="G108" s="1312"/>
      <c r="H108" s="1312"/>
      <c r="I108" s="1312"/>
      <c r="J108" s="1312"/>
      <c r="K108" s="1312"/>
      <c r="L108" s="1312"/>
      <c r="M108" s="436"/>
    </row>
    <row r="109" spans="1:15">
      <c r="A109" s="454">
        <v>2021</v>
      </c>
      <c r="C109" s="438" t="s">
        <v>555</v>
      </c>
      <c r="D109" s="440"/>
      <c r="E109" s="1313"/>
      <c r="F109" s="1313"/>
      <c r="G109" s="1313"/>
      <c r="H109" s="1313"/>
      <c r="I109" s="1313"/>
      <c r="J109" s="1313"/>
      <c r="K109" s="1313"/>
      <c r="L109" s="1313"/>
      <c r="M109" s="439"/>
    </row>
    <row r="110" spans="1:15">
      <c r="A110" s="454">
        <v>2022</v>
      </c>
      <c r="C110" s="438" t="s">
        <v>556</v>
      </c>
      <c r="D110" s="37"/>
      <c r="E110" s="1313"/>
      <c r="F110" s="1313"/>
      <c r="G110" s="1313"/>
      <c r="H110" s="1313"/>
      <c r="I110" s="1313"/>
      <c r="J110" s="1313"/>
      <c r="K110" s="1313"/>
      <c r="L110" s="1313"/>
      <c r="M110" s="439"/>
    </row>
    <row r="111" spans="1:15">
      <c r="A111" s="454" t="s">
        <v>475</v>
      </c>
      <c r="C111" s="430" t="s">
        <v>557</v>
      </c>
      <c r="D111" s="431">
        <f>SUM(D108:D110)</f>
        <v>0</v>
      </c>
      <c r="E111" s="431">
        <f t="shared" ref="E111:M111" si="7">SUM(E108:E110)</f>
        <v>0</v>
      </c>
      <c r="F111" s="431">
        <f t="shared" si="7"/>
        <v>0</v>
      </c>
      <c r="G111" s="431">
        <f t="shared" si="7"/>
        <v>0</v>
      </c>
      <c r="H111" s="431">
        <f t="shared" si="7"/>
        <v>0</v>
      </c>
      <c r="I111" s="431">
        <f t="shared" si="7"/>
        <v>0</v>
      </c>
      <c r="J111" s="431">
        <f t="shared" si="7"/>
        <v>0</v>
      </c>
      <c r="K111" s="431">
        <f t="shared" si="7"/>
        <v>0</v>
      </c>
      <c r="L111" s="431">
        <f t="shared" si="7"/>
        <v>0</v>
      </c>
      <c r="M111" s="431">
        <f t="shared" si="7"/>
        <v>0</v>
      </c>
    </row>
    <row r="112" spans="1:15" ht="3.6" customHeight="1">
      <c r="A112" s="748"/>
      <c r="C112" s="481"/>
      <c r="D112" s="481"/>
      <c r="E112" s="446"/>
      <c r="F112" s="446"/>
      <c r="G112" s="446"/>
      <c r="H112" s="446"/>
      <c r="I112" s="446"/>
      <c r="J112" s="446"/>
      <c r="K112" s="446"/>
      <c r="L112" s="446"/>
      <c r="M112" s="446"/>
    </row>
    <row r="113" spans="1:13" ht="12" customHeight="1">
      <c r="A113" s="454">
        <v>2017</v>
      </c>
      <c r="C113" s="435" t="s">
        <v>558</v>
      </c>
      <c r="D113" s="535"/>
      <c r="E113" s="1311"/>
      <c r="F113" s="506"/>
      <c r="G113" s="506"/>
      <c r="H113" s="506"/>
      <c r="I113" s="1064"/>
      <c r="J113" s="1064"/>
      <c r="K113" s="1064"/>
      <c r="L113" s="1064"/>
      <c r="M113" s="1034"/>
    </row>
    <row r="114" spans="1:13" ht="12" customHeight="1">
      <c r="A114" s="454">
        <v>2018</v>
      </c>
      <c r="C114" s="438" t="s">
        <v>559</v>
      </c>
      <c r="D114" s="536"/>
      <c r="E114" s="456"/>
      <c r="F114" s="409"/>
      <c r="G114" s="409"/>
      <c r="H114" s="409"/>
      <c r="I114" s="1042"/>
      <c r="J114" s="1042"/>
      <c r="K114" s="1042"/>
      <c r="L114" s="1042"/>
      <c r="M114" s="1029"/>
    </row>
    <row r="115" spans="1:13" ht="12" customHeight="1">
      <c r="A115" s="454">
        <v>2019</v>
      </c>
      <c r="C115" s="438" t="s">
        <v>560</v>
      </c>
      <c r="D115" s="536"/>
      <c r="E115" s="456"/>
      <c r="F115" s="409"/>
      <c r="G115" s="409"/>
      <c r="H115" s="409"/>
      <c r="I115" s="1039"/>
      <c r="J115" s="1039"/>
      <c r="K115" s="1039"/>
      <c r="L115" s="1039"/>
      <c r="M115" s="1029"/>
    </row>
    <row r="116" spans="1:13" ht="12" customHeight="1">
      <c r="A116" s="454" t="s">
        <v>463</v>
      </c>
      <c r="C116" s="412" t="s">
        <v>561</v>
      </c>
      <c r="D116" s="418"/>
      <c r="E116" s="463"/>
      <c r="F116" s="416"/>
      <c r="G116" s="416"/>
      <c r="H116" s="416"/>
      <c r="I116" s="1040"/>
      <c r="J116" s="1040"/>
      <c r="K116" s="1040"/>
      <c r="L116" s="1040"/>
      <c r="M116" s="1030"/>
    </row>
    <row r="117" spans="1:13" ht="12" customHeight="1">
      <c r="A117" s="454">
        <v>2020</v>
      </c>
      <c r="C117" s="397" t="s">
        <v>562</v>
      </c>
      <c r="D117" s="540"/>
      <c r="E117" s="455"/>
      <c r="F117" s="401"/>
      <c r="G117" s="401"/>
      <c r="H117" s="401"/>
      <c r="I117" s="1038"/>
      <c r="J117" s="1060"/>
      <c r="K117" s="1038"/>
      <c r="L117" s="409"/>
      <c r="M117" s="1029"/>
    </row>
    <row r="118" spans="1:13" ht="12" customHeight="1">
      <c r="A118" s="454">
        <v>2021</v>
      </c>
      <c r="C118" s="405" t="s">
        <v>563</v>
      </c>
      <c r="D118" s="541"/>
      <c r="E118" s="456"/>
      <c r="F118" s="409"/>
      <c r="G118" s="409"/>
      <c r="H118" s="409"/>
      <c r="I118" s="1039"/>
      <c r="J118" s="1033"/>
      <c r="K118" s="1039"/>
      <c r="L118" s="409"/>
      <c r="M118" s="1029"/>
    </row>
    <row r="119" spans="1:13" ht="12" customHeight="1">
      <c r="A119" s="454">
        <v>2022</v>
      </c>
      <c r="C119" s="405" t="s">
        <v>564</v>
      </c>
      <c r="D119" s="541"/>
      <c r="E119" s="456"/>
      <c r="F119" s="409"/>
      <c r="G119" s="409"/>
      <c r="H119" s="409"/>
      <c r="I119" s="1039"/>
      <c r="J119" s="460"/>
      <c r="K119" s="460"/>
      <c r="L119" s="460"/>
      <c r="M119" s="1029"/>
    </row>
    <row r="120" spans="1:13" ht="12" customHeight="1">
      <c r="A120" s="454" t="s">
        <v>468</v>
      </c>
      <c r="C120" s="412" t="s">
        <v>565</v>
      </c>
      <c r="D120" s="418"/>
      <c r="E120" s="463"/>
      <c r="F120" s="416"/>
      <c r="G120" s="416"/>
      <c r="H120" s="416"/>
      <c r="I120" s="416"/>
      <c r="J120" s="416"/>
      <c r="K120" s="416"/>
      <c r="L120" s="416"/>
      <c r="M120" s="1030"/>
    </row>
    <row r="121" spans="1:13" ht="12" customHeight="1">
      <c r="A121" s="454">
        <v>2023</v>
      </c>
      <c r="C121" s="405" t="s">
        <v>566</v>
      </c>
      <c r="D121" s="541"/>
      <c r="E121" s="456"/>
      <c r="F121" s="409"/>
      <c r="G121" s="409"/>
      <c r="H121" s="409"/>
      <c r="I121" s="409"/>
      <c r="J121" s="409"/>
      <c r="K121" s="409"/>
      <c r="L121" s="409"/>
      <c r="M121" s="1029"/>
    </row>
    <row r="122" spans="1:13" ht="12" customHeight="1">
      <c r="A122" s="454">
        <v>2024</v>
      </c>
      <c r="C122" s="405" t="s">
        <v>567</v>
      </c>
      <c r="D122" s="541"/>
      <c r="E122" s="456"/>
      <c r="F122" s="409"/>
      <c r="G122" s="409"/>
      <c r="H122" s="409"/>
      <c r="I122" s="409"/>
      <c r="J122" s="409"/>
      <c r="K122" s="409"/>
      <c r="L122" s="409"/>
      <c r="M122" s="1029"/>
    </row>
    <row r="123" spans="1:13" ht="12" customHeight="1">
      <c r="A123" s="454">
        <v>2025</v>
      </c>
      <c r="C123" s="405" t="s">
        <v>568</v>
      </c>
      <c r="D123" s="541"/>
      <c r="E123" s="456"/>
      <c r="F123" s="409"/>
      <c r="G123" s="409"/>
      <c r="H123" s="409"/>
      <c r="I123" s="409"/>
      <c r="J123" s="409"/>
      <c r="K123" s="409"/>
      <c r="L123" s="409"/>
      <c r="M123" s="1029"/>
    </row>
    <row r="124" spans="1:13" ht="12" customHeight="1">
      <c r="A124" s="454">
        <v>2026</v>
      </c>
      <c r="C124" s="405" t="s">
        <v>569</v>
      </c>
      <c r="D124" s="541"/>
      <c r="E124" s="456"/>
      <c r="F124" s="409"/>
      <c r="G124" s="409"/>
      <c r="H124" s="409"/>
      <c r="I124" s="409"/>
      <c r="J124" s="409"/>
      <c r="K124" s="409"/>
      <c r="L124" s="409"/>
      <c r="M124" s="1029"/>
    </row>
    <row r="125" spans="1:13" ht="12" customHeight="1">
      <c r="A125" s="454">
        <v>2027</v>
      </c>
      <c r="C125" s="405" t="s">
        <v>570</v>
      </c>
      <c r="D125" s="542"/>
      <c r="E125" s="459"/>
      <c r="F125" s="460"/>
      <c r="G125" s="460"/>
      <c r="H125" s="460"/>
      <c r="I125" s="460"/>
      <c r="J125" s="460"/>
      <c r="K125" s="460"/>
      <c r="L125" s="460"/>
      <c r="M125" s="1035"/>
    </row>
    <row r="126" spans="1:13" ht="12" customHeight="1">
      <c r="A126" s="454" t="s">
        <v>475</v>
      </c>
      <c r="C126" s="430" t="s">
        <v>920</v>
      </c>
      <c r="D126" s="499"/>
      <c r="E126" s="493"/>
      <c r="F126" s="493"/>
      <c r="G126" s="493"/>
      <c r="H126" s="493"/>
      <c r="I126" s="493"/>
      <c r="J126" s="493"/>
      <c r="K126" s="493"/>
      <c r="L126" s="493"/>
      <c r="M126" s="1036"/>
    </row>
    <row r="127" spans="1:13" ht="4.2" customHeight="1">
      <c r="A127" s="748"/>
      <c r="C127" s="481"/>
      <c r="D127" s="481"/>
      <c r="E127" s="481"/>
      <c r="F127" s="481"/>
      <c r="G127" s="481"/>
      <c r="H127" s="481"/>
      <c r="I127" s="504"/>
      <c r="J127" s="504"/>
      <c r="K127" s="504"/>
      <c r="L127" s="504"/>
      <c r="M127" s="481"/>
    </row>
    <row r="128" spans="1:13" ht="12" customHeight="1">
      <c r="A128" s="454">
        <v>2017</v>
      </c>
      <c r="C128" s="397" t="s">
        <v>572</v>
      </c>
      <c r="D128" s="474">
        <v>0</v>
      </c>
      <c r="E128" s="485">
        <v>0</v>
      </c>
      <c r="F128" s="486">
        <v>0</v>
      </c>
      <c r="G128" s="486">
        <v>0</v>
      </c>
      <c r="H128" s="486">
        <v>0</v>
      </c>
      <c r="I128" s="1044">
        <v>0</v>
      </c>
      <c r="J128" s="1044">
        <v>0</v>
      </c>
      <c r="K128" s="1044">
        <v>0</v>
      </c>
      <c r="L128" s="1044">
        <v>0</v>
      </c>
      <c r="M128" s="1034"/>
    </row>
    <row r="129" spans="1:15" ht="12" customHeight="1">
      <c r="A129" s="454">
        <v>2018</v>
      </c>
      <c r="C129" s="405" t="s">
        <v>573</v>
      </c>
      <c r="D129" s="476">
        <v>0</v>
      </c>
      <c r="E129" s="489">
        <v>0</v>
      </c>
      <c r="F129" s="490">
        <v>0</v>
      </c>
      <c r="G129" s="490">
        <v>0</v>
      </c>
      <c r="H129" s="490">
        <v>0</v>
      </c>
      <c r="I129" s="1045">
        <v>0</v>
      </c>
      <c r="J129" s="1045">
        <v>0</v>
      </c>
      <c r="K129" s="1045">
        <v>0</v>
      </c>
      <c r="L129" s="1045">
        <v>0</v>
      </c>
      <c r="M129" s="1029"/>
    </row>
    <row r="130" spans="1:15" ht="12" customHeight="1">
      <c r="A130" s="454">
        <v>2019</v>
      </c>
      <c r="C130" s="405" t="s">
        <v>574</v>
      </c>
      <c r="D130" s="476">
        <v>0</v>
      </c>
      <c r="E130" s="490">
        <v>0</v>
      </c>
      <c r="F130" s="490">
        <v>0</v>
      </c>
      <c r="G130" s="490">
        <v>0</v>
      </c>
      <c r="H130" s="490">
        <v>0</v>
      </c>
      <c r="I130" s="1045">
        <v>0</v>
      </c>
      <c r="J130" s="1045">
        <v>0</v>
      </c>
      <c r="K130" s="1045">
        <v>0</v>
      </c>
      <c r="L130" s="1045">
        <v>0</v>
      </c>
      <c r="M130" s="1029"/>
    </row>
    <row r="131" spans="1:15" ht="12" customHeight="1">
      <c r="A131" s="454" t="s">
        <v>463</v>
      </c>
      <c r="C131" s="412" t="s">
        <v>575</v>
      </c>
      <c r="D131" s="413">
        <f>SUM(D128:D130)</f>
        <v>0</v>
      </c>
      <c r="E131" s="414">
        <f t="shared" ref="E131:L131" si="8">SUM(E128:E130)</f>
        <v>0</v>
      </c>
      <c r="F131" s="415">
        <f t="shared" si="8"/>
        <v>0</v>
      </c>
      <c r="G131" s="415">
        <f t="shared" si="8"/>
        <v>0</v>
      </c>
      <c r="H131" s="415">
        <f t="shared" si="8"/>
        <v>0</v>
      </c>
      <c r="I131" s="450">
        <f t="shared" si="8"/>
        <v>0</v>
      </c>
      <c r="J131" s="450">
        <f t="shared" si="8"/>
        <v>0</v>
      </c>
      <c r="K131" s="450">
        <f t="shared" si="8"/>
        <v>0</v>
      </c>
      <c r="L131" s="450">
        <f t="shared" si="8"/>
        <v>0</v>
      </c>
      <c r="M131" s="1030"/>
    </row>
    <row r="132" spans="1:15" ht="12" customHeight="1">
      <c r="A132" s="454">
        <v>2020</v>
      </c>
      <c r="C132" s="397" t="s">
        <v>576</v>
      </c>
      <c r="D132" s="451">
        <f>'T2 NSA'!C59</f>
        <v>0</v>
      </c>
      <c r="E132" s="419"/>
      <c r="F132" s="400"/>
      <c r="G132" s="420">
        <f>+D132</f>
        <v>0</v>
      </c>
      <c r="H132" s="401"/>
      <c r="I132" s="1038"/>
      <c r="J132" s="1060"/>
      <c r="K132" s="1060"/>
      <c r="L132" s="1060"/>
      <c r="M132" s="1034"/>
    </row>
    <row r="133" spans="1:15" ht="12" customHeight="1">
      <c r="A133" s="454">
        <v>2021</v>
      </c>
      <c r="C133" s="405" t="s">
        <v>577</v>
      </c>
      <c r="D133" s="452">
        <f>'T2 NSA'!D59</f>
        <v>0</v>
      </c>
      <c r="E133" s="407"/>
      <c r="F133" s="421"/>
      <c r="G133" s="409"/>
      <c r="H133" s="422">
        <f>+D133</f>
        <v>0</v>
      </c>
      <c r="I133" s="1039"/>
      <c r="J133" s="1033"/>
      <c r="K133" s="1033"/>
      <c r="L133" s="1033"/>
      <c r="M133" s="1029"/>
    </row>
    <row r="134" spans="1:15" ht="12" customHeight="1">
      <c r="A134" s="454">
        <v>2022</v>
      </c>
      <c r="C134" s="405" t="s">
        <v>578</v>
      </c>
      <c r="D134" s="452">
        <f>'T2 NSA'!E59</f>
        <v>0</v>
      </c>
      <c r="E134" s="407"/>
      <c r="F134" s="421"/>
      <c r="G134" s="409"/>
      <c r="H134" s="409"/>
      <c r="I134" s="1041">
        <f>+D134</f>
        <v>0</v>
      </c>
      <c r="J134" s="446"/>
      <c r="K134" s="446"/>
      <c r="L134" s="446"/>
      <c r="M134" s="1029"/>
    </row>
    <row r="135" spans="1:15" ht="12" customHeight="1">
      <c r="A135" s="454" t="s">
        <v>468</v>
      </c>
      <c r="C135" s="412" t="s">
        <v>579</v>
      </c>
      <c r="D135" s="413">
        <f>SUM(D132:D134)</f>
        <v>0</v>
      </c>
      <c r="E135" s="1062"/>
      <c r="F135" s="1063"/>
      <c r="G135" s="415">
        <f>SUM(G132:G134)</f>
        <v>0</v>
      </c>
      <c r="H135" s="415">
        <f>SUM(H132:H134)</f>
        <v>0</v>
      </c>
      <c r="I135" s="415">
        <f>SUM(I132:I134)</f>
        <v>0</v>
      </c>
      <c r="J135" s="416"/>
      <c r="K135" s="416"/>
      <c r="L135" s="416"/>
      <c r="M135" s="1030"/>
    </row>
    <row r="136" spans="1:15" ht="12" customHeight="1">
      <c r="A136" s="454">
        <v>2023</v>
      </c>
      <c r="C136" s="405" t="s">
        <v>580</v>
      </c>
      <c r="D136" s="452">
        <f>'T2 NSA'!F59</f>
        <v>0</v>
      </c>
      <c r="E136" s="407"/>
      <c r="F136" s="421"/>
      <c r="G136" s="409"/>
      <c r="H136" s="409"/>
      <c r="I136" s="409"/>
      <c r="J136" s="422">
        <f>D136</f>
        <v>0</v>
      </c>
      <c r="K136" s="409"/>
      <c r="L136" s="409"/>
      <c r="M136" s="1029"/>
    </row>
    <row r="137" spans="1:15" ht="12" customHeight="1">
      <c r="A137" s="454">
        <v>2024</v>
      </c>
      <c r="C137" s="405" t="s">
        <v>581</v>
      </c>
      <c r="D137" s="452">
        <f>'T2 NSA'!G59</f>
        <v>0</v>
      </c>
      <c r="E137" s="407"/>
      <c r="F137" s="421"/>
      <c r="G137" s="409"/>
      <c r="H137" s="409"/>
      <c r="I137" s="409"/>
      <c r="J137" s="409"/>
      <c r="K137" s="422">
        <f>D137</f>
        <v>0</v>
      </c>
      <c r="L137" s="409"/>
      <c r="M137" s="1029"/>
    </row>
    <row r="138" spans="1:15" ht="12" customHeight="1">
      <c r="A138" s="454">
        <v>2025</v>
      </c>
      <c r="C138" s="405" t="s">
        <v>582</v>
      </c>
      <c r="D138" s="452">
        <f>'T2 NSA'!H59</f>
        <v>0</v>
      </c>
      <c r="E138" s="407"/>
      <c r="F138" s="421"/>
      <c r="G138" s="409"/>
      <c r="H138" s="409"/>
      <c r="I138" s="409"/>
      <c r="J138" s="409"/>
      <c r="K138" s="409"/>
      <c r="L138" s="422">
        <f>D138</f>
        <v>0</v>
      </c>
      <c r="M138" s="1029"/>
    </row>
    <row r="139" spans="1:15" ht="12" customHeight="1">
      <c r="A139" s="454">
        <v>2026</v>
      </c>
      <c r="C139" s="405" t="s">
        <v>583</v>
      </c>
      <c r="D139" s="452">
        <f>'T2 NSA'!I59</f>
        <v>0</v>
      </c>
      <c r="E139" s="407"/>
      <c r="F139" s="421"/>
      <c r="G139" s="409"/>
      <c r="H139" s="409"/>
      <c r="I139" s="409"/>
      <c r="J139" s="409"/>
      <c r="K139" s="409"/>
      <c r="L139" s="409"/>
      <c r="M139" s="439">
        <f>D139</f>
        <v>0</v>
      </c>
    </row>
    <row r="140" spans="1:15" ht="12" customHeight="1">
      <c r="A140" s="454">
        <v>2027</v>
      </c>
      <c r="C140" s="405" t="s">
        <v>584</v>
      </c>
      <c r="D140" s="453">
        <f>'T2 NSA'!J59</f>
        <v>0</v>
      </c>
      <c r="E140" s="427"/>
      <c r="F140" s="428"/>
      <c r="G140" s="428"/>
      <c r="H140" s="428"/>
      <c r="I140" s="428"/>
      <c r="J140" s="428"/>
      <c r="K140" s="428"/>
      <c r="L140" s="428"/>
      <c r="M140" s="1056">
        <f>D140</f>
        <v>0</v>
      </c>
    </row>
    <row r="141" spans="1:15" ht="12" customHeight="1">
      <c r="A141" s="454" t="s">
        <v>475</v>
      </c>
      <c r="C141" s="430" t="s">
        <v>921</v>
      </c>
      <c r="D141" s="431">
        <f>SUM(D136:D140)+D131+D135</f>
        <v>0</v>
      </c>
      <c r="E141" s="479">
        <f t="shared" ref="E141:M141" si="9">SUM(E136:E140)+E131+E135</f>
        <v>0</v>
      </c>
      <c r="F141" s="433">
        <f t="shared" si="9"/>
        <v>0</v>
      </c>
      <c r="G141" s="433">
        <f t="shared" si="9"/>
        <v>0</v>
      </c>
      <c r="H141" s="433">
        <f t="shared" si="9"/>
        <v>0</v>
      </c>
      <c r="I141" s="480">
        <f t="shared" si="9"/>
        <v>0</v>
      </c>
      <c r="J141" s="480">
        <f t="shared" si="9"/>
        <v>0</v>
      </c>
      <c r="K141" s="480">
        <f t="shared" si="9"/>
        <v>0</v>
      </c>
      <c r="L141" s="480">
        <f t="shared" si="9"/>
        <v>0</v>
      </c>
      <c r="M141" s="1055">
        <f t="shared" si="9"/>
        <v>0</v>
      </c>
    </row>
    <row r="142" spans="1:15" ht="4.95" customHeight="1">
      <c r="A142" s="748"/>
      <c r="C142" s="481"/>
      <c r="D142" s="481"/>
      <c r="E142" s="446"/>
      <c r="F142" s="446"/>
      <c r="G142" s="446"/>
      <c r="H142" s="446"/>
      <c r="I142" s="446"/>
      <c r="J142" s="446"/>
      <c r="K142" s="446"/>
      <c r="L142" s="446"/>
      <c r="M142" s="446"/>
    </row>
    <row r="143" spans="1:15" ht="12" customHeight="1">
      <c r="A143" s="454">
        <v>2017</v>
      </c>
      <c r="C143" s="397" t="s">
        <v>586</v>
      </c>
      <c r="D143" s="474">
        <v>0</v>
      </c>
      <c r="E143" s="485">
        <v>0</v>
      </c>
      <c r="F143" s="486">
        <v>0</v>
      </c>
      <c r="G143" s="486">
        <v>0</v>
      </c>
      <c r="H143" s="486">
        <v>0</v>
      </c>
      <c r="I143" s="1044">
        <v>0</v>
      </c>
      <c r="J143" s="1044">
        <v>0</v>
      </c>
      <c r="K143" s="1044">
        <v>0</v>
      </c>
      <c r="L143" s="1044">
        <v>0</v>
      </c>
      <c r="M143" s="436">
        <f t="shared" ref="M143:M155" si="10">D143-SUM(E143:I143)</f>
        <v>0</v>
      </c>
      <c r="O143" s="1367"/>
    </row>
    <row r="144" spans="1:15" ht="14.25" customHeight="1">
      <c r="A144" s="454">
        <v>2018</v>
      </c>
      <c r="C144" s="405" t="s">
        <v>587</v>
      </c>
      <c r="D144" s="898">
        <v>-8107.9232333506698</v>
      </c>
      <c r="E144" s="489">
        <f>D144</f>
        <v>-8107.9232333506698</v>
      </c>
      <c r="F144" s="490">
        <v>0</v>
      </c>
      <c r="G144" s="490">
        <v>0</v>
      </c>
      <c r="H144" s="490">
        <v>0</v>
      </c>
      <c r="I144" s="1045">
        <v>0</v>
      </c>
      <c r="J144" s="1045">
        <v>0</v>
      </c>
      <c r="K144" s="1045">
        <v>0</v>
      </c>
      <c r="L144" s="1045">
        <v>0</v>
      </c>
      <c r="M144" s="439">
        <f t="shared" si="10"/>
        <v>0</v>
      </c>
      <c r="O144" s="1362" t="s">
        <v>724</v>
      </c>
    </row>
    <row r="145" spans="1:15" ht="12" customHeight="1">
      <c r="A145" s="454">
        <v>2019</v>
      </c>
      <c r="C145" s="405" t="s">
        <v>588</v>
      </c>
      <c r="D145" s="502">
        <v>-8764.7680110260899</v>
      </c>
      <c r="E145" s="503"/>
      <c r="F145" s="490">
        <f>+D145</f>
        <v>-8764.7680110260899</v>
      </c>
      <c r="G145" s="490">
        <v>0</v>
      </c>
      <c r="H145" s="490">
        <v>0</v>
      </c>
      <c r="I145" s="1045">
        <v>0</v>
      </c>
      <c r="J145" s="1045">
        <v>0</v>
      </c>
      <c r="K145" s="1045">
        <v>0</v>
      </c>
      <c r="L145" s="1045">
        <v>0</v>
      </c>
      <c r="M145" s="439">
        <f t="shared" si="10"/>
        <v>0</v>
      </c>
      <c r="O145" s="1362" t="s">
        <v>725</v>
      </c>
    </row>
    <row r="146" spans="1:15" ht="12" customHeight="1">
      <c r="A146" s="454" t="s">
        <v>463</v>
      </c>
      <c r="C146" s="412" t="s">
        <v>589</v>
      </c>
      <c r="D146" s="413">
        <f t="shared" ref="D146:F146" si="11">SUM(D143:D145)</f>
        <v>-16872.691244376758</v>
      </c>
      <c r="E146" s="413">
        <f t="shared" si="11"/>
        <v>-8107.9232333506698</v>
      </c>
      <c r="F146" s="413">
        <f t="shared" si="11"/>
        <v>-8764.7680110260899</v>
      </c>
      <c r="G146" s="415">
        <f t="shared" ref="G146:I146" si="12">SUM(G143:G145)</f>
        <v>0</v>
      </c>
      <c r="H146" s="415">
        <f t="shared" si="12"/>
        <v>0</v>
      </c>
      <c r="I146" s="450">
        <f t="shared" si="12"/>
        <v>0</v>
      </c>
      <c r="J146" s="450">
        <f t="shared" ref="J146:L146" si="13">SUM(J143:J145)</f>
        <v>0</v>
      </c>
      <c r="K146" s="450">
        <f t="shared" si="13"/>
        <v>0</v>
      </c>
      <c r="L146" s="450">
        <f t="shared" si="13"/>
        <v>0</v>
      </c>
      <c r="M146" s="1031">
        <f>SUM(M143:M145)</f>
        <v>0</v>
      </c>
      <c r="O146" s="1367"/>
    </row>
    <row r="147" spans="1:15" ht="12" customHeight="1">
      <c r="A147" s="454">
        <v>2020</v>
      </c>
      <c r="C147" s="397" t="s">
        <v>590</v>
      </c>
      <c r="D147" s="398">
        <f>(E21+E36+E107+E126+E141+E166)*-'T2 NSA'!C40</f>
        <v>-5706.3161037249602</v>
      </c>
      <c r="E147" s="505"/>
      <c r="F147" s="506"/>
      <c r="G147" s="486">
        <f>D147</f>
        <v>-5706.3161037249602</v>
      </c>
      <c r="H147" s="506"/>
      <c r="I147" s="506"/>
      <c r="J147" s="506"/>
      <c r="K147" s="506"/>
      <c r="L147" s="506"/>
      <c r="M147" s="436">
        <f>D147-SUM(E147:L147)</f>
        <v>0</v>
      </c>
    </row>
    <row r="148" spans="1:15" ht="12" customHeight="1">
      <c r="A148" s="454">
        <v>2021</v>
      </c>
      <c r="C148" s="405" t="s">
        <v>591</v>
      </c>
      <c r="D148" s="406">
        <f>(F21+F36+F107+F126+F141+F166)*-'T2 NSA'!D40</f>
        <v>-9078.656596354127</v>
      </c>
      <c r="E148" s="507"/>
      <c r="F148" s="508"/>
      <c r="G148" s="508"/>
      <c r="H148" s="490">
        <f>+D148</f>
        <v>-9078.656596354127</v>
      </c>
      <c r="I148" s="508"/>
      <c r="J148" s="508"/>
      <c r="K148" s="508"/>
      <c r="L148" s="508"/>
      <c r="M148" s="439">
        <f>D148-SUM(E148:L148)</f>
        <v>0</v>
      </c>
    </row>
    <row r="149" spans="1:15" ht="12" customHeight="1">
      <c r="A149" s="454">
        <v>2022</v>
      </c>
      <c r="C149" s="405" t="s">
        <v>592</v>
      </c>
      <c r="D149" s="406">
        <f>(G21+G36+G156+G107+G126+G141)*-'T2 NSA'!E40</f>
        <v>-1039.2563816856032</v>
      </c>
      <c r="E149" s="507"/>
      <c r="F149" s="508"/>
      <c r="G149" s="508"/>
      <c r="H149" s="508"/>
      <c r="I149" s="490">
        <f>D149</f>
        <v>-1039.2563816856032</v>
      </c>
      <c r="J149" s="508"/>
      <c r="K149" s="508"/>
      <c r="L149" s="508"/>
      <c r="M149" s="439">
        <f>D149-SUM(E149:L149)</f>
        <v>0</v>
      </c>
    </row>
    <row r="150" spans="1:15" ht="12" customHeight="1">
      <c r="A150" s="454" t="s">
        <v>468</v>
      </c>
      <c r="C150" s="412" t="s">
        <v>593</v>
      </c>
      <c r="D150" s="413">
        <f>SUM(D147:D149)</f>
        <v>-15824.229081764692</v>
      </c>
      <c r="E150" s="1062"/>
      <c r="F150" s="1063"/>
      <c r="G150" s="415">
        <f>SUM(G147:G149)</f>
        <v>-5706.3161037249602</v>
      </c>
      <c r="H150" s="415">
        <f>SUM(H147:H149)</f>
        <v>-9078.656596354127</v>
      </c>
      <c r="I150" s="415">
        <f>SUM(I147:I149)</f>
        <v>-1039.2563816856032</v>
      </c>
      <c r="J150" s="416"/>
      <c r="K150" s="416"/>
      <c r="L150" s="416"/>
      <c r="M150" s="1030"/>
    </row>
    <row r="151" spans="1:15" ht="12" customHeight="1">
      <c r="A151" s="454">
        <v>2023</v>
      </c>
      <c r="C151" s="405" t="s">
        <v>594</v>
      </c>
      <c r="D151" s="406">
        <f>(H21+H36+H111+H126+H141+H166)*-'T2 NSA'!F40</f>
        <v>0</v>
      </c>
      <c r="E151" s="507"/>
      <c r="F151" s="508"/>
      <c r="G151" s="508"/>
      <c r="H151" s="508"/>
      <c r="I151" s="508"/>
      <c r="J151" s="422">
        <f>D151</f>
        <v>0</v>
      </c>
      <c r="K151" s="409"/>
      <c r="L151" s="409"/>
      <c r="M151" s="1029"/>
    </row>
    <row r="152" spans="1:15" ht="12" customHeight="1">
      <c r="A152" s="454">
        <v>2024</v>
      </c>
      <c r="C152" s="405" t="s">
        <v>595</v>
      </c>
      <c r="D152" s="406">
        <f>(I21+I36+I111+I126+I141+I166)*-'T2 NSA'!G40</f>
        <v>0</v>
      </c>
      <c r="E152" s="507"/>
      <c r="F152" s="508"/>
      <c r="G152" s="508"/>
      <c r="H152" s="508"/>
      <c r="I152" s="508"/>
      <c r="J152" s="409"/>
      <c r="K152" s="422">
        <f>D152</f>
        <v>0</v>
      </c>
      <c r="L152" s="409"/>
      <c r="M152" s="1029"/>
      <c r="O152" s="1479">
        <f>D149-1000</f>
        <v>-2039.2563816856032</v>
      </c>
    </row>
    <row r="153" spans="1:15" ht="12" customHeight="1">
      <c r="A153" s="454">
        <v>2025</v>
      </c>
      <c r="C153" s="405" t="s">
        <v>596</v>
      </c>
      <c r="D153" s="406">
        <f>(J21+J36+J111+J126+J141+J166)*-'T2 NSA'!H40</f>
        <v>0</v>
      </c>
      <c r="E153" s="507"/>
      <c r="F153" s="508"/>
      <c r="G153" s="508"/>
      <c r="H153" s="508"/>
      <c r="I153" s="508"/>
      <c r="J153" s="409"/>
      <c r="K153" s="409"/>
      <c r="L153" s="422">
        <f>D153</f>
        <v>0</v>
      </c>
      <c r="M153" s="1029"/>
    </row>
    <row r="154" spans="1:15" ht="12" customHeight="1">
      <c r="A154" s="454">
        <v>2026</v>
      </c>
      <c r="C154" s="405" t="s">
        <v>597</v>
      </c>
      <c r="D154" s="406">
        <f>(K21+K36+K111+K126+K141+K166)*-'T2 NSA'!I40</f>
        <v>0</v>
      </c>
      <c r="E154" s="507"/>
      <c r="F154" s="508"/>
      <c r="G154" s="508"/>
      <c r="H154" s="508"/>
      <c r="I154" s="508"/>
      <c r="J154" s="508"/>
      <c r="K154" s="508"/>
      <c r="L154" s="508"/>
      <c r="M154" s="439">
        <f t="shared" si="10"/>
        <v>0</v>
      </c>
    </row>
    <row r="155" spans="1:15" ht="12" customHeight="1">
      <c r="A155" s="454">
        <v>2027</v>
      </c>
      <c r="C155" s="405" t="s">
        <v>598</v>
      </c>
      <c r="D155" s="406">
        <f>(J21+J36+J111+J126+J141+J166)*-'T2 NSA'!J40</f>
        <v>0</v>
      </c>
      <c r="E155" s="507"/>
      <c r="F155" s="508"/>
      <c r="G155" s="508"/>
      <c r="H155" s="508"/>
      <c r="I155" s="508"/>
      <c r="J155" s="508"/>
      <c r="K155" s="508"/>
      <c r="L155" s="508"/>
      <c r="M155" s="439">
        <f t="shared" si="10"/>
        <v>0</v>
      </c>
    </row>
    <row r="156" spans="1:15" ht="12" customHeight="1">
      <c r="A156" s="454" t="s">
        <v>463</v>
      </c>
      <c r="C156" s="412" t="s">
        <v>599</v>
      </c>
      <c r="D156" s="413">
        <f>SUM(D151:D155)+D146+D150</f>
        <v>-32696.920326141451</v>
      </c>
      <c r="E156" s="414">
        <f t="shared" ref="E156:M156" si="14">SUM(E151:E155)+E146+E150</f>
        <v>-8107.9232333506698</v>
      </c>
      <c r="F156" s="415">
        <f t="shared" si="14"/>
        <v>-8764.7680110260899</v>
      </c>
      <c r="G156" s="415">
        <f t="shared" si="14"/>
        <v>-5706.3161037249602</v>
      </c>
      <c r="H156" s="415">
        <f t="shared" si="14"/>
        <v>-9078.656596354127</v>
      </c>
      <c r="I156" s="450">
        <f t="shared" si="14"/>
        <v>-1039.2563816856032</v>
      </c>
      <c r="J156" s="450">
        <f t="shared" si="14"/>
        <v>0</v>
      </c>
      <c r="K156" s="450">
        <f t="shared" si="14"/>
        <v>0</v>
      </c>
      <c r="L156" s="450">
        <f t="shared" si="14"/>
        <v>0</v>
      </c>
      <c r="M156" s="1031">
        <f t="shared" si="14"/>
        <v>0</v>
      </c>
    </row>
    <row r="157" spans="1:15" ht="12" customHeight="1">
      <c r="A157" s="454">
        <v>2020</v>
      </c>
      <c r="C157" s="397" t="s">
        <v>600</v>
      </c>
      <c r="D157" s="451">
        <f>'T2 NSA'!C46</f>
        <v>41495.455190986162</v>
      </c>
      <c r="E157" s="419"/>
      <c r="F157" s="400"/>
      <c r="G157" s="1010">
        <f>D157</f>
        <v>41495.455190986162</v>
      </c>
      <c r="H157" s="401"/>
      <c r="I157" s="1038"/>
      <c r="J157" s="1060"/>
      <c r="K157" s="1060"/>
      <c r="L157" s="1060"/>
      <c r="M157" s="1034"/>
    </row>
    <row r="158" spans="1:15" ht="12" customHeight="1">
      <c r="A158" s="454">
        <v>2021</v>
      </c>
      <c r="C158" s="405" t="s">
        <v>601</v>
      </c>
      <c r="D158" s="452">
        <f>'T2 NSA'!D46</f>
        <v>40284.426354239622</v>
      </c>
      <c r="E158" s="407"/>
      <c r="F158" s="421"/>
      <c r="G158" s="421"/>
      <c r="H158" s="408">
        <f>D158</f>
        <v>40284.426354239622</v>
      </c>
      <c r="I158" s="1042"/>
      <c r="J158" s="1060"/>
      <c r="K158" s="1060"/>
      <c r="L158" s="1060"/>
      <c r="M158" s="1029"/>
    </row>
    <row r="159" spans="1:15" ht="12" customHeight="1">
      <c r="A159" s="454">
        <v>2022</v>
      </c>
      <c r="C159" s="405" t="s">
        <v>602</v>
      </c>
      <c r="D159" s="452">
        <f>'T2 NSA'!E46</f>
        <v>19039.263158462836</v>
      </c>
      <c r="E159" s="407"/>
      <c r="F159" s="421"/>
      <c r="G159" s="421"/>
      <c r="H159" s="421"/>
      <c r="I159" s="1048">
        <f>D159</f>
        <v>19039.263158462836</v>
      </c>
      <c r="J159" s="1033"/>
      <c r="K159" s="1033"/>
      <c r="L159" s="1033"/>
      <c r="M159" s="1029"/>
    </row>
    <row r="160" spans="1:15" ht="12" customHeight="1">
      <c r="A160" s="454" t="s">
        <v>468</v>
      </c>
      <c r="C160" s="412" t="s">
        <v>603</v>
      </c>
      <c r="D160" s="413">
        <f>SUM(D157:D159)</f>
        <v>100819.14470368862</v>
      </c>
      <c r="E160" s="1062"/>
      <c r="F160" s="1063"/>
      <c r="G160" s="415">
        <f>SUM(G157:G159)</f>
        <v>41495.455190986162</v>
      </c>
      <c r="H160" s="415">
        <f>SUM(H157:H159)</f>
        <v>40284.426354239622</v>
      </c>
      <c r="I160" s="415">
        <f>SUM(I157:I159)</f>
        <v>19039.263158462836</v>
      </c>
      <c r="J160" s="416"/>
      <c r="K160" s="416"/>
      <c r="L160" s="416"/>
      <c r="M160" s="1030"/>
    </row>
    <row r="161" spans="1:15" ht="12" customHeight="1">
      <c r="A161" s="454">
        <v>2023</v>
      </c>
      <c r="C161" s="405" t="s">
        <v>604</v>
      </c>
      <c r="D161" s="452">
        <f>'T2 NSA'!F46</f>
        <v>0</v>
      </c>
      <c r="E161" s="407"/>
      <c r="F161" s="421"/>
      <c r="G161" s="421"/>
      <c r="H161" s="421"/>
      <c r="I161" s="421"/>
      <c r="J161" s="422">
        <f>D161</f>
        <v>0</v>
      </c>
      <c r="K161" s="421"/>
      <c r="L161" s="421"/>
      <c r="M161" s="1029"/>
    </row>
    <row r="162" spans="1:15" ht="12" customHeight="1">
      <c r="A162" s="454">
        <v>2024</v>
      </c>
      <c r="C162" s="405" t="s">
        <v>605</v>
      </c>
      <c r="D162" s="452">
        <f>'T2 NSA'!G46</f>
        <v>0</v>
      </c>
      <c r="E162" s="407"/>
      <c r="F162" s="421"/>
      <c r="G162" s="421"/>
      <c r="H162" s="421"/>
      <c r="I162" s="421"/>
      <c r="J162" s="421"/>
      <c r="K162" s="422">
        <f>D162</f>
        <v>0</v>
      </c>
      <c r="L162" s="421"/>
      <c r="M162" s="1029"/>
    </row>
    <row r="163" spans="1:15" ht="12" customHeight="1">
      <c r="A163" s="454">
        <v>2025</v>
      </c>
      <c r="C163" s="405" t="s">
        <v>606</v>
      </c>
      <c r="D163" s="452">
        <f>'T2 NSA'!H46</f>
        <v>0</v>
      </c>
      <c r="E163" s="407"/>
      <c r="F163" s="421"/>
      <c r="G163" s="421"/>
      <c r="H163" s="421"/>
      <c r="I163" s="421"/>
      <c r="J163" s="421"/>
      <c r="K163" s="421"/>
      <c r="L163" s="422">
        <f>D163</f>
        <v>0</v>
      </c>
      <c r="M163" s="1029"/>
    </row>
    <row r="164" spans="1:15" ht="12" customHeight="1">
      <c r="A164" s="454">
        <v>2026</v>
      </c>
      <c r="C164" s="405" t="s">
        <v>607</v>
      </c>
      <c r="D164" s="452">
        <f>'T2 NSA'!I46</f>
        <v>0</v>
      </c>
      <c r="E164" s="407"/>
      <c r="F164" s="421"/>
      <c r="G164" s="421"/>
      <c r="H164" s="421"/>
      <c r="I164" s="421"/>
      <c r="J164" s="421"/>
      <c r="K164" s="421"/>
      <c r="L164" s="421"/>
      <c r="M164" s="439">
        <f>D164</f>
        <v>0</v>
      </c>
    </row>
    <row r="165" spans="1:15" ht="12" customHeight="1">
      <c r="A165" s="454">
        <v>2027</v>
      </c>
      <c r="C165" s="405" t="s">
        <v>608</v>
      </c>
      <c r="D165" s="453">
        <f>'T2 NSA'!J46</f>
        <v>0</v>
      </c>
      <c r="E165" s="427"/>
      <c r="F165" s="428"/>
      <c r="G165" s="428"/>
      <c r="H165" s="428"/>
      <c r="I165" s="428"/>
      <c r="J165" s="428"/>
      <c r="K165" s="428"/>
      <c r="L165" s="428"/>
      <c r="M165" s="1056">
        <f>D165</f>
        <v>0</v>
      </c>
    </row>
    <row r="166" spans="1:15" ht="12" customHeight="1">
      <c r="A166" s="454" t="s">
        <v>475</v>
      </c>
      <c r="C166" s="430" t="s">
        <v>922</v>
      </c>
      <c r="D166" s="431">
        <f>SUM(D161:D165)+D156+D160</f>
        <v>68122.224377547172</v>
      </c>
      <c r="E166" s="479">
        <f t="shared" ref="E166:M166" si="15">SUM(E161:E165)+E156+E160</f>
        <v>-8107.9232333506698</v>
      </c>
      <c r="F166" s="433">
        <f t="shared" si="15"/>
        <v>-8764.7680110260899</v>
      </c>
      <c r="G166" s="433">
        <f t="shared" si="15"/>
        <v>35789.139087261203</v>
      </c>
      <c r="H166" s="433">
        <f>SUM(H161:H165)+H156+H160</f>
        <v>31205.769757885493</v>
      </c>
      <c r="I166" s="433">
        <f t="shared" si="15"/>
        <v>18000.006776777234</v>
      </c>
      <c r="J166" s="433">
        <f t="shared" si="15"/>
        <v>0</v>
      </c>
      <c r="K166" s="433">
        <f t="shared" si="15"/>
        <v>0</v>
      </c>
      <c r="L166" s="433">
        <f t="shared" si="15"/>
        <v>0</v>
      </c>
      <c r="M166" s="1055">
        <f t="shared" si="15"/>
        <v>0</v>
      </c>
      <c r="O166" s="1479"/>
    </row>
    <row r="167" spans="1:15" ht="4.2" customHeight="1">
      <c r="A167" s="748"/>
    </row>
    <row r="168" spans="1:15" ht="12" customHeight="1">
      <c r="A168" s="454">
        <v>2017</v>
      </c>
      <c r="C168" s="397" t="s">
        <v>610</v>
      </c>
      <c r="D168" s="474">
        <v>0</v>
      </c>
      <c r="E168" s="485">
        <v>0</v>
      </c>
      <c r="F168" s="486">
        <v>0</v>
      </c>
      <c r="G168" s="486">
        <v>0</v>
      </c>
      <c r="H168" s="486">
        <v>0</v>
      </c>
      <c r="I168" s="486">
        <v>0</v>
      </c>
      <c r="J168" s="486"/>
      <c r="K168" s="486"/>
      <c r="L168" s="486"/>
      <c r="M168" s="436">
        <f t="shared" ref="M168:M169" si="16">D168-SUM(E168:I168)</f>
        <v>0</v>
      </c>
    </row>
    <row r="169" spans="1:15" ht="12" customHeight="1">
      <c r="A169" s="454">
        <v>2018</v>
      </c>
      <c r="C169" s="405" t="s">
        <v>611</v>
      </c>
      <c r="D169" s="476">
        <v>0</v>
      </c>
      <c r="E169" s="489">
        <f>+D169</f>
        <v>0</v>
      </c>
      <c r="F169" s="490">
        <v>0</v>
      </c>
      <c r="G169" s="490">
        <v>0</v>
      </c>
      <c r="H169" s="490">
        <v>0</v>
      </c>
      <c r="I169" s="490">
        <v>0</v>
      </c>
      <c r="J169" s="490"/>
      <c r="K169" s="490"/>
      <c r="L169" s="490"/>
      <c r="M169" s="439">
        <f t="shared" si="16"/>
        <v>0</v>
      </c>
    </row>
    <row r="170" spans="1:15" ht="12" customHeight="1">
      <c r="A170" s="454">
        <v>2019</v>
      </c>
      <c r="C170" s="405" t="s">
        <v>612</v>
      </c>
      <c r="D170" s="476">
        <v>0</v>
      </c>
      <c r="E170" s="489">
        <v>0</v>
      </c>
      <c r="F170" s="490">
        <v>0</v>
      </c>
      <c r="G170" s="490">
        <v>0</v>
      </c>
      <c r="H170" s="490">
        <v>0</v>
      </c>
      <c r="I170" s="490">
        <v>0</v>
      </c>
      <c r="J170" s="490"/>
      <c r="K170" s="490"/>
      <c r="L170" s="490"/>
      <c r="M170" s="439">
        <v>0</v>
      </c>
    </row>
    <row r="171" spans="1:15" ht="12" customHeight="1">
      <c r="A171" s="454" t="s">
        <v>463</v>
      </c>
      <c r="C171" s="412" t="s">
        <v>613</v>
      </c>
      <c r="D171" s="413">
        <f>SUM(D168:D170)</f>
        <v>0</v>
      </c>
      <c r="E171" s="414">
        <f t="shared" ref="E171:M171" si="17">SUM(E168:E170)</f>
        <v>0</v>
      </c>
      <c r="F171" s="415">
        <f t="shared" si="17"/>
        <v>0</v>
      </c>
      <c r="G171" s="415">
        <f t="shared" si="17"/>
        <v>0</v>
      </c>
      <c r="H171" s="415">
        <f t="shared" si="17"/>
        <v>0</v>
      </c>
      <c r="I171" s="415">
        <f t="shared" si="17"/>
        <v>0</v>
      </c>
      <c r="J171" s="415"/>
      <c r="K171" s="415"/>
      <c r="L171" s="415"/>
      <c r="M171" s="1031">
        <f t="shared" si="17"/>
        <v>0</v>
      </c>
    </row>
    <row r="172" spans="1:15" s="539" customFormat="1" ht="12" customHeight="1">
      <c r="A172" s="962">
        <v>2020</v>
      </c>
      <c r="B172" s="385"/>
      <c r="C172" s="435" t="s">
        <v>614</v>
      </c>
      <c r="D172" s="451">
        <f>'T2 NSA'!C69</f>
        <v>0</v>
      </c>
      <c r="E172" s="485">
        <f>D172</f>
        <v>0</v>
      </c>
      <c r="F172" s="506"/>
      <c r="G172" s="506"/>
      <c r="H172" s="506"/>
      <c r="I172" s="1064"/>
      <c r="J172" s="506"/>
      <c r="K172" s="506"/>
      <c r="L172" s="506"/>
      <c r="M172" s="436">
        <f>D172-SUM(E172:L172)</f>
        <v>0</v>
      </c>
      <c r="O172" s="1367"/>
    </row>
    <row r="173" spans="1:15" ht="12" customHeight="1">
      <c r="A173" s="454">
        <v>2021</v>
      </c>
      <c r="C173" s="405" t="s">
        <v>615</v>
      </c>
      <c r="D173" s="452">
        <f>'T2 NSA'!G65</f>
        <v>0</v>
      </c>
      <c r="E173" s="507"/>
      <c r="F173" s="490">
        <f>D173</f>
        <v>0</v>
      </c>
      <c r="G173" s="508"/>
      <c r="H173" s="508"/>
      <c r="I173" s="1047"/>
      <c r="J173" s="508"/>
      <c r="K173" s="508"/>
      <c r="L173" s="508"/>
      <c r="M173" s="439">
        <f t="shared" ref="M173:M174" si="18">D173-SUM(E173:L173)</f>
        <v>0</v>
      </c>
      <c r="N173" s="539"/>
      <c r="O173" s="1368"/>
    </row>
    <row r="174" spans="1:15" ht="12" customHeight="1">
      <c r="A174" s="454">
        <v>2022</v>
      </c>
      <c r="C174" s="405" t="s">
        <v>616</v>
      </c>
      <c r="D174" s="452">
        <f>'T2 NSA'!E69</f>
        <v>0</v>
      </c>
      <c r="E174" s="507"/>
      <c r="F174" s="508"/>
      <c r="G174" s="511">
        <f>D174</f>
        <v>0</v>
      </c>
      <c r="H174" s="1072"/>
      <c r="I174" s="1066"/>
      <c r="J174" s="508"/>
      <c r="K174" s="508"/>
      <c r="L174" s="508"/>
      <c r="M174" s="439">
        <f t="shared" si="18"/>
        <v>0</v>
      </c>
      <c r="N174" s="539"/>
    </row>
    <row r="175" spans="1:15" ht="12" customHeight="1">
      <c r="A175" s="454" t="s">
        <v>468</v>
      </c>
      <c r="C175" s="412" t="s">
        <v>617</v>
      </c>
      <c r="D175" s="413">
        <f t="shared" ref="D175:I175" si="19">SUM(D172:D174)</f>
        <v>0</v>
      </c>
      <c r="E175" s="413">
        <f t="shared" si="19"/>
        <v>0</v>
      </c>
      <c r="F175" s="413">
        <f t="shared" si="19"/>
        <v>0</v>
      </c>
      <c r="G175" s="415">
        <f t="shared" si="19"/>
        <v>0</v>
      </c>
      <c r="H175" s="415">
        <f t="shared" si="19"/>
        <v>0</v>
      </c>
      <c r="I175" s="415">
        <f t="shared" si="19"/>
        <v>0</v>
      </c>
      <c r="J175" s="416"/>
      <c r="K175" s="416"/>
      <c r="L175" s="416"/>
      <c r="M175" s="1030"/>
      <c r="N175" s="539"/>
    </row>
    <row r="176" spans="1:15" ht="12" customHeight="1">
      <c r="A176" s="454">
        <v>2023</v>
      </c>
      <c r="C176" s="405" t="s">
        <v>618</v>
      </c>
      <c r="D176" s="452">
        <f>'T2 NSA'!F69</f>
        <v>0</v>
      </c>
      <c r="E176" s="507"/>
      <c r="F176" s="508"/>
      <c r="G176" s="508"/>
      <c r="H176" s="490">
        <f>D176</f>
        <v>0</v>
      </c>
      <c r="I176" s="1047"/>
      <c r="J176" s="508"/>
      <c r="K176" s="508"/>
      <c r="L176" s="508"/>
      <c r="M176" s="439">
        <f t="shared" ref="M176:M180" si="20">D176-SUM(E176:L176)</f>
        <v>0</v>
      </c>
      <c r="N176" s="539"/>
    </row>
    <row r="177" spans="1:14" ht="12" customHeight="1">
      <c r="A177" s="454">
        <v>2024</v>
      </c>
      <c r="C177" s="405" t="s">
        <v>619</v>
      </c>
      <c r="D177" s="452">
        <f>'T2 NSA'!G69</f>
        <v>0</v>
      </c>
      <c r="E177" s="507"/>
      <c r="F177" s="508"/>
      <c r="G177" s="508"/>
      <c r="H177" s="508"/>
      <c r="I177" s="1045">
        <f>D177</f>
        <v>0</v>
      </c>
      <c r="J177" s="508"/>
      <c r="K177" s="508"/>
      <c r="L177" s="508"/>
      <c r="M177" s="439">
        <f t="shared" si="20"/>
        <v>0</v>
      </c>
      <c r="N177" s="539"/>
    </row>
    <row r="178" spans="1:14" ht="12" customHeight="1">
      <c r="A178" s="454">
        <v>2025</v>
      </c>
      <c r="C178" s="405" t="s">
        <v>620</v>
      </c>
      <c r="D178" s="452">
        <f>'T2 NSA'!H69</f>
        <v>0</v>
      </c>
      <c r="E178" s="507"/>
      <c r="F178" s="508"/>
      <c r="G178" s="508"/>
      <c r="H178" s="508"/>
      <c r="I178" s="1047"/>
      <c r="J178" s="490">
        <f>D178</f>
        <v>0</v>
      </c>
      <c r="K178" s="508"/>
      <c r="L178" s="508"/>
      <c r="M178" s="439">
        <f t="shared" si="20"/>
        <v>0</v>
      </c>
      <c r="N178" s="539"/>
    </row>
    <row r="179" spans="1:14" ht="12" customHeight="1">
      <c r="A179" s="454">
        <v>2026</v>
      </c>
      <c r="C179" s="405" t="s">
        <v>621</v>
      </c>
      <c r="D179" s="452">
        <f>'T2 NSA'!I69</f>
        <v>0</v>
      </c>
      <c r="E179" s="507"/>
      <c r="F179" s="508"/>
      <c r="G179" s="508"/>
      <c r="H179" s="508"/>
      <c r="I179" s="1047"/>
      <c r="J179" s="508"/>
      <c r="K179" s="490">
        <f>D179</f>
        <v>0</v>
      </c>
      <c r="L179" s="508"/>
      <c r="M179" s="439">
        <f t="shared" si="20"/>
        <v>0</v>
      </c>
      <c r="N179" s="539"/>
    </row>
    <row r="180" spans="1:14" ht="12" customHeight="1">
      <c r="A180" s="454">
        <v>2027</v>
      </c>
      <c r="C180" s="405" t="s">
        <v>622</v>
      </c>
      <c r="D180" s="452">
        <f>'T2 NSA'!J69</f>
        <v>0</v>
      </c>
      <c r="E180" s="512"/>
      <c r="F180" s="513"/>
      <c r="G180" s="513"/>
      <c r="H180" s="513"/>
      <c r="I180" s="1073"/>
      <c r="J180" s="508"/>
      <c r="K180" s="508"/>
      <c r="L180" s="490">
        <f>D180</f>
        <v>0</v>
      </c>
      <c r="M180" s="1056">
        <f t="shared" si="20"/>
        <v>0</v>
      </c>
      <c r="N180" s="539"/>
    </row>
    <row r="181" spans="1:14" ht="12" customHeight="1">
      <c r="A181" s="454" t="s">
        <v>475</v>
      </c>
      <c r="C181" s="430" t="s">
        <v>923</v>
      </c>
      <c r="D181" s="431">
        <f>SUM(D176:D180)+D171+D175</f>
        <v>0</v>
      </c>
      <c r="E181" s="479">
        <f t="shared" ref="E181:M181" si="21">SUM(E176:E180)+E171+E175</f>
        <v>0</v>
      </c>
      <c r="F181" s="433">
        <f t="shared" si="21"/>
        <v>0</v>
      </c>
      <c r="G181" s="433">
        <f t="shared" si="21"/>
        <v>0</v>
      </c>
      <c r="H181" s="433">
        <f t="shared" si="21"/>
        <v>0</v>
      </c>
      <c r="I181" s="433">
        <f t="shared" si="21"/>
        <v>0</v>
      </c>
      <c r="J181" s="433">
        <f t="shared" si="21"/>
        <v>0</v>
      </c>
      <c r="K181" s="433">
        <f t="shared" si="21"/>
        <v>0</v>
      </c>
      <c r="L181" s="433">
        <f t="shared" si="21"/>
        <v>0</v>
      </c>
      <c r="M181" s="1055">
        <f t="shared" si="21"/>
        <v>0</v>
      </c>
      <c r="N181" s="539"/>
    </row>
    <row r="182" spans="1:14" ht="4.2" customHeight="1">
      <c r="A182" s="748"/>
    </row>
    <row r="183" spans="1:14" ht="12" customHeight="1">
      <c r="A183" s="454">
        <v>2017</v>
      </c>
      <c r="C183" s="397" t="s">
        <v>624</v>
      </c>
      <c r="D183" s="474">
        <v>0</v>
      </c>
      <c r="E183" s="485">
        <v>0</v>
      </c>
      <c r="F183" s="486">
        <v>0</v>
      </c>
      <c r="G183" s="486">
        <v>0</v>
      </c>
      <c r="H183" s="486">
        <v>0</v>
      </c>
      <c r="I183" s="1044">
        <v>0</v>
      </c>
      <c r="J183" s="1044">
        <v>0</v>
      </c>
      <c r="K183" s="1044">
        <v>0</v>
      </c>
      <c r="L183" s="1044">
        <v>0</v>
      </c>
      <c r="M183" s="436">
        <f>D183-SUM(E183:L183)</f>
        <v>0</v>
      </c>
    </row>
    <row r="184" spans="1:14" ht="12" customHeight="1">
      <c r="A184" s="454">
        <v>2018</v>
      </c>
      <c r="C184" s="405" t="s">
        <v>625</v>
      </c>
      <c r="D184" s="476">
        <v>0</v>
      </c>
      <c r="E184" s="489">
        <v>0</v>
      </c>
      <c r="F184" s="490">
        <v>0</v>
      </c>
      <c r="G184" s="490">
        <v>0</v>
      </c>
      <c r="H184" s="490">
        <v>0</v>
      </c>
      <c r="I184" s="1045">
        <v>0</v>
      </c>
      <c r="J184" s="1045">
        <v>0</v>
      </c>
      <c r="K184" s="1045">
        <v>0</v>
      </c>
      <c r="L184" s="1045">
        <v>0</v>
      </c>
      <c r="M184" s="439">
        <f t="shared" ref="M184:M185" si="22">D184-SUM(E184:L184)</f>
        <v>0</v>
      </c>
    </row>
    <row r="185" spans="1:14" ht="12" customHeight="1">
      <c r="A185" s="454">
        <v>2019</v>
      </c>
      <c r="C185" s="405" t="s">
        <v>626</v>
      </c>
      <c r="D185" s="476"/>
      <c r="E185" s="489">
        <v>0</v>
      </c>
      <c r="F185" s="490">
        <v>0</v>
      </c>
      <c r="G185" s="490">
        <v>0</v>
      </c>
      <c r="H185" s="490">
        <v>0</v>
      </c>
      <c r="I185" s="1045">
        <v>0</v>
      </c>
      <c r="J185" s="1045">
        <v>0</v>
      </c>
      <c r="K185" s="1045">
        <v>0</v>
      </c>
      <c r="L185" s="1045">
        <v>0</v>
      </c>
      <c r="M185" s="439">
        <f t="shared" si="22"/>
        <v>0</v>
      </c>
    </row>
    <row r="186" spans="1:14" ht="12" customHeight="1">
      <c r="A186" s="454" t="s">
        <v>463</v>
      </c>
      <c r="C186" s="412" t="s">
        <v>627</v>
      </c>
      <c r="D186" s="413">
        <f>SUM(D183:D185)</f>
        <v>0</v>
      </c>
      <c r="E186" s="414">
        <f t="shared" ref="E186:M186" si="23">SUM(E183:E185)</f>
        <v>0</v>
      </c>
      <c r="F186" s="415">
        <f t="shared" si="23"/>
        <v>0</v>
      </c>
      <c r="G186" s="415">
        <f t="shared" si="23"/>
        <v>0</v>
      </c>
      <c r="H186" s="415">
        <f t="shared" si="23"/>
        <v>0</v>
      </c>
      <c r="I186" s="415">
        <f t="shared" si="23"/>
        <v>0</v>
      </c>
      <c r="J186" s="415">
        <f t="shared" si="23"/>
        <v>0</v>
      </c>
      <c r="K186" s="415">
        <f t="shared" si="23"/>
        <v>0</v>
      </c>
      <c r="L186" s="415">
        <f t="shared" si="23"/>
        <v>0</v>
      </c>
      <c r="M186" s="1031">
        <f t="shared" si="23"/>
        <v>0</v>
      </c>
    </row>
    <row r="187" spans="1:14" s="515" customFormat="1">
      <c r="A187" s="454">
        <v>2020</v>
      </c>
      <c r="B187" s="385"/>
      <c r="C187" s="397" t="s">
        <v>628</v>
      </c>
      <c r="D187" s="451">
        <f>'T2 NSA'!C70</f>
        <v>0</v>
      </c>
      <c r="E187" s="485">
        <v>0</v>
      </c>
      <c r="F187" s="486">
        <v>0</v>
      </c>
      <c r="G187" s="486">
        <v>0</v>
      </c>
      <c r="H187" s="486">
        <v>0</v>
      </c>
      <c r="I187" s="486">
        <v>0</v>
      </c>
      <c r="J187" s="486">
        <v>0</v>
      </c>
      <c r="K187" s="486">
        <v>0</v>
      </c>
      <c r="L187" s="486">
        <v>0</v>
      </c>
      <c r="M187" s="436">
        <f>D187-SUM(E187:L187)</f>
        <v>0</v>
      </c>
    </row>
    <row r="188" spans="1:14" ht="12" customHeight="1">
      <c r="A188" s="454">
        <v>2021</v>
      </c>
      <c r="C188" s="405" t="s">
        <v>629</v>
      </c>
      <c r="D188" s="452">
        <f>'T2 NSA'!D70</f>
        <v>0</v>
      </c>
      <c r="E188" s="507"/>
      <c r="F188" s="490">
        <v>0</v>
      </c>
      <c r="G188" s="490">
        <v>0</v>
      </c>
      <c r="H188" s="490">
        <v>0</v>
      </c>
      <c r="I188" s="490">
        <v>0</v>
      </c>
      <c r="J188" s="490">
        <v>0</v>
      </c>
      <c r="K188" s="490">
        <v>0</v>
      </c>
      <c r="L188" s="490">
        <v>0</v>
      </c>
      <c r="M188" s="439">
        <f t="shared" ref="M188:M189" si="24">D188-SUM(E188:L188)</f>
        <v>0</v>
      </c>
    </row>
    <row r="189" spans="1:14" ht="12" customHeight="1">
      <c r="A189" s="454">
        <v>2022</v>
      </c>
      <c r="C189" s="405" t="s">
        <v>630</v>
      </c>
      <c r="D189" s="452">
        <f>'T2 NSA'!E70</f>
        <v>0</v>
      </c>
      <c r="E189" s="507"/>
      <c r="F189" s="508"/>
      <c r="G189" s="511">
        <v>0</v>
      </c>
      <c r="H189" s="511">
        <v>0</v>
      </c>
      <c r="I189" s="511">
        <v>0</v>
      </c>
      <c r="J189" s="511">
        <v>0</v>
      </c>
      <c r="K189" s="511">
        <v>0</v>
      </c>
      <c r="L189" s="511">
        <v>0</v>
      </c>
      <c r="M189" s="439">
        <f t="shared" si="24"/>
        <v>0</v>
      </c>
    </row>
    <row r="190" spans="1:14" ht="12" customHeight="1">
      <c r="A190" s="454" t="s">
        <v>468</v>
      </c>
      <c r="C190" s="412" t="s">
        <v>631</v>
      </c>
      <c r="D190" s="413">
        <f t="shared" ref="D190:L190" si="25">SUM(D187:D189)</f>
        <v>0</v>
      </c>
      <c r="E190" s="415">
        <f t="shared" si="25"/>
        <v>0</v>
      </c>
      <c r="F190" s="415">
        <f t="shared" si="25"/>
        <v>0</v>
      </c>
      <c r="G190" s="415">
        <f t="shared" si="25"/>
        <v>0</v>
      </c>
      <c r="H190" s="415">
        <f t="shared" si="25"/>
        <v>0</v>
      </c>
      <c r="I190" s="415">
        <f t="shared" si="25"/>
        <v>0</v>
      </c>
      <c r="J190" s="415">
        <f t="shared" si="25"/>
        <v>0</v>
      </c>
      <c r="K190" s="415">
        <f t="shared" si="25"/>
        <v>0</v>
      </c>
      <c r="L190" s="415">
        <f t="shared" si="25"/>
        <v>0</v>
      </c>
      <c r="M190" s="1031">
        <f t="shared" ref="M190" si="26">SUM(M187:M189)</f>
        <v>0</v>
      </c>
    </row>
    <row r="191" spans="1:14" ht="12" customHeight="1">
      <c r="A191" s="454">
        <v>2023</v>
      </c>
      <c r="C191" s="405" t="s">
        <v>632</v>
      </c>
      <c r="D191" s="452">
        <f>'T2 NSA'!F70</f>
        <v>0</v>
      </c>
      <c r="E191" s="507"/>
      <c r="F191" s="508"/>
      <c r="G191" s="508"/>
      <c r="H191" s="511">
        <v>0</v>
      </c>
      <c r="I191" s="511">
        <v>0</v>
      </c>
      <c r="J191" s="1046">
        <v>0</v>
      </c>
      <c r="K191" s="490">
        <v>0</v>
      </c>
      <c r="L191" s="490">
        <v>0</v>
      </c>
      <c r="M191" s="439">
        <f>D191-SUM(E191:L191)</f>
        <v>0</v>
      </c>
    </row>
    <row r="192" spans="1:14" ht="12" customHeight="1">
      <c r="A192" s="454">
        <v>2024</v>
      </c>
      <c r="C192" s="405" t="s">
        <v>633</v>
      </c>
      <c r="D192" s="452">
        <f>'T2 NSA'!G70</f>
        <v>0</v>
      </c>
      <c r="E192" s="507"/>
      <c r="F192" s="508"/>
      <c r="G192" s="508"/>
      <c r="H192" s="508"/>
      <c r="I192" s="511">
        <v>0</v>
      </c>
      <c r="J192" s="1046">
        <v>0</v>
      </c>
      <c r="K192" s="490">
        <v>0</v>
      </c>
      <c r="L192" s="490">
        <v>0</v>
      </c>
      <c r="M192" s="439">
        <f t="shared" ref="M192:M195" si="27">D192-SUM(E192:L192)</f>
        <v>0</v>
      </c>
    </row>
    <row r="193" spans="1:15" ht="12" customHeight="1">
      <c r="A193" s="454">
        <v>2025</v>
      </c>
      <c r="C193" s="405" t="s">
        <v>634</v>
      </c>
      <c r="D193" s="452">
        <f>'T2 NSA'!H70</f>
        <v>0</v>
      </c>
      <c r="E193" s="507"/>
      <c r="F193" s="508"/>
      <c r="G193" s="508"/>
      <c r="H193" s="508"/>
      <c r="I193" s="508"/>
      <c r="J193" s="511">
        <v>0</v>
      </c>
      <c r="K193" s="490">
        <v>0</v>
      </c>
      <c r="L193" s="490">
        <v>0</v>
      </c>
      <c r="M193" s="439">
        <f t="shared" si="27"/>
        <v>0</v>
      </c>
    </row>
    <row r="194" spans="1:15" ht="12" customHeight="1">
      <c r="A194" s="454">
        <v>2026</v>
      </c>
      <c r="C194" s="405" t="s">
        <v>635</v>
      </c>
      <c r="D194" s="452">
        <f>'T2 NSA'!I70</f>
        <v>0</v>
      </c>
      <c r="E194" s="507"/>
      <c r="F194" s="508"/>
      <c r="G194" s="508"/>
      <c r="H194" s="508"/>
      <c r="I194" s="508"/>
      <c r="J194" s="508"/>
      <c r="K194" s="490">
        <v>0</v>
      </c>
      <c r="L194" s="490">
        <v>0</v>
      </c>
      <c r="M194" s="439">
        <f t="shared" si="27"/>
        <v>0</v>
      </c>
    </row>
    <row r="195" spans="1:15" ht="12" customHeight="1">
      <c r="A195" s="454">
        <v>2027</v>
      </c>
      <c r="C195" s="405" t="s">
        <v>636</v>
      </c>
      <c r="D195" s="453">
        <f>'T2 NSA'!J70</f>
        <v>0</v>
      </c>
      <c r="E195" s="512"/>
      <c r="F195" s="513"/>
      <c r="G195" s="513"/>
      <c r="H195" s="513"/>
      <c r="I195" s="513"/>
      <c r="J195" s="513"/>
      <c r="K195" s="513"/>
      <c r="L195" s="490">
        <v>0</v>
      </c>
      <c r="M195" s="1056">
        <f t="shared" si="27"/>
        <v>0</v>
      </c>
    </row>
    <row r="196" spans="1:15" ht="12" customHeight="1">
      <c r="A196" s="454" t="s">
        <v>475</v>
      </c>
      <c r="C196" s="430" t="s">
        <v>924</v>
      </c>
      <c r="D196" s="431">
        <f>SUM(D191:D195)+D186+D190</f>
        <v>0</v>
      </c>
      <c r="E196" s="479">
        <f t="shared" ref="E196:M196" si="28">SUM(E191:E195)+E186+E190</f>
        <v>0</v>
      </c>
      <c r="F196" s="433">
        <f t="shared" si="28"/>
        <v>0</v>
      </c>
      <c r="G196" s="433">
        <f t="shared" si="28"/>
        <v>0</v>
      </c>
      <c r="H196" s="433">
        <f t="shared" si="28"/>
        <v>0</v>
      </c>
      <c r="I196" s="433">
        <f t="shared" si="28"/>
        <v>0</v>
      </c>
      <c r="J196" s="433">
        <f t="shared" si="28"/>
        <v>0</v>
      </c>
      <c r="K196" s="433">
        <f t="shared" si="28"/>
        <v>0</v>
      </c>
      <c r="L196" s="433">
        <f t="shared" si="28"/>
        <v>0</v>
      </c>
      <c r="M196" s="1055">
        <f t="shared" si="28"/>
        <v>0</v>
      </c>
    </row>
    <row r="197" spans="1:15" ht="4.2" customHeight="1">
      <c r="A197" s="748"/>
    </row>
    <row r="198" spans="1:15" ht="12" customHeight="1">
      <c r="A198" s="454">
        <v>2017</v>
      </c>
      <c r="C198" s="397" t="s">
        <v>638</v>
      </c>
      <c r="D198" s="516">
        <v>0</v>
      </c>
      <c r="E198" s="485">
        <v>0</v>
      </c>
      <c r="F198" s="486">
        <v>0</v>
      </c>
      <c r="G198" s="486">
        <v>0</v>
      </c>
      <c r="H198" s="486">
        <v>0</v>
      </c>
      <c r="I198" s="486">
        <v>0</v>
      </c>
      <c r="J198" s="486"/>
      <c r="K198" s="486"/>
      <c r="L198" s="486"/>
      <c r="M198" s="436">
        <f>D198-SUM(E198:L198)</f>
        <v>0</v>
      </c>
    </row>
    <row r="199" spans="1:15" ht="12" customHeight="1">
      <c r="A199" s="454">
        <v>2018</v>
      </c>
      <c r="C199" s="405" t="s">
        <v>639</v>
      </c>
      <c r="D199" s="517">
        <v>0</v>
      </c>
      <c r="E199" s="489">
        <v>0</v>
      </c>
      <c r="F199" s="490">
        <v>0</v>
      </c>
      <c r="G199" s="490">
        <v>0</v>
      </c>
      <c r="H199" s="490">
        <v>0</v>
      </c>
      <c r="I199" s="490">
        <v>0</v>
      </c>
      <c r="J199" s="490"/>
      <c r="K199" s="490"/>
      <c r="L199" s="490"/>
      <c r="M199" s="439">
        <f t="shared" ref="M199:M200" si="29">D199-SUM(E199:L199)</f>
        <v>0</v>
      </c>
    </row>
    <row r="200" spans="1:15" ht="12" customHeight="1">
      <c r="A200" s="454">
        <v>2019</v>
      </c>
      <c r="C200" s="405" t="s">
        <v>640</v>
      </c>
      <c r="D200" s="406">
        <v>0</v>
      </c>
      <c r="E200" s="489">
        <v>0</v>
      </c>
      <c r="F200" s="490">
        <v>0</v>
      </c>
      <c r="G200" s="490">
        <v>0</v>
      </c>
      <c r="H200" s="490">
        <v>0</v>
      </c>
      <c r="I200" s="490">
        <v>0</v>
      </c>
      <c r="J200" s="490"/>
      <c r="K200" s="490"/>
      <c r="L200" s="490"/>
      <c r="M200" s="439">
        <f t="shared" si="29"/>
        <v>0</v>
      </c>
    </row>
    <row r="201" spans="1:15" ht="12" customHeight="1">
      <c r="A201" s="454" t="s">
        <v>463</v>
      </c>
      <c r="C201" s="412" t="s">
        <v>641</v>
      </c>
      <c r="D201" s="413">
        <f>SUM(D198:D200)</f>
        <v>0</v>
      </c>
      <c r="E201" s="414">
        <f t="shared" ref="E201:M201" si="30">SUM(E198:E200)</f>
        <v>0</v>
      </c>
      <c r="F201" s="415">
        <f t="shared" si="30"/>
        <v>0</v>
      </c>
      <c r="G201" s="415">
        <f t="shared" si="30"/>
        <v>0</v>
      </c>
      <c r="H201" s="415">
        <f t="shared" si="30"/>
        <v>0</v>
      </c>
      <c r="I201" s="415">
        <f t="shared" si="30"/>
        <v>0</v>
      </c>
      <c r="J201" s="415"/>
      <c r="K201" s="415"/>
      <c r="L201" s="415"/>
      <c r="M201" s="1031">
        <f t="shared" si="30"/>
        <v>0</v>
      </c>
    </row>
    <row r="202" spans="1:15" s="966" customFormat="1">
      <c r="A202" s="962">
        <v>2020</v>
      </c>
      <c r="B202" s="539"/>
      <c r="C202" s="435" t="s">
        <v>642</v>
      </c>
      <c r="D202" s="963">
        <f>'T2 NSA'!C71</f>
        <v>0</v>
      </c>
      <c r="E202" s="964">
        <f>+D202</f>
        <v>0</v>
      </c>
      <c r="F202" s="965">
        <v>0</v>
      </c>
      <c r="G202" s="965">
        <v>0</v>
      </c>
      <c r="H202" s="965">
        <v>0</v>
      </c>
      <c r="I202" s="965">
        <v>0</v>
      </c>
      <c r="J202" s="965">
        <v>0</v>
      </c>
      <c r="K202" s="965">
        <v>0</v>
      </c>
      <c r="L202" s="965">
        <v>0</v>
      </c>
      <c r="M202" s="436">
        <f>D202-SUM(E202:L202)</f>
        <v>0</v>
      </c>
      <c r="O202" s="967"/>
    </row>
    <row r="203" spans="1:15" ht="12" customHeight="1">
      <c r="A203" s="454">
        <v>2021</v>
      </c>
      <c r="C203" s="405" t="s">
        <v>643</v>
      </c>
      <c r="D203" s="452">
        <f>'T2 NSA'!D71</f>
        <v>0</v>
      </c>
      <c r="E203" s="507"/>
      <c r="F203" s="490">
        <f>D203</f>
        <v>0</v>
      </c>
      <c r="G203" s="490">
        <v>0</v>
      </c>
      <c r="H203" s="490">
        <v>0</v>
      </c>
      <c r="I203" s="490">
        <v>0</v>
      </c>
      <c r="J203" s="490">
        <v>0</v>
      </c>
      <c r="K203" s="490">
        <v>0</v>
      </c>
      <c r="L203" s="490">
        <v>0</v>
      </c>
      <c r="M203" s="439">
        <f t="shared" ref="M203:M204" si="31">D203-SUM(E203:L203)</f>
        <v>0</v>
      </c>
    </row>
    <row r="204" spans="1:15" ht="12" customHeight="1">
      <c r="A204" s="454">
        <v>2022</v>
      </c>
      <c r="C204" s="405" t="s">
        <v>644</v>
      </c>
      <c r="D204" s="452">
        <f>'T2 NSA'!E71</f>
        <v>0</v>
      </c>
      <c r="E204" s="507"/>
      <c r="F204" s="507"/>
      <c r="G204" s="490">
        <v>0</v>
      </c>
      <c r="H204" s="490">
        <v>0</v>
      </c>
      <c r="I204" s="490">
        <v>0</v>
      </c>
      <c r="J204" s="490">
        <v>0</v>
      </c>
      <c r="K204" s="490">
        <v>0</v>
      </c>
      <c r="L204" s="490">
        <v>0</v>
      </c>
      <c r="M204" s="439">
        <f t="shared" si="31"/>
        <v>0</v>
      </c>
    </row>
    <row r="205" spans="1:15" ht="12" customHeight="1">
      <c r="A205" s="454" t="s">
        <v>468</v>
      </c>
      <c r="C205" s="412" t="s">
        <v>645</v>
      </c>
      <c r="D205" s="413">
        <f t="shared" ref="D205:L205" si="32">SUM(D202:D204)</f>
        <v>0</v>
      </c>
      <c r="E205" s="415">
        <f t="shared" si="32"/>
        <v>0</v>
      </c>
      <c r="F205" s="415">
        <f t="shared" si="32"/>
        <v>0</v>
      </c>
      <c r="G205" s="415">
        <f t="shared" si="32"/>
        <v>0</v>
      </c>
      <c r="H205" s="415">
        <f t="shared" si="32"/>
        <v>0</v>
      </c>
      <c r="I205" s="415">
        <f t="shared" si="32"/>
        <v>0</v>
      </c>
      <c r="J205" s="415">
        <f t="shared" si="32"/>
        <v>0</v>
      </c>
      <c r="K205" s="415">
        <f t="shared" si="32"/>
        <v>0</v>
      </c>
      <c r="L205" s="415">
        <f t="shared" si="32"/>
        <v>0</v>
      </c>
      <c r="M205" s="1031">
        <f t="shared" ref="M205" si="33">SUM(M202:M204)</f>
        <v>0</v>
      </c>
    </row>
    <row r="206" spans="1:15" ht="12" customHeight="1">
      <c r="A206" s="454">
        <v>2023</v>
      </c>
      <c r="C206" s="405" t="s">
        <v>646</v>
      </c>
      <c r="D206" s="452">
        <f>'T2 NSA'!F71</f>
        <v>0</v>
      </c>
      <c r="E206" s="507"/>
      <c r="F206" s="508"/>
      <c r="G206" s="508"/>
      <c r="H206" s="490">
        <v>0</v>
      </c>
      <c r="I206" s="490">
        <v>0</v>
      </c>
      <c r="J206" s="490">
        <v>0</v>
      </c>
      <c r="K206" s="490">
        <v>0</v>
      </c>
      <c r="L206" s="490">
        <v>0</v>
      </c>
      <c r="M206" s="439">
        <f>D206-SUM(E206:L206)</f>
        <v>0</v>
      </c>
    </row>
    <row r="207" spans="1:15" ht="12" customHeight="1">
      <c r="A207" s="454">
        <v>2024</v>
      </c>
      <c r="C207" s="405" t="s">
        <v>647</v>
      </c>
      <c r="D207" s="452">
        <f>'T2 NSA'!G71</f>
        <v>0</v>
      </c>
      <c r="E207" s="507"/>
      <c r="F207" s="508"/>
      <c r="G207" s="508"/>
      <c r="H207" s="508"/>
      <c r="I207" s="490">
        <v>0</v>
      </c>
      <c r="J207" s="490">
        <v>0</v>
      </c>
      <c r="K207" s="490">
        <v>0</v>
      </c>
      <c r="L207" s="490">
        <v>0</v>
      </c>
      <c r="M207" s="439">
        <f t="shared" ref="M207:M210" si="34">D207-SUM(E207:L207)</f>
        <v>0</v>
      </c>
    </row>
    <row r="208" spans="1:15" ht="12" customHeight="1">
      <c r="A208" s="454">
        <v>2025</v>
      </c>
      <c r="C208" s="405" t="s">
        <v>648</v>
      </c>
      <c r="D208" s="452">
        <f>'T2 NSA'!H71</f>
        <v>0</v>
      </c>
      <c r="E208" s="507"/>
      <c r="F208" s="508"/>
      <c r="G208" s="508"/>
      <c r="H208" s="508"/>
      <c r="I208" s="508"/>
      <c r="J208" s="490">
        <v>0</v>
      </c>
      <c r="K208" s="490">
        <v>0</v>
      </c>
      <c r="L208" s="490">
        <v>0</v>
      </c>
      <c r="M208" s="439">
        <f t="shared" si="34"/>
        <v>0</v>
      </c>
    </row>
    <row r="209" spans="1:13" ht="12" customHeight="1">
      <c r="A209" s="454">
        <v>2026</v>
      </c>
      <c r="C209" s="405" t="s">
        <v>649</v>
      </c>
      <c r="D209" s="452">
        <f>'T2 NSA'!I71</f>
        <v>0</v>
      </c>
      <c r="E209" s="507"/>
      <c r="F209" s="508"/>
      <c r="G209" s="508"/>
      <c r="H209" s="508"/>
      <c r="I209" s="508"/>
      <c r="J209" s="508"/>
      <c r="K209" s="490">
        <v>0</v>
      </c>
      <c r="L209" s="490">
        <v>0</v>
      </c>
      <c r="M209" s="439">
        <f t="shared" si="34"/>
        <v>0</v>
      </c>
    </row>
    <row r="210" spans="1:13" ht="12" customHeight="1">
      <c r="A210" s="454">
        <v>2027</v>
      </c>
      <c r="C210" s="405" t="s">
        <v>650</v>
      </c>
      <c r="D210" s="453">
        <f>'T2 NSA'!J71</f>
        <v>0</v>
      </c>
      <c r="E210" s="512"/>
      <c r="F210" s="513"/>
      <c r="G210" s="513"/>
      <c r="H210" s="513"/>
      <c r="I210" s="513"/>
      <c r="J210" s="513"/>
      <c r="K210" s="513"/>
      <c r="L210" s="521">
        <v>0</v>
      </c>
      <c r="M210" s="1056">
        <f t="shared" si="34"/>
        <v>0</v>
      </c>
    </row>
    <row r="211" spans="1:13" ht="12" customHeight="1">
      <c r="A211" s="454" t="s">
        <v>475</v>
      </c>
      <c r="C211" s="430" t="s">
        <v>925</v>
      </c>
      <c r="D211" s="431">
        <f>SUM(D206:D210)+D201+D205</f>
        <v>0</v>
      </c>
      <c r="E211" s="479">
        <f t="shared" ref="E211:M211" si="35">SUM(E206:E210)+E201+E205</f>
        <v>0</v>
      </c>
      <c r="F211" s="433">
        <f t="shared" si="35"/>
        <v>0</v>
      </c>
      <c r="G211" s="433">
        <f t="shared" si="35"/>
        <v>0</v>
      </c>
      <c r="H211" s="433">
        <f t="shared" si="35"/>
        <v>0</v>
      </c>
      <c r="I211" s="480">
        <f t="shared" si="35"/>
        <v>0</v>
      </c>
      <c r="J211" s="480">
        <f t="shared" si="35"/>
        <v>0</v>
      </c>
      <c r="K211" s="480">
        <f t="shared" si="35"/>
        <v>0</v>
      </c>
      <c r="L211" s="480">
        <f t="shared" si="35"/>
        <v>0</v>
      </c>
      <c r="M211" s="1055">
        <f t="shared" si="35"/>
        <v>0</v>
      </c>
    </row>
    <row r="212" spans="1:13" ht="4.2" customHeight="1">
      <c r="A212" s="748"/>
    </row>
    <row r="213" spans="1:13" ht="12" customHeight="1">
      <c r="A213" s="454">
        <v>2017</v>
      </c>
      <c r="C213" s="397" t="s">
        <v>652</v>
      </c>
      <c r="D213" s="403"/>
      <c r="E213" s="455"/>
      <c r="F213" s="401"/>
      <c r="G213" s="401"/>
      <c r="H213" s="401"/>
      <c r="I213" s="1038"/>
      <c r="J213" s="1038"/>
      <c r="K213" s="1038"/>
      <c r="L213" s="1038"/>
      <c r="M213" s="1034"/>
    </row>
    <row r="214" spans="1:13" ht="12" customHeight="1">
      <c r="A214" s="454">
        <v>2018</v>
      </c>
      <c r="C214" s="405" t="s">
        <v>653</v>
      </c>
      <c r="D214" s="411"/>
      <c r="E214" s="456"/>
      <c r="F214" s="409"/>
      <c r="G214" s="409"/>
      <c r="H214" s="409"/>
      <c r="I214" s="1042"/>
      <c r="J214" s="1042"/>
      <c r="K214" s="1042"/>
      <c r="L214" s="1042"/>
      <c r="M214" s="1029"/>
    </row>
    <row r="215" spans="1:13" ht="12" customHeight="1">
      <c r="A215" s="454">
        <v>2019</v>
      </c>
      <c r="C215" s="405" t="s">
        <v>654</v>
      </c>
      <c r="D215" s="411"/>
      <c r="E215" s="456"/>
      <c r="F215" s="409"/>
      <c r="G215" s="409"/>
      <c r="H215" s="409"/>
      <c r="I215" s="1039"/>
      <c r="J215" s="1039"/>
      <c r="K215" s="1039"/>
      <c r="L215" s="1039"/>
      <c r="M215" s="1029"/>
    </row>
    <row r="216" spans="1:13" ht="12" customHeight="1">
      <c r="A216" s="454" t="s">
        <v>463</v>
      </c>
      <c r="C216" s="412" t="s">
        <v>655</v>
      </c>
      <c r="D216" s="418"/>
      <c r="E216" s="463"/>
      <c r="F216" s="416"/>
      <c r="G216" s="416"/>
      <c r="H216" s="416"/>
      <c r="I216" s="1040"/>
      <c r="J216" s="1040"/>
      <c r="K216" s="1040"/>
      <c r="L216" s="1040"/>
      <c r="M216" s="1030"/>
    </row>
    <row r="217" spans="1:13" s="515" customFormat="1">
      <c r="A217" s="454">
        <v>2020</v>
      </c>
      <c r="B217" s="385"/>
      <c r="C217" s="397" t="s">
        <v>656</v>
      </c>
      <c r="D217" s="464"/>
      <c r="E217" s="455"/>
      <c r="F217" s="401"/>
      <c r="G217" s="401"/>
      <c r="H217" s="401"/>
      <c r="I217" s="1038"/>
      <c r="J217" s="1038"/>
      <c r="K217" s="1038"/>
      <c r="L217" s="1038"/>
      <c r="M217" s="1034"/>
    </row>
    <row r="218" spans="1:13" ht="12" customHeight="1">
      <c r="A218" s="454">
        <v>2021</v>
      </c>
      <c r="C218" s="405" t="s">
        <v>657</v>
      </c>
      <c r="D218" s="465"/>
      <c r="E218" s="456"/>
      <c r="F218" s="409"/>
      <c r="G218" s="409"/>
      <c r="H218" s="409"/>
      <c r="I218" s="1042"/>
      <c r="J218" s="1042"/>
      <c r="K218" s="1042"/>
      <c r="L218" s="1042"/>
      <c r="M218" s="1029"/>
    </row>
    <row r="219" spans="1:13" ht="12" customHeight="1">
      <c r="A219" s="454">
        <v>2022</v>
      </c>
      <c r="C219" s="405" t="s">
        <v>658</v>
      </c>
      <c r="D219" s="465"/>
      <c r="E219" s="456"/>
      <c r="F219" s="409"/>
      <c r="G219" s="409"/>
      <c r="H219" s="409"/>
      <c r="I219" s="1042"/>
      <c r="J219" s="1042"/>
      <c r="K219" s="1042"/>
      <c r="L219" s="1042"/>
      <c r="M219" s="1029"/>
    </row>
    <row r="220" spans="1:13" ht="12" customHeight="1">
      <c r="A220" s="454" t="s">
        <v>468</v>
      </c>
      <c r="C220" s="412" t="s">
        <v>659</v>
      </c>
      <c r="D220" s="418"/>
      <c r="E220" s="463"/>
      <c r="F220" s="416"/>
      <c r="G220" s="416"/>
      <c r="H220" s="416"/>
      <c r="I220" s="1040"/>
      <c r="J220" s="1040"/>
      <c r="K220" s="1040"/>
      <c r="L220" s="1040"/>
      <c r="M220" s="1030"/>
    </row>
    <row r="221" spans="1:13" ht="12" customHeight="1">
      <c r="A221" s="454">
        <v>2023</v>
      </c>
      <c r="C221" s="405" t="s">
        <v>660</v>
      </c>
      <c r="D221" s="465"/>
      <c r="E221" s="456"/>
      <c r="F221" s="409"/>
      <c r="G221" s="409"/>
      <c r="H221" s="409"/>
      <c r="I221" s="1042"/>
      <c r="J221" s="1042"/>
      <c r="K221" s="1042"/>
      <c r="L221" s="1042"/>
      <c r="M221" s="1029"/>
    </row>
    <row r="222" spans="1:13" ht="12" customHeight="1">
      <c r="A222" s="454">
        <v>2024</v>
      </c>
      <c r="C222" s="405" t="s">
        <v>661</v>
      </c>
      <c r="D222" s="465"/>
      <c r="E222" s="456"/>
      <c r="F222" s="409"/>
      <c r="G222" s="409"/>
      <c r="H222" s="409"/>
      <c r="I222" s="1042"/>
      <c r="J222" s="1042"/>
      <c r="K222" s="1042"/>
      <c r="L222" s="1042"/>
      <c r="M222" s="1029"/>
    </row>
    <row r="223" spans="1:13" ht="12" customHeight="1">
      <c r="A223" s="454">
        <v>2025</v>
      </c>
      <c r="C223" s="405" t="s">
        <v>662</v>
      </c>
      <c r="D223" s="465"/>
      <c r="E223" s="456"/>
      <c r="F223" s="409"/>
      <c r="G223" s="409"/>
      <c r="H223" s="409"/>
      <c r="I223" s="1039"/>
      <c r="J223" s="1039"/>
      <c r="K223" s="1039"/>
      <c r="L223" s="1039"/>
      <c r="M223" s="1029"/>
    </row>
    <row r="224" spans="1:13" ht="12" customHeight="1">
      <c r="A224" s="454">
        <v>2026</v>
      </c>
      <c r="C224" s="405" t="s">
        <v>663</v>
      </c>
      <c r="D224" s="465"/>
      <c r="E224" s="456"/>
      <c r="F224" s="409"/>
      <c r="G224" s="409"/>
      <c r="H224" s="409"/>
      <c r="I224" s="1039"/>
      <c r="J224" s="1039"/>
      <c r="K224" s="1039"/>
      <c r="L224" s="1039"/>
      <c r="M224" s="1029"/>
    </row>
    <row r="225" spans="1:15" ht="12" customHeight="1">
      <c r="A225" s="454">
        <v>2027</v>
      </c>
      <c r="C225" s="405" t="s">
        <v>664</v>
      </c>
      <c r="D225" s="466"/>
      <c r="E225" s="459"/>
      <c r="F225" s="460"/>
      <c r="G225" s="460"/>
      <c r="H225" s="460"/>
      <c r="I225" s="1049"/>
      <c r="J225" s="1049"/>
      <c r="K225" s="1049"/>
      <c r="L225" s="1049"/>
      <c r="M225" s="1035"/>
    </row>
    <row r="226" spans="1:15" ht="12" customHeight="1">
      <c r="A226" s="454" t="s">
        <v>475</v>
      </c>
      <c r="C226" s="430" t="s">
        <v>926</v>
      </c>
      <c r="D226" s="499"/>
      <c r="E226" s="493"/>
      <c r="F226" s="494"/>
      <c r="G226" s="494"/>
      <c r="H226" s="494"/>
      <c r="I226" s="500"/>
      <c r="J226" s="500"/>
      <c r="K226" s="500"/>
      <c r="L226" s="500"/>
      <c r="M226" s="1036"/>
    </row>
    <row r="227" spans="1:15" ht="4.2" customHeight="1">
      <c r="A227" s="748"/>
    </row>
    <row r="228" spans="1:15" ht="12" customHeight="1">
      <c r="A228" s="454">
        <v>2020</v>
      </c>
      <c r="C228" s="468" t="s">
        <v>666</v>
      </c>
      <c r="D228" s="447">
        <f>'T2 NSA'!C63</f>
        <v>0</v>
      </c>
      <c r="E228" s="456"/>
      <c r="F228" s="409"/>
      <c r="G228" s="486"/>
      <c r="H228" s="506"/>
      <c r="I228" s="506"/>
      <c r="J228" s="506"/>
      <c r="K228" s="506"/>
      <c r="L228" s="506"/>
      <c r="M228" s="436">
        <f>D228-SUM(E228:L228)</f>
        <v>0</v>
      </c>
    </row>
    <row r="229" spans="1:15" ht="12" customHeight="1">
      <c r="A229" s="454">
        <v>2021</v>
      </c>
      <c r="C229" s="469" t="s">
        <v>667</v>
      </c>
      <c r="D229" s="448">
        <f>'T2 NSA'!D63</f>
        <v>0</v>
      </c>
      <c r="E229" s="456"/>
      <c r="F229" s="409"/>
      <c r="G229" s="409"/>
      <c r="H229" s="422"/>
      <c r="I229" s="409"/>
      <c r="J229" s="409"/>
      <c r="K229" s="409"/>
      <c r="L229" s="409"/>
      <c r="M229" s="439">
        <f>D229-SUM(E229:L229)</f>
        <v>0</v>
      </c>
    </row>
    <row r="230" spans="1:15" ht="12" customHeight="1">
      <c r="A230" s="454">
        <v>2022</v>
      </c>
      <c r="C230" s="469" t="s">
        <v>668</v>
      </c>
      <c r="D230" s="448">
        <f>'T2 NSA'!E63</f>
        <v>0</v>
      </c>
      <c r="E230" s="503"/>
      <c r="F230" s="522"/>
      <c r="G230" s="522"/>
      <c r="H230" s="522"/>
      <c r="I230" s="490"/>
      <c r="J230" s="522"/>
      <c r="K230" s="522"/>
      <c r="L230" s="522"/>
      <c r="M230" s="439">
        <f>D230-SUM(E230:L230)</f>
        <v>0</v>
      </c>
    </row>
    <row r="231" spans="1:15" ht="12" customHeight="1">
      <c r="A231" s="454" t="s">
        <v>468</v>
      </c>
      <c r="C231" s="412" t="s">
        <v>669</v>
      </c>
      <c r="D231" s="413">
        <f>SUM(D228:D230)</f>
        <v>0</v>
      </c>
      <c r="E231" s="414">
        <f t="shared" ref="E231:I231" si="36">SUM(E228:E230)</f>
        <v>0</v>
      </c>
      <c r="F231" s="415">
        <f t="shared" si="36"/>
        <v>0</v>
      </c>
      <c r="G231" s="415">
        <f t="shared" si="36"/>
        <v>0</v>
      </c>
      <c r="H231" s="415">
        <f t="shared" si="36"/>
        <v>0</v>
      </c>
      <c r="I231" s="450">
        <f t="shared" si="36"/>
        <v>0</v>
      </c>
      <c r="J231" s="1040"/>
      <c r="K231" s="1040"/>
      <c r="L231" s="1040"/>
      <c r="M231" s="1030"/>
    </row>
    <row r="232" spans="1:15" ht="12" customHeight="1">
      <c r="A232" s="454">
        <v>2023</v>
      </c>
      <c r="C232" s="469" t="s">
        <v>670</v>
      </c>
      <c r="D232" s="448">
        <f>'T2 NSA'!F63</f>
        <v>0</v>
      </c>
      <c r="E232" s="503"/>
      <c r="F232" s="522"/>
      <c r="G232" s="522"/>
      <c r="H232" s="522"/>
      <c r="I232" s="522"/>
      <c r="J232" s="490"/>
      <c r="K232" s="522"/>
      <c r="L232" s="522"/>
      <c r="M232" s="436">
        <f>D232-SUM(E232:L232)</f>
        <v>0</v>
      </c>
    </row>
    <row r="233" spans="1:15" ht="12" customHeight="1">
      <c r="A233" s="454">
        <v>2024</v>
      </c>
      <c r="C233" s="469" t="s">
        <v>671</v>
      </c>
      <c r="D233" s="448">
        <f>'T2 NSA'!G63</f>
        <v>0</v>
      </c>
      <c r="E233" s="503"/>
      <c r="F233" s="522"/>
      <c r="G233" s="522"/>
      <c r="H233" s="522"/>
      <c r="I233" s="522"/>
      <c r="J233" s="522"/>
      <c r="K233" s="490"/>
      <c r="L233" s="522"/>
      <c r="M233" s="439">
        <f>D233-SUM(E233:L233)</f>
        <v>0</v>
      </c>
    </row>
    <row r="234" spans="1:15" ht="12" customHeight="1">
      <c r="A234" s="454">
        <v>2025</v>
      </c>
      <c r="C234" s="469" t="s">
        <v>672</v>
      </c>
      <c r="D234" s="448">
        <f>'T2 NSA'!H63</f>
        <v>0</v>
      </c>
      <c r="E234" s="503"/>
      <c r="F234" s="522"/>
      <c r="G234" s="522"/>
      <c r="H234" s="522"/>
      <c r="I234" s="522"/>
      <c r="J234" s="522"/>
      <c r="K234" s="522"/>
      <c r="L234" s="490"/>
      <c r="M234" s="439">
        <f>D234-SUM(E234:L234)</f>
        <v>0</v>
      </c>
    </row>
    <row r="235" spans="1:15" ht="12" customHeight="1">
      <c r="A235" s="454">
        <v>2026</v>
      </c>
      <c r="C235" s="469" t="s">
        <v>673</v>
      </c>
      <c r="D235" s="448">
        <f>'T2 NSA'!I63</f>
        <v>0</v>
      </c>
      <c r="E235" s="503"/>
      <c r="F235" s="522"/>
      <c r="G235" s="522"/>
      <c r="H235" s="522"/>
      <c r="I235" s="522"/>
      <c r="J235" s="522"/>
      <c r="K235" s="522"/>
      <c r="L235" s="522"/>
      <c r="M235" s="439">
        <f>D235-SUM(E235:L235)</f>
        <v>0</v>
      </c>
    </row>
    <row r="236" spans="1:15" ht="12" customHeight="1">
      <c r="A236" s="454">
        <v>2027</v>
      </c>
      <c r="C236" s="469" t="s">
        <v>674</v>
      </c>
      <c r="D236" s="449">
        <f>'T2 NSA'!J63</f>
        <v>0</v>
      </c>
      <c r="E236" s="523"/>
      <c r="F236" s="524"/>
      <c r="G236" s="524"/>
      <c r="H236" s="524"/>
      <c r="I236" s="524"/>
      <c r="J236" s="524"/>
      <c r="K236" s="524"/>
      <c r="L236" s="524"/>
      <c r="M236" s="1056">
        <f>D236-SUM(E236:L236)</f>
        <v>0</v>
      </c>
    </row>
    <row r="237" spans="1:15" ht="12" customHeight="1">
      <c r="A237" s="454" t="s">
        <v>475</v>
      </c>
      <c r="C237" s="525" t="s">
        <v>927</v>
      </c>
      <c r="D237" s="431">
        <f>SUM(D231:D236)</f>
        <v>0</v>
      </c>
      <c r="E237" s="526">
        <f t="shared" ref="E237:M237" si="37">SUM(E231:E236)</f>
        <v>0</v>
      </c>
      <c r="F237" s="527">
        <f t="shared" si="37"/>
        <v>0</v>
      </c>
      <c r="G237" s="527">
        <f t="shared" si="37"/>
        <v>0</v>
      </c>
      <c r="H237" s="527">
        <f t="shared" si="37"/>
        <v>0</v>
      </c>
      <c r="I237" s="1050">
        <f t="shared" si="37"/>
        <v>0</v>
      </c>
      <c r="J237" s="1050">
        <f t="shared" si="37"/>
        <v>0</v>
      </c>
      <c r="K237" s="1050">
        <f t="shared" si="37"/>
        <v>0</v>
      </c>
      <c r="L237" s="1050">
        <f t="shared" si="37"/>
        <v>0</v>
      </c>
      <c r="M237" s="1055">
        <f t="shared" si="37"/>
        <v>0</v>
      </c>
    </row>
    <row r="238" spans="1:15" ht="3" customHeight="1"/>
    <row r="239" spans="1:15" ht="12" customHeight="1">
      <c r="A239" s="454">
        <v>2020</v>
      </c>
      <c r="C239" s="468" t="s">
        <v>676</v>
      </c>
      <c r="D239" s="540"/>
      <c r="E239" s="455"/>
      <c r="F239" s="401"/>
      <c r="G239" s="401"/>
      <c r="H239" s="401"/>
      <c r="I239" s="1051"/>
      <c r="J239" s="1051"/>
      <c r="K239" s="1051"/>
      <c r="L239" s="1051"/>
      <c r="M239" s="1034"/>
      <c r="O239" s="1370"/>
    </row>
    <row r="240" spans="1:15" ht="12" customHeight="1">
      <c r="A240" s="454">
        <v>2021</v>
      </c>
      <c r="C240" s="469" t="s">
        <v>677</v>
      </c>
      <c r="D240" s="541"/>
      <c r="E240" s="456"/>
      <c r="F240" s="409"/>
      <c r="G240" s="409"/>
      <c r="H240" s="409"/>
      <c r="I240" s="1039"/>
      <c r="J240" s="1039"/>
      <c r="K240" s="1039"/>
      <c r="L240" s="1039"/>
      <c r="M240" s="1029"/>
      <c r="O240" s="1370"/>
    </row>
    <row r="241" spans="1:15" ht="12" customHeight="1">
      <c r="A241" s="454">
        <v>2022</v>
      </c>
      <c r="C241" s="469" t="s">
        <v>678</v>
      </c>
      <c r="D241" s="541"/>
      <c r="E241" s="456"/>
      <c r="F241" s="409"/>
      <c r="G241" s="409"/>
      <c r="H241" s="409"/>
      <c r="I241" s="1039"/>
      <c r="J241" s="1039"/>
      <c r="K241" s="1039"/>
      <c r="L241" s="1039"/>
      <c r="M241" s="1029"/>
      <c r="O241" s="1370"/>
    </row>
    <row r="242" spans="1:15" ht="12" customHeight="1">
      <c r="A242" s="454" t="s">
        <v>468</v>
      </c>
      <c r="C242" s="412" t="s">
        <v>679</v>
      </c>
      <c r="D242" s="1040"/>
      <c r="E242" s="1040"/>
      <c r="F242" s="1040"/>
      <c r="G242" s="1040"/>
      <c r="H242" s="1040"/>
      <c r="I242" s="1040"/>
      <c r="J242" s="1040"/>
      <c r="K242" s="1040"/>
      <c r="L242" s="1040"/>
      <c r="M242" s="1030"/>
      <c r="O242" s="1370"/>
    </row>
    <row r="243" spans="1:15" ht="12" customHeight="1">
      <c r="A243" s="454">
        <v>2023</v>
      </c>
      <c r="C243" s="469" t="s">
        <v>680</v>
      </c>
      <c r="D243" s="541"/>
      <c r="E243" s="456"/>
      <c r="F243" s="409"/>
      <c r="G243" s="409"/>
      <c r="H243" s="409"/>
      <c r="I243" s="1039"/>
      <c r="J243" s="1039"/>
      <c r="K243" s="1039"/>
      <c r="L243" s="1039"/>
      <c r="M243" s="1029"/>
      <c r="O243" s="1370"/>
    </row>
    <row r="244" spans="1:15" ht="12" customHeight="1">
      <c r="A244" s="454">
        <v>2024</v>
      </c>
      <c r="C244" s="469" t="s">
        <v>681</v>
      </c>
      <c r="D244" s="541"/>
      <c r="E244" s="456"/>
      <c r="F244" s="409"/>
      <c r="G244" s="409"/>
      <c r="H244" s="409"/>
      <c r="I244" s="1039"/>
      <c r="J244" s="1039"/>
      <c r="K244" s="1039"/>
      <c r="L244" s="1039"/>
      <c r="M244" s="1029"/>
      <c r="O244" s="1370"/>
    </row>
    <row r="245" spans="1:15" ht="12" customHeight="1">
      <c r="A245" s="454">
        <v>2025</v>
      </c>
      <c r="C245" s="469" t="s">
        <v>682</v>
      </c>
      <c r="D245" s="541"/>
      <c r="E245" s="456"/>
      <c r="F245" s="409"/>
      <c r="G245" s="409"/>
      <c r="H245" s="409"/>
      <c r="I245" s="1039"/>
      <c r="J245" s="1039"/>
      <c r="K245" s="1039"/>
      <c r="L245" s="1039"/>
      <c r="M245" s="1029"/>
      <c r="O245" s="1370"/>
    </row>
    <row r="246" spans="1:15" ht="12" customHeight="1">
      <c r="A246" s="454">
        <v>2026</v>
      </c>
      <c r="C246" s="469" t="s">
        <v>683</v>
      </c>
      <c r="D246" s="541"/>
      <c r="E246" s="456"/>
      <c r="F246" s="409"/>
      <c r="G246" s="409"/>
      <c r="H246" s="409"/>
      <c r="I246" s="1039"/>
      <c r="J246" s="1039"/>
      <c r="K246" s="1039"/>
      <c r="L246" s="1039"/>
      <c r="M246" s="1029"/>
      <c r="O246" s="1370"/>
    </row>
    <row r="247" spans="1:15" ht="12" customHeight="1">
      <c r="A247" s="454">
        <v>2027</v>
      </c>
      <c r="C247" s="469" t="s">
        <v>684</v>
      </c>
      <c r="D247" s="542"/>
      <c r="E247" s="459"/>
      <c r="F247" s="460"/>
      <c r="G247" s="460"/>
      <c r="H247" s="460"/>
      <c r="I247" s="1049"/>
      <c r="J247" s="1049"/>
      <c r="K247" s="1049"/>
      <c r="L247" s="1049"/>
      <c r="M247" s="1035"/>
      <c r="O247" s="1370"/>
    </row>
    <row r="248" spans="1:15" ht="12" customHeight="1">
      <c r="A248" s="454" t="s">
        <v>475</v>
      </c>
      <c r="C248" s="430" t="s">
        <v>685</v>
      </c>
      <c r="D248" s="499"/>
      <c r="E248" s="533"/>
      <c r="F248" s="494"/>
      <c r="G248" s="494"/>
      <c r="H248" s="494"/>
      <c r="I248" s="500"/>
      <c r="J248" s="500"/>
      <c r="K248" s="500"/>
      <c r="L248" s="500"/>
      <c r="M248" s="1036"/>
      <c r="O248" s="1370"/>
    </row>
    <row r="249" spans="1:15" ht="4.2" customHeight="1">
      <c r="C249" s="471"/>
      <c r="D249" s="471"/>
      <c r="E249" s="471"/>
      <c r="F249" s="472"/>
      <c r="G249" s="471"/>
      <c r="H249" s="471"/>
      <c r="I249" s="471"/>
      <c r="J249" s="471"/>
      <c r="K249" s="471"/>
      <c r="L249" s="471"/>
      <c r="M249" s="471"/>
    </row>
    <row r="250" spans="1:15" ht="3" customHeight="1"/>
    <row r="251" spans="1:15" ht="12" customHeight="1">
      <c r="B251" s="395"/>
      <c r="C251" s="430" t="s">
        <v>686</v>
      </c>
      <c r="D251" s="431">
        <f t="shared" ref="D251:L251" si="38">D21+D36+D47+D58+D69+D80+D91+D102+D107+D126+D141+D166+D181+D196+D211+D226+D237+D248</f>
        <v>47455.069483810155</v>
      </c>
      <c r="E251" s="431">
        <f t="shared" si="38"/>
        <v>-9560.9232333506698</v>
      </c>
      <c r="F251" s="431">
        <f t="shared" si="38"/>
        <v>-15902.192129381983</v>
      </c>
      <c r="G251" s="431">
        <f t="shared" si="38"/>
        <v>28269.502794880413</v>
      </c>
      <c r="H251" s="431">
        <f t="shared" si="38"/>
        <v>24596.770562383492</v>
      </c>
      <c r="I251" s="1052">
        <f t="shared" si="38"/>
        <v>20051.745709105227</v>
      </c>
      <c r="J251" s="1052">
        <f t="shared" si="38"/>
        <v>0</v>
      </c>
      <c r="K251" s="1052">
        <f t="shared" si="38"/>
        <v>0</v>
      </c>
      <c r="L251" s="1052">
        <f t="shared" si="38"/>
        <v>0</v>
      </c>
      <c r="M251" s="1055">
        <f>M21+M36+M47+M58+M69+M80+M91+M102+M107+M126+M141+M166+M181+M196+M211+M226+M237+M248</f>
        <v>0</v>
      </c>
      <c r="O251" s="1355"/>
    </row>
    <row r="252" spans="1:15" ht="3" customHeight="1"/>
    <row r="253" spans="1:15" ht="12" customHeight="1">
      <c r="C253" s="1" t="s">
        <v>705</v>
      </c>
      <c r="F253" s="385"/>
    </row>
    <row r="254" spans="1:15" ht="12" customHeight="1">
      <c r="C254" s="1" t="s">
        <v>706</v>
      </c>
      <c r="D254" s="143"/>
      <c r="E254" s="473"/>
      <c r="F254" s="473"/>
      <c r="G254" s="473"/>
      <c r="H254" s="473">
        <f>('T3 NSA'!G21-'T3 NSA'!G11+'T3 NSA'!G36-'T3 NSA'!G26+'T3 NSA'!G47+'T3 NSA'!G58+'T3 NSA'!G69+'T3 NSA'!G80+'T3 NSA'!G91+'T3 NSA'!G102+'T3 NSA'!G111+'T3 NSA'!G126-'T3 NSA'!G116+'T3 NSA'!G141-'T3 NSA'!G131+'T3 NSA'!G166-'T3 NSA'!G146-G156+'T3 NSA'!G181-'T3 NSA'!G171+'T3 NSA'!G196-'T3 NSA'!G186+'T3 NSA'!G211-'T3 NSA'!G201+'T3 NSA'!G226-'T3 NSA'!G216+'T3 NSA'!G237+'T3 NSA'!G248)*-'T2 NSA'!E40</f>
        <v>6187.8076803913154</v>
      </c>
      <c r="I254" s="473"/>
      <c r="J254" s="473"/>
      <c r="K254" s="473"/>
      <c r="L254" s="473"/>
      <c r="M254" s="515"/>
    </row>
    <row r="255" spans="1:15">
      <c r="E255" s="188"/>
      <c r="F255" s="188"/>
      <c r="G255" s="188"/>
      <c r="H255" s="188">
        <f>('T3 NSA'!G21-'T3 NSA'!G11+'T3 NSA'!G36-'T3 NSA'!G26+'T3 NSA'!G47+'T3 NSA'!G58+'T3 NSA'!G69+'T3 NSA'!G80+'T3 NSA'!G91+'T3 NSA'!G102+'T3 NSA'!G111+'T3 NSA'!G126-'T3 NSA'!G116+'T3 NSA'!G141-'T3 NSA'!G131+'T3 NSA'!G166-'T3 NSA'!G146-G156+'T3 NSA'!G181-'T3 NSA'!G171+'T3 NSA'!G196-'T3 NSA'!G186+'T3 NSA'!G211-'T3 NSA'!G201+'T3 NSA'!G226-'T3 NSA'!G216+'T3 NSA'!G237+'T3 NSA'!G248)*'T2 NSA'!E40</f>
        <v>-6187.8076803913154</v>
      </c>
      <c r="I255" s="188"/>
      <c r="J255" s="188"/>
      <c r="K255" s="188"/>
      <c r="L255" s="188"/>
    </row>
    <row r="256" spans="1:15" ht="12" customHeight="1">
      <c r="E256" s="188"/>
      <c r="F256" s="188"/>
      <c r="G256" s="188"/>
      <c r="H256" s="188"/>
      <c r="I256" s="188"/>
      <c r="J256" s="188"/>
      <c r="K256" s="188"/>
      <c r="L256" s="188"/>
    </row>
    <row r="257" spans="5:12">
      <c r="E257" s="188"/>
      <c r="F257" s="188"/>
      <c r="G257" s="188"/>
      <c r="H257" s="188"/>
      <c r="I257" s="188"/>
      <c r="J257" s="188"/>
      <c r="K257" s="188"/>
      <c r="L257" s="188"/>
    </row>
    <row r="258" spans="5:12">
      <c r="E258" s="188"/>
      <c r="F258" s="188"/>
      <c r="G258" s="188"/>
      <c r="H258" s="188"/>
      <c r="I258" s="188"/>
      <c r="J258" s="188"/>
      <c r="K258" s="188"/>
      <c r="L258" s="188"/>
    </row>
    <row r="259" spans="5:12">
      <c r="E259" s="188"/>
      <c r="F259" s="188"/>
      <c r="G259" s="188"/>
      <c r="H259" s="188"/>
      <c r="I259" s="188"/>
      <c r="J259" s="188"/>
      <c r="K259" s="188"/>
      <c r="L259" s="188"/>
    </row>
    <row r="260" spans="5:12">
      <c r="E260" s="188"/>
      <c r="F260" s="188"/>
      <c r="G260" s="188"/>
      <c r="H260" s="188"/>
      <c r="I260" s="188"/>
      <c r="J260" s="188"/>
      <c r="K260" s="188"/>
      <c r="L260" s="188"/>
    </row>
    <row r="261" spans="5:12">
      <c r="E261" s="188"/>
      <c r="F261" s="188"/>
      <c r="G261" s="188"/>
      <c r="H261" s="188"/>
      <c r="I261" s="188"/>
      <c r="J261" s="188"/>
      <c r="K261" s="188"/>
      <c r="L261" s="188"/>
    </row>
  </sheetData>
  <mergeCells count="1">
    <mergeCell ref="C1:M1"/>
  </mergeCells>
  <pageMargins left="0.7" right="0.7" top="0.75" bottom="0.75" header="0.3" footer="0.3"/>
  <pageSetup paperSize="9" scale="38" orientation="portrait" r:id="rId1"/>
  <customProperties>
    <customPr name="_pios_id" r:id="rId2"/>
  </customPropertie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pageSetUpPr fitToPage="1"/>
  </sheetPr>
  <dimension ref="A1:U188"/>
  <sheetViews>
    <sheetView topLeftCell="B1" zoomScale="90" zoomScaleNormal="90" workbookViewId="0">
      <pane xSplit="6" ySplit="7" topLeftCell="H114" activePane="bottomRight" state="frozen"/>
      <selection activeCell="B1" sqref="B1"/>
      <selection pane="topRight" activeCell="H1" sqref="H1"/>
      <selection pane="bottomLeft" activeCell="B8" sqref="B8"/>
      <selection pane="bottomRight" activeCell="R161" sqref="R161"/>
    </sheetView>
  </sheetViews>
  <sheetFormatPr defaultColWidth="1.6640625" defaultRowHeight="12"/>
  <cols>
    <col min="1" max="1" width="27" style="515" customWidth="1"/>
    <col min="2" max="2" width="32" style="515" customWidth="1"/>
    <col min="3" max="6" width="11.6640625" style="515" customWidth="1"/>
    <col min="7" max="10" width="8.5546875" style="515" customWidth="1"/>
    <col min="11" max="11" width="10.33203125" style="515" bestFit="1" customWidth="1"/>
    <col min="12" max="12" width="11.33203125" style="515" bestFit="1" customWidth="1"/>
    <col min="13" max="13" width="10.6640625" style="515" bestFit="1" customWidth="1"/>
    <col min="14" max="14" width="8.5546875" style="515" customWidth="1"/>
    <col min="15" max="18" width="11.33203125" style="515" bestFit="1" customWidth="1"/>
    <col min="19" max="19" width="8.6640625" style="515" customWidth="1"/>
    <col min="20" max="20" width="76.33203125" style="515" bestFit="1" customWidth="1"/>
    <col min="21" max="16384" width="1.6640625" style="515"/>
  </cols>
  <sheetData>
    <row r="1" spans="1:21">
      <c r="A1" s="1568" t="s">
        <v>726</v>
      </c>
      <c r="B1" s="1568"/>
      <c r="C1" s="1568"/>
      <c r="D1" s="1568"/>
      <c r="E1" s="1568"/>
      <c r="F1" s="1568"/>
      <c r="G1" s="1568"/>
      <c r="H1" s="1568"/>
      <c r="I1" s="1568"/>
      <c r="J1" s="1568"/>
      <c r="K1" s="1568"/>
      <c r="L1" s="1568"/>
      <c r="M1" s="1568"/>
      <c r="N1" s="1568"/>
      <c r="O1" s="1568"/>
      <c r="P1" s="1568"/>
      <c r="Q1" s="1568"/>
      <c r="R1" s="1568"/>
      <c r="S1" s="386"/>
      <c r="T1" s="386"/>
      <c r="U1" s="386"/>
    </row>
    <row r="3" spans="1:21">
      <c r="A3" s="388" t="str">
        <f>[8]T1!A3</f>
        <v>United Kingdom</v>
      </c>
      <c r="B3" s="1"/>
      <c r="C3" s="1"/>
      <c r="D3" s="1"/>
    </row>
    <row r="5" spans="1:21">
      <c r="A5" s="515" t="s">
        <v>727</v>
      </c>
    </row>
    <row r="6" spans="1:21">
      <c r="A6" s="1569" t="s">
        <v>728</v>
      </c>
      <c r="B6" s="1571" t="s">
        <v>729</v>
      </c>
      <c r="C6" s="1573" t="s">
        <v>730</v>
      </c>
      <c r="D6" s="1574"/>
      <c r="E6" s="1575" t="s">
        <v>731</v>
      </c>
      <c r="F6" s="1574"/>
      <c r="G6" s="1576" t="s">
        <v>732</v>
      </c>
      <c r="H6" s="1577" t="s">
        <v>733</v>
      </c>
      <c r="I6" s="1578"/>
      <c r="J6" s="1578"/>
      <c r="K6" s="1578"/>
      <c r="L6" s="1578"/>
      <c r="M6" s="1578"/>
      <c r="N6" s="1578"/>
      <c r="O6" s="1578"/>
      <c r="P6" s="1578"/>
      <c r="Q6" s="1578"/>
      <c r="R6" s="1579"/>
      <c r="T6" s="143"/>
    </row>
    <row r="7" spans="1:21" ht="24">
      <c r="A7" s="1570"/>
      <c r="B7" s="1572"/>
      <c r="C7" s="821" t="s">
        <v>475</v>
      </c>
      <c r="D7" s="822" t="s">
        <v>734</v>
      </c>
      <c r="E7" s="823" t="s">
        <v>475</v>
      </c>
      <c r="F7" s="822" t="s">
        <v>734</v>
      </c>
      <c r="G7" s="1576" t="s">
        <v>735</v>
      </c>
      <c r="H7" s="824">
        <v>2014</v>
      </c>
      <c r="I7" s="825">
        <v>2015</v>
      </c>
      <c r="J7" s="825">
        <v>2016</v>
      </c>
      <c r="K7" s="825">
        <v>2017</v>
      </c>
      <c r="L7" s="825">
        <v>2018</v>
      </c>
      <c r="M7" s="825">
        <v>2019</v>
      </c>
      <c r="N7" s="825">
        <v>2020</v>
      </c>
      <c r="O7" s="825">
        <v>2021</v>
      </c>
      <c r="P7" s="825">
        <v>2022</v>
      </c>
      <c r="Q7" s="825">
        <v>2023</v>
      </c>
      <c r="R7" s="826">
        <v>2024</v>
      </c>
      <c r="T7" s="385"/>
    </row>
    <row r="8" spans="1:21" s="820" customFormat="1" ht="52.5" customHeight="1">
      <c r="A8" s="912" t="s">
        <v>736</v>
      </c>
      <c r="B8" s="913"/>
      <c r="C8" s="914"/>
      <c r="D8" s="915"/>
      <c r="E8" s="914"/>
      <c r="F8" s="915"/>
      <c r="G8" s="916"/>
      <c r="H8" s="917"/>
      <c r="I8" s="918"/>
      <c r="J8" s="918"/>
      <c r="K8" s="918"/>
      <c r="L8" s="918"/>
      <c r="M8" s="919"/>
      <c r="N8" s="919"/>
      <c r="O8" s="919"/>
      <c r="P8" s="919"/>
      <c r="Q8" s="919"/>
      <c r="R8" s="915"/>
    </row>
    <row r="9" spans="1:21" ht="14.4">
      <c r="A9" s="846" t="s">
        <v>737</v>
      </c>
      <c r="B9" s="847" t="s">
        <v>738</v>
      </c>
      <c r="C9" s="827">
        <v>6555.2032936808082</v>
      </c>
      <c r="D9" s="828"/>
      <c r="E9" s="827">
        <v>6555.2032936808082</v>
      </c>
      <c r="F9" s="828"/>
      <c r="G9" s="829" t="s">
        <v>739</v>
      </c>
      <c r="H9" s="830"/>
      <c r="I9" s="831"/>
      <c r="J9" s="831"/>
      <c r="K9" s="831"/>
      <c r="L9" s="831"/>
      <c r="M9" s="831"/>
      <c r="N9" s="831">
        <v>1457.8215292580621</v>
      </c>
      <c r="O9" s="832">
        <v>1300.6755139929862</v>
      </c>
      <c r="P9" s="832">
        <v>1254.1566389328198</v>
      </c>
      <c r="Q9" s="832">
        <v>1264.5603383070893</v>
      </c>
      <c r="R9" s="848">
        <v>1277.989273189851</v>
      </c>
      <c r="S9"/>
      <c r="T9"/>
      <c r="U9"/>
    </row>
    <row r="10" spans="1:21" ht="14.4">
      <c r="A10" s="846" t="s">
        <v>740</v>
      </c>
      <c r="B10" s="847" t="s">
        <v>741</v>
      </c>
      <c r="C10" s="827">
        <v>-6555.2032936808082</v>
      </c>
      <c r="D10" s="828"/>
      <c r="E10" s="827">
        <v>-6555.2032936808082</v>
      </c>
      <c r="F10" s="828"/>
      <c r="G10" s="829" t="s">
        <v>739</v>
      </c>
      <c r="H10" s="830"/>
      <c r="I10" s="831"/>
      <c r="J10" s="831"/>
      <c r="K10" s="831"/>
      <c r="L10" s="831"/>
      <c r="M10" s="831"/>
      <c r="N10" s="831">
        <v>-1457.8215292580621</v>
      </c>
      <c r="O10" s="832">
        <v>-1300.6755139929862</v>
      </c>
      <c r="P10" s="832">
        <v>-1254.1566389328198</v>
      </c>
      <c r="Q10" s="832">
        <v>-1264.5603383070893</v>
      </c>
      <c r="R10" s="848">
        <v>-1277.989273189851</v>
      </c>
      <c r="S10"/>
      <c r="T10"/>
      <c r="U10"/>
    </row>
    <row r="11" spans="1:21" ht="14.4">
      <c r="A11" s="846"/>
      <c r="B11" s="847"/>
      <c r="C11" s="827"/>
      <c r="D11" s="828"/>
      <c r="E11" s="827"/>
      <c r="F11" s="828"/>
      <c r="G11" s="829"/>
      <c r="H11" s="830"/>
      <c r="I11" s="831"/>
      <c r="J11" s="831"/>
      <c r="K11" s="831"/>
      <c r="L11" s="831"/>
      <c r="M11" s="831"/>
      <c r="N11" s="831"/>
      <c r="O11" s="832"/>
      <c r="P11" s="832"/>
      <c r="Q11" s="832"/>
      <c r="R11" s="848"/>
      <c r="S11"/>
      <c r="T11"/>
      <c r="U11"/>
    </row>
    <row r="12" spans="1:21" ht="14.4">
      <c r="A12" s="846" t="s">
        <v>742</v>
      </c>
      <c r="B12" s="847"/>
      <c r="C12" s="827"/>
      <c r="D12" s="828"/>
      <c r="E12" s="827"/>
      <c r="F12" s="828"/>
      <c r="G12" s="829"/>
      <c r="H12" s="816"/>
      <c r="I12" s="817"/>
      <c r="J12" s="817">
        <v>0</v>
      </c>
      <c r="K12" s="817">
        <v>0</v>
      </c>
      <c r="L12" s="817">
        <v>0</v>
      </c>
      <c r="M12" s="817">
        <v>0</v>
      </c>
      <c r="N12" s="817">
        <v>0</v>
      </c>
      <c r="O12" s="818">
        <v>0</v>
      </c>
      <c r="P12" s="818">
        <v>0</v>
      </c>
      <c r="Q12" s="818">
        <v>0</v>
      </c>
      <c r="R12" s="819">
        <v>0</v>
      </c>
      <c r="S12"/>
      <c r="T12"/>
      <c r="U12"/>
    </row>
    <row r="13" spans="1:21" ht="14.4">
      <c r="A13" s="846"/>
      <c r="B13" s="847"/>
      <c r="C13" s="827"/>
      <c r="D13" s="828"/>
      <c r="E13" s="827"/>
      <c r="F13" s="828"/>
      <c r="G13" s="829"/>
      <c r="H13" s="830"/>
      <c r="I13" s="831"/>
      <c r="J13" s="831"/>
      <c r="K13" s="831"/>
      <c r="L13" s="831"/>
      <c r="M13" s="831"/>
      <c r="N13" s="831"/>
      <c r="O13" s="832"/>
      <c r="P13" s="832"/>
      <c r="Q13" s="832"/>
      <c r="R13" s="848"/>
      <c r="S13"/>
      <c r="T13"/>
      <c r="U13"/>
    </row>
    <row r="14" spans="1:21" ht="14.4">
      <c r="A14" s="846"/>
      <c r="B14" s="847"/>
      <c r="C14" s="827"/>
      <c r="D14" s="828"/>
      <c r="E14" s="827"/>
      <c r="F14" s="828"/>
      <c r="G14" s="829"/>
      <c r="H14" s="830"/>
      <c r="I14" s="831"/>
      <c r="J14" s="831"/>
      <c r="K14" s="831"/>
      <c r="L14" s="831"/>
      <c r="M14" s="831"/>
      <c r="N14" s="831"/>
      <c r="O14" s="832"/>
      <c r="P14" s="832"/>
      <c r="Q14" s="832"/>
      <c r="R14" s="848"/>
      <c r="S14"/>
      <c r="T14"/>
      <c r="U14"/>
    </row>
    <row r="15" spans="1:21" ht="14.4">
      <c r="A15" s="849" t="s">
        <v>743</v>
      </c>
      <c r="B15" s="847"/>
      <c r="C15" s="827"/>
      <c r="D15" s="828"/>
      <c r="E15" s="827"/>
      <c r="F15" s="828"/>
      <c r="G15" s="829"/>
      <c r="H15" s="830"/>
      <c r="I15" s="831"/>
      <c r="J15" s="831"/>
      <c r="K15" s="831"/>
      <c r="L15" s="831"/>
      <c r="M15" s="831"/>
      <c r="N15" s="831"/>
      <c r="O15" s="832"/>
      <c r="P15" s="832"/>
      <c r="Q15" s="832"/>
      <c r="R15" s="848"/>
      <c r="S15"/>
      <c r="T15" s="515" t="s">
        <v>744</v>
      </c>
      <c r="U15"/>
    </row>
    <row r="16" spans="1:21" ht="24">
      <c r="A16" s="846" t="s">
        <v>745</v>
      </c>
      <c r="B16" s="847" t="s">
        <v>746</v>
      </c>
      <c r="C16" s="827">
        <v>88447.353000000003</v>
      </c>
      <c r="D16" s="828"/>
      <c r="E16" s="827">
        <v>43047.660619999995</v>
      </c>
      <c r="F16" s="828"/>
      <c r="G16" s="829" t="s">
        <v>747</v>
      </c>
      <c r="H16" s="830">
        <v>0</v>
      </c>
      <c r="I16" s="831">
        <v>0</v>
      </c>
      <c r="J16" s="831">
        <v>13286.139320826498</v>
      </c>
      <c r="K16" s="831">
        <v>14813.53476</v>
      </c>
      <c r="L16" s="831">
        <v>0</v>
      </c>
      <c r="M16" s="920">
        <v>9068.2026600000008</v>
      </c>
      <c r="N16" s="831">
        <v>0</v>
      </c>
      <c r="O16" s="831">
        <v>0</v>
      </c>
      <c r="P16" s="920">
        <v>1667.8756100000001</v>
      </c>
      <c r="Q16" s="832">
        <v>0</v>
      </c>
      <c r="R16" s="848">
        <v>0</v>
      </c>
      <c r="S16"/>
      <c r="T16"/>
      <c r="U16"/>
    </row>
    <row r="17" spans="1:21" ht="24">
      <c r="A17" s="846" t="s">
        <v>748</v>
      </c>
      <c r="B17" s="847" t="s">
        <v>749</v>
      </c>
      <c r="C17" s="827">
        <v>4000</v>
      </c>
      <c r="D17" s="828"/>
      <c r="E17" s="827">
        <v>1950.0000046544001</v>
      </c>
      <c r="F17" s="828"/>
      <c r="G17" s="829" t="s">
        <v>747</v>
      </c>
      <c r="H17" s="830">
        <v>0</v>
      </c>
      <c r="I17" s="831">
        <v>0</v>
      </c>
      <c r="J17" s="831">
        <v>569.99695465440004</v>
      </c>
      <c r="K17" s="831">
        <v>0</v>
      </c>
      <c r="L17" s="831">
        <v>0</v>
      </c>
      <c r="M17" s="831">
        <v>1009.375</v>
      </c>
      <c r="N17" s="920">
        <v>0</v>
      </c>
      <c r="O17" s="831">
        <v>707.34058000000005</v>
      </c>
      <c r="P17" s="832">
        <v>0</v>
      </c>
      <c r="Q17" s="832">
        <v>0</v>
      </c>
      <c r="R17" s="848">
        <v>0</v>
      </c>
      <c r="U17"/>
    </row>
    <row r="18" spans="1:21" ht="24">
      <c r="A18" s="846" t="s">
        <v>750</v>
      </c>
      <c r="B18" s="847" t="s">
        <v>751</v>
      </c>
      <c r="C18" s="827">
        <v>87304.127999999997</v>
      </c>
      <c r="D18" s="828"/>
      <c r="E18" s="827">
        <v>42560.187314121998</v>
      </c>
      <c r="F18" s="828"/>
      <c r="G18" s="829" t="s">
        <v>747</v>
      </c>
      <c r="H18" s="830">
        <v>0</v>
      </c>
      <c r="I18" s="831">
        <v>0</v>
      </c>
      <c r="J18" s="831">
        <v>10517.830474122022</v>
      </c>
      <c r="K18" s="831">
        <v>0</v>
      </c>
      <c r="L18" s="831">
        <v>0</v>
      </c>
      <c r="M18" s="831">
        <v>23962.413399999998</v>
      </c>
      <c r="N18" s="831">
        <v>0</v>
      </c>
      <c r="O18" s="832">
        <v>0</v>
      </c>
      <c r="P18" s="921">
        <v>0</v>
      </c>
      <c r="Q18" s="921">
        <v>0</v>
      </c>
      <c r="R18" s="848">
        <v>8079.9440000000004</v>
      </c>
      <c r="U18"/>
    </row>
    <row r="19" spans="1:21" ht="24">
      <c r="A19" s="846" t="s">
        <v>752</v>
      </c>
      <c r="B19" s="847" t="s">
        <v>753</v>
      </c>
      <c r="C19" s="827">
        <v>16478.5</v>
      </c>
      <c r="D19" s="828"/>
      <c r="E19" s="827">
        <v>8239.25</v>
      </c>
      <c r="F19" s="828"/>
      <c r="G19" s="829" t="s">
        <v>739</v>
      </c>
      <c r="H19" s="830">
        <v>0</v>
      </c>
      <c r="I19" s="831">
        <v>0</v>
      </c>
      <c r="J19" s="831">
        <v>3175.7</v>
      </c>
      <c r="K19" s="831">
        <v>0</v>
      </c>
      <c r="L19" s="831">
        <v>935.48467000000005</v>
      </c>
      <c r="M19" s="831">
        <v>0</v>
      </c>
      <c r="N19" s="831">
        <v>2480.21533</v>
      </c>
      <c r="O19" s="832">
        <v>0</v>
      </c>
      <c r="P19" s="832">
        <v>716.9964774996206</v>
      </c>
      <c r="Q19" s="832">
        <v>0</v>
      </c>
      <c r="R19" s="848">
        <v>0</v>
      </c>
      <c r="U19"/>
    </row>
    <row r="20" spans="1:21" ht="24">
      <c r="A20" s="846" t="s">
        <v>754</v>
      </c>
      <c r="B20" s="847" t="s">
        <v>755</v>
      </c>
      <c r="C20" s="827">
        <v>21514.3</v>
      </c>
      <c r="D20" s="828"/>
      <c r="E20" s="827">
        <v>10757.15</v>
      </c>
      <c r="F20" s="828"/>
      <c r="G20" s="829" t="s">
        <v>739</v>
      </c>
      <c r="H20" s="830">
        <v>0</v>
      </c>
      <c r="I20" s="831">
        <v>0</v>
      </c>
      <c r="J20" s="831">
        <v>3851.06</v>
      </c>
      <c r="K20" s="831">
        <v>0</v>
      </c>
      <c r="L20" s="831">
        <v>3192.9183399999997</v>
      </c>
      <c r="M20" s="831">
        <v>0</v>
      </c>
      <c r="N20" s="831">
        <v>3713.17166</v>
      </c>
      <c r="O20" s="832">
        <v>0</v>
      </c>
      <c r="P20" s="832">
        <v>0</v>
      </c>
      <c r="Q20" s="832">
        <v>0</v>
      </c>
      <c r="R20" s="848">
        <v>0</v>
      </c>
      <c r="U20"/>
    </row>
    <row r="21" spans="1:21" ht="24">
      <c r="A21" s="846" t="s">
        <v>756</v>
      </c>
      <c r="B21" s="847" t="s">
        <v>757</v>
      </c>
      <c r="C21" s="827">
        <v>11230</v>
      </c>
      <c r="D21" s="828"/>
      <c r="E21" s="827">
        <v>5615</v>
      </c>
      <c r="F21" s="828"/>
      <c r="G21" s="829" t="s">
        <v>739</v>
      </c>
      <c r="H21" s="830">
        <v>0</v>
      </c>
      <c r="I21" s="831">
        <v>0</v>
      </c>
      <c r="J21" s="831">
        <v>1116.32</v>
      </c>
      <c r="K21" s="831">
        <v>0</v>
      </c>
      <c r="L21" s="831">
        <v>2647.3883500000002</v>
      </c>
      <c r="M21" s="831">
        <v>0</v>
      </c>
      <c r="N21" s="831">
        <v>728.29195000000004</v>
      </c>
      <c r="O21" s="832">
        <v>0</v>
      </c>
      <c r="P21" s="832">
        <v>932.09214236359105</v>
      </c>
      <c r="Q21" s="832">
        <v>0</v>
      </c>
      <c r="R21" s="848">
        <v>0</v>
      </c>
      <c r="U21"/>
    </row>
    <row r="22" spans="1:21" ht="24">
      <c r="A22" s="846" t="s">
        <v>758</v>
      </c>
      <c r="B22" s="847" t="s">
        <v>759</v>
      </c>
      <c r="C22" s="827">
        <v>3317</v>
      </c>
      <c r="D22" s="828"/>
      <c r="E22" s="827">
        <v>1658.5</v>
      </c>
      <c r="F22" s="828"/>
      <c r="G22" s="829" t="s">
        <v>739</v>
      </c>
      <c r="H22" s="830">
        <v>0</v>
      </c>
      <c r="I22" s="831">
        <v>0</v>
      </c>
      <c r="J22" s="831">
        <v>663.4</v>
      </c>
      <c r="K22" s="831">
        <v>0</v>
      </c>
      <c r="L22" s="831">
        <v>995.1</v>
      </c>
      <c r="M22" s="831">
        <v>0</v>
      </c>
      <c r="N22" s="831">
        <v>0</v>
      </c>
      <c r="O22" s="832">
        <v>0</v>
      </c>
      <c r="P22" s="832">
        <v>0</v>
      </c>
      <c r="Q22" s="832">
        <v>0</v>
      </c>
      <c r="R22" s="848">
        <v>0</v>
      </c>
      <c r="U22"/>
    </row>
    <row r="23" spans="1:21">
      <c r="A23" s="846"/>
      <c r="B23" s="847"/>
      <c r="C23" s="827"/>
      <c r="D23" s="828"/>
      <c r="E23" s="827"/>
      <c r="F23" s="828"/>
      <c r="G23" s="829"/>
      <c r="H23" s="830"/>
      <c r="I23" s="831"/>
      <c r="J23" s="831"/>
      <c r="K23" s="831"/>
      <c r="L23" s="831"/>
      <c r="M23" s="831"/>
      <c r="N23" s="831"/>
      <c r="O23" s="832"/>
      <c r="P23" s="832"/>
      <c r="Q23" s="832"/>
      <c r="R23" s="848"/>
    </row>
    <row r="24" spans="1:21">
      <c r="A24" s="846"/>
      <c r="B24" s="847"/>
      <c r="C24" s="827"/>
      <c r="D24" s="828"/>
      <c r="E24" s="827"/>
      <c r="F24" s="828"/>
      <c r="G24" s="829"/>
      <c r="H24" s="830"/>
      <c r="I24" s="831"/>
      <c r="J24" s="831"/>
      <c r="K24" s="831"/>
      <c r="L24" s="831"/>
      <c r="M24" s="831"/>
      <c r="N24" s="831"/>
      <c r="O24" s="832"/>
      <c r="P24" s="832"/>
      <c r="Q24" s="832"/>
      <c r="R24" s="848"/>
    </row>
    <row r="25" spans="1:21" ht="24">
      <c r="A25" s="849" t="s">
        <v>760</v>
      </c>
      <c r="B25" s="847"/>
      <c r="C25" s="827"/>
      <c r="D25" s="828"/>
      <c r="E25" s="827"/>
      <c r="F25" s="828"/>
      <c r="G25" s="829"/>
      <c r="H25" s="830"/>
      <c r="I25" s="831"/>
      <c r="J25" s="831"/>
      <c r="K25" s="831"/>
      <c r="L25" s="831"/>
      <c r="M25" s="831"/>
      <c r="N25" s="831"/>
      <c r="O25" s="832"/>
      <c r="P25" s="832"/>
      <c r="Q25" s="832"/>
      <c r="R25" s="848"/>
      <c r="T25" s="922" t="s">
        <v>761</v>
      </c>
    </row>
    <row r="26" spans="1:21">
      <c r="A26" s="846" t="s">
        <v>762</v>
      </c>
      <c r="B26" s="847"/>
      <c r="C26" s="827">
        <v>56.683071428571438</v>
      </c>
      <c r="D26" s="828"/>
      <c r="E26" s="827">
        <v>39.678150000000002</v>
      </c>
      <c r="F26" s="828"/>
      <c r="G26" s="829" t="s">
        <v>739</v>
      </c>
      <c r="H26" s="830">
        <v>0</v>
      </c>
      <c r="I26" s="831">
        <v>0</v>
      </c>
      <c r="J26" s="831">
        <v>0</v>
      </c>
      <c r="K26" s="831">
        <v>0</v>
      </c>
      <c r="L26" s="831">
        <v>0</v>
      </c>
      <c r="M26" s="831">
        <v>0</v>
      </c>
      <c r="N26" s="831">
        <v>0</v>
      </c>
      <c r="O26" s="832">
        <v>39.678150000000002</v>
      </c>
      <c r="P26" s="832">
        <v>0</v>
      </c>
      <c r="Q26" s="832">
        <v>0</v>
      </c>
      <c r="R26" s="848">
        <v>0</v>
      </c>
    </row>
    <row r="27" spans="1:21">
      <c r="A27" s="846" t="s">
        <v>763</v>
      </c>
      <c r="B27" s="847"/>
      <c r="C27" s="827">
        <v>0.13085714285714287</v>
      </c>
      <c r="D27" s="828"/>
      <c r="E27" s="827">
        <v>9.1600000000000001E-2</v>
      </c>
      <c r="F27" s="828"/>
      <c r="G27" s="829" t="s">
        <v>739</v>
      </c>
      <c r="H27" s="830">
        <v>0</v>
      </c>
      <c r="I27" s="831">
        <v>0</v>
      </c>
      <c r="J27" s="831">
        <v>0</v>
      </c>
      <c r="K27" s="831">
        <v>0</v>
      </c>
      <c r="L27" s="831">
        <v>0</v>
      </c>
      <c r="M27" s="831">
        <v>0</v>
      </c>
      <c r="N27" s="831">
        <v>0</v>
      </c>
      <c r="O27" s="832">
        <v>9.1600000000000001E-2</v>
      </c>
      <c r="P27" s="832">
        <v>0</v>
      </c>
      <c r="Q27" s="832">
        <v>0</v>
      </c>
      <c r="R27" s="848">
        <v>0</v>
      </c>
      <c r="U27" s="850"/>
    </row>
    <row r="28" spans="1:21">
      <c r="A28" s="846" t="s">
        <v>764</v>
      </c>
      <c r="B28" s="847"/>
      <c r="C28" s="827">
        <v>6.6821571428571431</v>
      </c>
      <c r="D28" s="828"/>
      <c r="E28" s="827">
        <v>4.6775099999999998</v>
      </c>
      <c r="F28" s="828"/>
      <c r="G28" s="829" t="s">
        <v>739</v>
      </c>
      <c r="H28" s="830">
        <v>0</v>
      </c>
      <c r="I28" s="831">
        <v>0</v>
      </c>
      <c r="J28" s="831">
        <v>0</v>
      </c>
      <c r="K28" s="831">
        <v>0</v>
      </c>
      <c r="L28" s="831">
        <v>0</v>
      </c>
      <c r="M28" s="831">
        <v>0</v>
      </c>
      <c r="N28" s="831">
        <v>0</v>
      </c>
      <c r="O28" s="832">
        <v>4.6775099999999998</v>
      </c>
      <c r="P28" s="832">
        <v>0</v>
      </c>
      <c r="Q28" s="832">
        <v>0</v>
      </c>
      <c r="R28" s="848">
        <v>0</v>
      </c>
      <c r="U28" s="850"/>
    </row>
    <row r="29" spans="1:21">
      <c r="A29" s="846" t="s">
        <v>765</v>
      </c>
      <c r="B29" s="847"/>
      <c r="C29" s="827">
        <v>122.23867142857144</v>
      </c>
      <c r="D29" s="828"/>
      <c r="E29" s="827">
        <v>85.567070000000001</v>
      </c>
      <c r="F29" s="828"/>
      <c r="G29" s="829" t="s">
        <v>739</v>
      </c>
      <c r="H29" s="830">
        <v>0</v>
      </c>
      <c r="I29" s="831">
        <v>0</v>
      </c>
      <c r="J29" s="831">
        <v>0</v>
      </c>
      <c r="K29" s="831">
        <v>0</v>
      </c>
      <c r="L29" s="831">
        <v>0</v>
      </c>
      <c r="M29" s="831">
        <v>0</v>
      </c>
      <c r="N29" s="831">
        <v>0</v>
      </c>
      <c r="O29" s="832">
        <v>85.567070000000001</v>
      </c>
      <c r="P29" s="832">
        <v>0</v>
      </c>
      <c r="Q29" s="832">
        <v>0</v>
      </c>
      <c r="R29" s="848">
        <v>0</v>
      </c>
      <c r="U29" s="850"/>
    </row>
    <row r="30" spans="1:21">
      <c r="A30" s="846"/>
      <c r="B30" s="847"/>
      <c r="C30" s="827"/>
      <c r="D30" s="828"/>
      <c r="E30" s="827"/>
      <c r="F30" s="828"/>
      <c r="G30" s="829"/>
      <c r="H30" s="830"/>
      <c r="I30" s="831"/>
      <c r="J30" s="831"/>
      <c r="K30" s="831"/>
      <c r="L30" s="831"/>
      <c r="M30" s="831"/>
      <c r="N30" s="832"/>
      <c r="O30" s="832"/>
      <c r="P30" s="832"/>
      <c r="Q30" s="832"/>
      <c r="R30" s="848"/>
      <c r="U30" s="850"/>
    </row>
    <row r="31" spans="1:21">
      <c r="A31" s="846"/>
      <c r="B31" s="847"/>
      <c r="C31" s="827"/>
      <c r="D31" s="828"/>
      <c r="E31" s="827"/>
      <c r="F31" s="828"/>
      <c r="G31" s="829"/>
      <c r="H31" s="830"/>
      <c r="I31" s="831"/>
      <c r="J31" s="831"/>
      <c r="K31" s="831"/>
      <c r="L31" s="831"/>
      <c r="M31" s="832"/>
      <c r="N31" s="831"/>
      <c r="O31" s="832"/>
      <c r="P31" s="832"/>
      <c r="Q31" s="832"/>
      <c r="R31" s="848"/>
      <c r="U31" s="850"/>
    </row>
    <row r="32" spans="1:21" ht="24">
      <c r="A32" s="849" t="s">
        <v>766</v>
      </c>
      <c r="B32" s="847"/>
      <c r="C32" s="827"/>
      <c r="D32" s="828"/>
      <c r="E32" s="827"/>
      <c r="F32" s="828"/>
      <c r="G32" s="829"/>
      <c r="H32" s="830"/>
      <c r="I32" s="831"/>
      <c r="J32" s="831"/>
      <c r="K32" s="831"/>
      <c r="L32" s="831"/>
      <c r="M32" s="831"/>
      <c r="N32" s="831"/>
      <c r="O32" s="832"/>
      <c r="P32" s="832"/>
      <c r="Q32" s="832"/>
      <c r="R32" s="848"/>
      <c r="T32" s="922" t="s">
        <v>767</v>
      </c>
      <c r="U32" s="850"/>
    </row>
    <row r="33" spans="1:21" ht="36">
      <c r="A33" s="846" t="s">
        <v>768</v>
      </c>
      <c r="B33" s="847" t="s">
        <v>769</v>
      </c>
      <c r="C33" s="827">
        <v>1900</v>
      </c>
      <c r="D33" s="828"/>
      <c r="E33" s="827">
        <v>1330</v>
      </c>
      <c r="F33" s="828"/>
      <c r="G33" s="829" t="s">
        <v>739</v>
      </c>
      <c r="H33" s="830">
        <v>0</v>
      </c>
      <c r="I33" s="831">
        <v>0</v>
      </c>
      <c r="J33" s="831">
        <v>0</v>
      </c>
      <c r="K33" s="831">
        <v>0</v>
      </c>
      <c r="L33" s="831">
        <v>0</v>
      </c>
      <c r="M33" s="831">
        <v>0</v>
      </c>
      <c r="N33" s="831">
        <v>429.39393000000007</v>
      </c>
      <c r="O33" s="831">
        <v>757.71559999999999</v>
      </c>
      <c r="P33" s="832">
        <v>0</v>
      </c>
      <c r="Q33" s="831">
        <v>100.23631000000006</v>
      </c>
      <c r="R33" s="848">
        <v>0</v>
      </c>
    </row>
    <row r="34" spans="1:21" ht="24">
      <c r="A34" s="846" t="s">
        <v>770</v>
      </c>
      <c r="B34" s="847" t="s">
        <v>771</v>
      </c>
      <c r="C34" s="827">
        <v>450</v>
      </c>
      <c r="D34" s="828"/>
      <c r="E34" s="827">
        <v>315</v>
      </c>
      <c r="F34" s="828"/>
      <c r="G34" s="829" t="s">
        <v>739</v>
      </c>
      <c r="H34" s="830">
        <v>0</v>
      </c>
      <c r="I34" s="831">
        <v>0</v>
      </c>
      <c r="J34" s="831">
        <v>0</v>
      </c>
      <c r="K34" s="831">
        <v>0</v>
      </c>
      <c r="L34" s="831">
        <v>0</v>
      </c>
      <c r="M34" s="831">
        <v>0</v>
      </c>
      <c r="N34" s="831">
        <v>110.09253</v>
      </c>
      <c r="O34" s="831">
        <v>170.65164000000001</v>
      </c>
      <c r="P34" s="832">
        <v>0</v>
      </c>
      <c r="Q34" s="831">
        <v>32.547499999999999</v>
      </c>
      <c r="R34" s="848">
        <v>0</v>
      </c>
      <c r="U34" s="850"/>
    </row>
    <row r="35" spans="1:21" ht="24">
      <c r="A35" s="846" t="s">
        <v>772</v>
      </c>
      <c r="B35" s="847" t="s">
        <v>773</v>
      </c>
      <c r="C35" s="827">
        <v>430</v>
      </c>
      <c r="D35" s="828"/>
      <c r="E35" s="827">
        <v>301</v>
      </c>
      <c r="F35" s="828"/>
      <c r="G35" s="829" t="s">
        <v>739</v>
      </c>
      <c r="H35" s="830">
        <v>0</v>
      </c>
      <c r="I35" s="831">
        <v>0</v>
      </c>
      <c r="J35" s="831">
        <v>0</v>
      </c>
      <c r="K35" s="831">
        <v>0</v>
      </c>
      <c r="L35" s="831">
        <v>0</v>
      </c>
      <c r="M35" s="831">
        <v>0</v>
      </c>
      <c r="N35" s="831">
        <v>100.48216000000001</v>
      </c>
      <c r="O35" s="831">
        <v>145.51382000000001</v>
      </c>
      <c r="P35" s="832">
        <v>3.5042354499999999</v>
      </c>
      <c r="Q35" s="831">
        <v>45.150003094818558</v>
      </c>
      <c r="R35" s="848">
        <v>0</v>
      </c>
      <c r="U35" s="850"/>
    </row>
    <row r="36" spans="1:21" ht="24">
      <c r="A36" s="846" t="s">
        <v>774</v>
      </c>
      <c r="B36" s="847" t="s">
        <v>775</v>
      </c>
      <c r="C36" s="827">
        <v>1850</v>
      </c>
      <c r="D36" s="828"/>
      <c r="E36" s="827">
        <v>1295</v>
      </c>
      <c r="F36" s="828"/>
      <c r="G36" s="829" t="s">
        <v>739</v>
      </c>
      <c r="H36" s="830">
        <v>0</v>
      </c>
      <c r="I36" s="831">
        <v>0</v>
      </c>
      <c r="J36" s="831">
        <v>0</v>
      </c>
      <c r="K36" s="831">
        <v>0</v>
      </c>
      <c r="L36" s="831">
        <v>0</v>
      </c>
      <c r="M36" s="831">
        <v>0</v>
      </c>
      <c r="N36" s="831">
        <v>453.33405000000005</v>
      </c>
      <c r="O36" s="831">
        <v>693.74050999999997</v>
      </c>
      <c r="P36" s="832">
        <v>0</v>
      </c>
      <c r="Q36" s="831">
        <v>141.63371999999998</v>
      </c>
      <c r="R36" s="848">
        <v>0</v>
      </c>
      <c r="U36" s="850"/>
    </row>
    <row r="37" spans="1:21">
      <c r="A37" s="846" t="s">
        <v>776</v>
      </c>
      <c r="B37" s="847" t="s">
        <v>777</v>
      </c>
      <c r="C37" s="827">
        <v>215</v>
      </c>
      <c r="D37" s="828"/>
      <c r="E37" s="827">
        <v>150.5</v>
      </c>
      <c r="F37" s="828"/>
      <c r="G37" s="829" t="s">
        <v>739</v>
      </c>
      <c r="H37" s="830">
        <v>0</v>
      </c>
      <c r="I37" s="831">
        <v>0</v>
      </c>
      <c r="J37" s="831">
        <v>0</v>
      </c>
      <c r="K37" s="831">
        <v>0</v>
      </c>
      <c r="L37" s="831">
        <v>0</v>
      </c>
      <c r="M37" s="831">
        <v>0</v>
      </c>
      <c r="N37" s="831">
        <v>53.254596999999997</v>
      </c>
      <c r="O37" s="831">
        <v>74.509029999999996</v>
      </c>
      <c r="P37" s="832">
        <v>0</v>
      </c>
      <c r="Q37" s="831">
        <v>22.575004530516804</v>
      </c>
      <c r="R37" s="848">
        <v>0</v>
      </c>
      <c r="U37" s="850"/>
    </row>
    <row r="38" spans="1:21">
      <c r="A38" s="846" t="s">
        <v>778</v>
      </c>
      <c r="B38" s="847" t="s">
        <v>779</v>
      </c>
      <c r="C38" s="827">
        <v>150</v>
      </c>
      <c r="D38" s="828"/>
      <c r="E38" s="827">
        <v>105</v>
      </c>
      <c r="F38" s="828"/>
      <c r="G38" s="829" t="s">
        <v>739</v>
      </c>
      <c r="H38" s="830">
        <v>0</v>
      </c>
      <c r="I38" s="831">
        <v>0</v>
      </c>
      <c r="J38" s="831">
        <v>0</v>
      </c>
      <c r="K38" s="831">
        <v>0</v>
      </c>
      <c r="L38" s="831">
        <v>0</v>
      </c>
      <c r="M38" s="831">
        <v>0</v>
      </c>
      <c r="N38" s="831">
        <v>37.424370000000003</v>
      </c>
      <c r="O38" s="831">
        <v>54.155214999999998</v>
      </c>
      <c r="P38" s="832">
        <v>2.1774850644680554E-2</v>
      </c>
      <c r="Q38" s="831">
        <v>-4.3294317381727447</v>
      </c>
      <c r="R38" s="848">
        <v>0</v>
      </c>
      <c r="U38" s="850"/>
    </row>
    <row r="39" spans="1:21">
      <c r="A39" s="846" t="s">
        <v>780</v>
      </c>
      <c r="B39" s="847" t="s">
        <v>781</v>
      </c>
      <c r="C39" s="827">
        <v>1867.96</v>
      </c>
      <c r="D39" s="828"/>
      <c r="E39" s="827">
        <v>1307.5719999999999</v>
      </c>
      <c r="F39" s="828"/>
      <c r="G39" s="829" t="s">
        <v>739</v>
      </c>
      <c r="H39" s="830">
        <v>0</v>
      </c>
      <c r="I39" s="831">
        <v>0</v>
      </c>
      <c r="J39" s="831">
        <v>0</v>
      </c>
      <c r="K39" s="831">
        <v>0</v>
      </c>
      <c r="L39" s="831">
        <v>0</v>
      </c>
      <c r="M39" s="831">
        <v>0</v>
      </c>
      <c r="N39" s="831">
        <v>422.35883000000001</v>
      </c>
      <c r="O39" s="831">
        <v>672.87009999999998</v>
      </c>
      <c r="P39" s="832">
        <v>0</v>
      </c>
      <c r="Q39" s="831">
        <v>212.34220317684859</v>
      </c>
      <c r="R39" s="848">
        <v>0</v>
      </c>
      <c r="U39" s="850"/>
    </row>
    <row r="40" spans="1:21">
      <c r="A40" s="846" t="s">
        <v>782</v>
      </c>
      <c r="B40" s="847" t="s">
        <v>783</v>
      </c>
      <c r="C40" s="827">
        <v>420</v>
      </c>
      <c r="D40" s="828"/>
      <c r="E40" s="827">
        <v>294</v>
      </c>
      <c r="F40" s="828"/>
      <c r="G40" s="829" t="s">
        <v>739</v>
      </c>
      <c r="H40" s="830">
        <v>0</v>
      </c>
      <c r="I40" s="831">
        <v>0</v>
      </c>
      <c r="J40" s="831">
        <v>0</v>
      </c>
      <c r="K40" s="831">
        <v>0</v>
      </c>
      <c r="L40" s="831">
        <v>0</v>
      </c>
      <c r="M40" s="831">
        <v>0</v>
      </c>
      <c r="N40" s="831">
        <v>104.34747</v>
      </c>
      <c r="O40" s="831">
        <v>160.25253000000001</v>
      </c>
      <c r="P40" s="832">
        <v>0</v>
      </c>
      <c r="Q40" s="831">
        <v>29.400002907357585</v>
      </c>
      <c r="R40" s="848">
        <v>0</v>
      </c>
      <c r="U40" s="850"/>
    </row>
    <row r="41" spans="1:21">
      <c r="A41" s="846" t="s">
        <v>784</v>
      </c>
      <c r="B41" s="847" t="s">
        <v>785</v>
      </c>
      <c r="C41" s="827">
        <v>250</v>
      </c>
      <c r="D41" s="828"/>
      <c r="E41" s="827">
        <v>175</v>
      </c>
      <c r="F41" s="828"/>
      <c r="G41" s="829" t="s">
        <v>739</v>
      </c>
      <c r="H41" s="830">
        <v>0</v>
      </c>
      <c r="I41" s="831">
        <v>0</v>
      </c>
      <c r="J41" s="831">
        <v>0</v>
      </c>
      <c r="K41" s="831">
        <v>0</v>
      </c>
      <c r="L41" s="831">
        <v>0</v>
      </c>
      <c r="M41" s="831">
        <v>0</v>
      </c>
      <c r="N41" s="831">
        <v>62.11159</v>
      </c>
      <c r="O41" s="831">
        <v>82.100909999999999</v>
      </c>
      <c r="P41" s="832">
        <v>4.5375043344078003</v>
      </c>
      <c r="Q41" s="831">
        <v>26.249996915592202</v>
      </c>
      <c r="R41" s="848">
        <v>0</v>
      </c>
      <c r="U41" s="850"/>
    </row>
    <row r="42" spans="1:21" ht="24">
      <c r="A42" s="846" t="s">
        <v>786</v>
      </c>
      <c r="B42" s="847" t="s">
        <v>787</v>
      </c>
      <c r="C42" s="827">
        <v>1425</v>
      </c>
      <c r="D42" s="828"/>
      <c r="E42" s="827">
        <v>997.49999999999989</v>
      </c>
      <c r="F42" s="828"/>
      <c r="G42" s="829" t="s">
        <v>739</v>
      </c>
      <c r="H42" s="830">
        <v>0</v>
      </c>
      <c r="I42" s="831">
        <v>0</v>
      </c>
      <c r="J42" s="831">
        <v>0</v>
      </c>
      <c r="K42" s="831">
        <v>0</v>
      </c>
      <c r="L42" s="831">
        <v>0</v>
      </c>
      <c r="M42" s="831">
        <v>0</v>
      </c>
      <c r="N42" s="831">
        <v>619.38460999999995</v>
      </c>
      <c r="O42" s="831">
        <v>274.38641000000001</v>
      </c>
      <c r="P42" s="832">
        <v>0</v>
      </c>
      <c r="Q42" s="831">
        <v>103.72897858112434</v>
      </c>
      <c r="R42" s="848">
        <v>0</v>
      </c>
      <c r="U42" s="850"/>
    </row>
    <row r="43" spans="1:21">
      <c r="A43" s="846"/>
      <c r="B43" s="847"/>
      <c r="C43" s="827"/>
      <c r="D43" s="828"/>
      <c r="E43" s="827"/>
      <c r="F43" s="828"/>
      <c r="G43" s="829"/>
      <c r="H43" s="830"/>
      <c r="I43" s="831"/>
      <c r="J43" s="831"/>
      <c r="K43" s="831"/>
      <c r="L43" s="831"/>
      <c r="M43" s="831"/>
      <c r="N43" s="831"/>
      <c r="O43" s="832"/>
      <c r="P43" s="832"/>
      <c r="Q43" s="832"/>
      <c r="R43" s="848"/>
      <c r="U43" s="850"/>
    </row>
    <row r="44" spans="1:21">
      <c r="A44" s="849"/>
      <c r="B44" s="847"/>
      <c r="C44" s="827"/>
      <c r="D44" s="828"/>
      <c r="E44" s="827"/>
      <c r="F44" s="828"/>
      <c r="G44" s="829"/>
      <c r="H44" s="830"/>
      <c r="I44" s="831"/>
      <c r="J44" s="831"/>
      <c r="K44" s="831"/>
      <c r="L44" s="831"/>
      <c r="M44" s="831"/>
      <c r="N44" s="831"/>
      <c r="O44" s="832"/>
      <c r="P44" s="832"/>
      <c r="Q44" s="832"/>
      <c r="R44" s="848"/>
    </row>
    <row r="45" spans="1:21" ht="24">
      <c r="A45" s="849" t="s">
        <v>788</v>
      </c>
      <c r="B45" s="847"/>
      <c r="C45" s="827"/>
      <c r="D45" s="828"/>
      <c r="E45" s="827"/>
      <c r="F45" s="828"/>
      <c r="G45" s="829"/>
      <c r="H45" s="830"/>
      <c r="I45" s="831"/>
      <c r="J45" s="831"/>
      <c r="K45" s="831"/>
      <c r="L45" s="831"/>
      <c r="M45" s="831"/>
      <c r="N45" s="831"/>
      <c r="O45" s="832"/>
      <c r="P45" s="832"/>
      <c r="Q45" s="832"/>
      <c r="R45" s="848"/>
      <c r="T45" s="922" t="s">
        <v>789</v>
      </c>
    </row>
    <row r="46" spans="1:21" ht="24">
      <c r="A46" s="846" t="s">
        <v>790</v>
      </c>
      <c r="B46" s="847" t="s">
        <v>791</v>
      </c>
      <c r="C46" s="827">
        <v>900.00000000000011</v>
      </c>
      <c r="D46" s="828"/>
      <c r="E46" s="827">
        <v>630</v>
      </c>
      <c r="F46" s="828"/>
      <c r="G46" s="829" t="s">
        <v>739</v>
      </c>
      <c r="H46" s="830"/>
      <c r="I46" s="831"/>
      <c r="J46" s="831"/>
      <c r="K46" s="831"/>
      <c r="L46" s="831"/>
      <c r="M46" s="831"/>
      <c r="N46" s="831"/>
      <c r="O46" s="832">
        <v>472.5</v>
      </c>
      <c r="P46" s="832">
        <v>63</v>
      </c>
      <c r="Q46" s="832">
        <v>94.5</v>
      </c>
      <c r="R46" s="848"/>
    </row>
    <row r="47" spans="1:21">
      <c r="A47" s="846" t="s">
        <v>792</v>
      </c>
      <c r="B47" s="847" t="s">
        <v>793</v>
      </c>
      <c r="C47" s="827">
        <v>115.00000000000001</v>
      </c>
      <c r="D47" s="828"/>
      <c r="E47" s="827">
        <v>80.5</v>
      </c>
      <c r="F47" s="828"/>
      <c r="G47" s="829" t="s">
        <v>739</v>
      </c>
      <c r="H47" s="830"/>
      <c r="I47" s="831"/>
      <c r="J47" s="831"/>
      <c r="K47" s="831"/>
      <c r="L47" s="831"/>
      <c r="M47" s="831"/>
      <c r="N47" s="831"/>
      <c r="O47" s="832">
        <v>60.375000000000007</v>
      </c>
      <c r="P47" s="832">
        <v>8.0500000000000007</v>
      </c>
      <c r="Q47" s="832">
        <v>12.074999999999999</v>
      </c>
      <c r="R47" s="848"/>
    </row>
    <row r="48" spans="1:21" ht="24">
      <c r="A48" s="846" t="s">
        <v>794</v>
      </c>
      <c r="B48" s="847" t="s">
        <v>795</v>
      </c>
      <c r="C48" s="827">
        <v>3122.4587999999999</v>
      </c>
      <c r="D48" s="828"/>
      <c r="E48" s="827">
        <v>2185.7211600000001</v>
      </c>
      <c r="F48" s="828"/>
      <c r="G48" s="829" t="s">
        <v>739</v>
      </c>
      <c r="H48" s="830"/>
      <c r="I48" s="831"/>
      <c r="J48" s="831"/>
      <c r="K48" s="831"/>
      <c r="L48" s="831"/>
      <c r="M48" s="831"/>
      <c r="N48" s="831"/>
      <c r="O48" s="832">
        <v>1639.29087</v>
      </c>
      <c r="P48" s="832">
        <v>158.89999999999978</v>
      </c>
      <c r="Q48" s="832">
        <v>238.35</v>
      </c>
      <c r="R48" s="848"/>
    </row>
    <row r="49" spans="1:18" ht="24">
      <c r="A49" s="846" t="s">
        <v>796</v>
      </c>
      <c r="B49" s="847" t="s">
        <v>797</v>
      </c>
      <c r="C49" s="827">
        <v>740</v>
      </c>
      <c r="D49" s="828"/>
      <c r="E49" s="827">
        <v>518</v>
      </c>
      <c r="F49" s="828"/>
      <c r="G49" s="829" t="s">
        <v>739</v>
      </c>
      <c r="H49" s="830"/>
      <c r="I49" s="831"/>
      <c r="J49" s="831"/>
      <c r="K49" s="831"/>
      <c r="L49" s="831"/>
      <c r="M49" s="831"/>
      <c r="N49" s="831"/>
      <c r="O49" s="832">
        <v>388.50000000000006</v>
      </c>
      <c r="P49" s="832">
        <v>51.8</v>
      </c>
      <c r="Q49" s="832">
        <v>-147.25432449879793</v>
      </c>
      <c r="R49" s="848"/>
    </row>
    <row r="50" spans="1:18">
      <c r="A50" s="846"/>
      <c r="B50" s="847"/>
      <c r="C50" s="827"/>
      <c r="D50" s="828"/>
      <c r="E50" s="827"/>
      <c r="F50" s="828"/>
      <c r="G50" s="829"/>
      <c r="H50" s="830"/>
      <c r="I50" s="831"/>
      <c r="J50" s="831"/>
      <c r="K50" s="831"/>
      <c r="L50" s="831"/>
      <c r="M50" s="831"/>
      <c r="N50" s="831"/>
      <c r="O50" s="832"/>
      <c r="P50" s="832"/>
      <c r="Q50" s="832"/>
      <c r="R50" s="848"/>
    </row>
    <row r="51" spans="1:18">
      <c r="A51" s="846"/>
      <c r="B51" s="847"/>
      <c r="C51" s="827"/>
      <c r="D51" s="828"/>
      <c r="E51" s="827"/>
      <c r="F51" s="828"/>
      <c r="G51" s="829"/>
      <c r="H51" s="830"/>
      <c r="I51" s="831"/>
      <c r="J51" s="831"/>
      <c r="K51" s="831"/>
      <c r="L51" s="831"/>
      <c r="M51" s="831"/>
      <c r="N51" s="831"/>
      <c r="O51" s="832"/>
      <c r="P51" s="832"/>
      <c r="Q51" s="832"/>
      <c r="R51" s="848"/>
    </row>
    <row r="52" spans="1:18">
      <c r="A52" s="849" t="s">
        <v>798</v>
      </c>
      <c r="B52" s="847"/>
      <c r="C52" s="827"/>
      <c r="D52" s="828"/>
      <c r="E52" s="827"/>
      <c r="F52" s="828"/>
      <c r="G52" s="829"/>
      <c r="H52" s="830"/>
      <c r="I52" s="831"/>
      <c r="J52" s="831"/>
      <c r="K52" s="831"/>
      <c r="L52" s="831"/>
      <c r="M52" s="831"/>
      <c r="N52" s="831"/>
      <c r="O52" s="832"/>
      <c r="P52" s="832"/>
      <c r="Q52" s="832"/>
      <c r="R52" s="848"/>
    </row>
    <row r="53" spans="1:18" ht="36">
      <c r="A53" s="846" t="s">
        <v>799</v>
      </c>
      <c r="B53" s="847" t="s">
        <v>800</v>
      </c>
      <c r="C53" s="827">
        <v>253.1525</v>
      </c>
      <c r="D53" s="828"/>
      <c r="E53" s="827">
        <v>177.20675</v>
      </c>
      <c r="F53" s="828"/>
      <c r="G53" s="829" t="s">
        <v>739</v>
      </c>
      <c r="H53" s="830"/>
      <c r="I53" s="831"/>
      <c r="J53" s="831"/>
      <c r="K53" s="831"/>
      <c r="L53" s="831"/>
      <c r="M53" s="831"/>
      <c r="N53" s="831"/>
      <c r="O53" s="832">
        <v>62.0223625</v>
      </c>
      <c r="P53" s="832">
        <v>97.4637125</v>
      </c>
      <c r="Q53" s="832">
        <v>17.720675</v>
      </c>
      <c r="R53" s="848"/>
    </row>
    <row r="54" spans="1:18">
      <c r="A54" s="846"/>
      <c r="B54" s="847"/>
      <c r="C54" s="827">
        <v>260</v>
      </c>
      <c r="D54" s="828"/>
      <c r="E54" s="827">
        <v>260</v>
      </c>
      <c r="F54" s="828"/>
      <c r="G54" s="829"/>
      <c r="H54" s="830"/>
      <c r="I54" s="831"/>
      <c r="J54" s="831"/>
      <c r="K54" s="831"/>
      <c r="L54" s="831"/>
      <c r="M54" s="831"/>
      <c r="N54" s="831">
        <v>39</v>
      </c>
      <c r="O54" s="832"/>
      <c r="P54" s="832">
        <v>110.5</v>
      </c>
      <c r="Q54" s="832">
        <v>110.5</v>
      </c>
      <c r="R54" s="848"/>
    </row>
    <row r="55" spans="1:18">
      <c r="A55" s="846"/>
      <c r="B55" s="847"/>
      <c r="C55" s="827">
        <v>60</v>
      </c>
      <c r="D55" s="828"/>
      <c r="E55" s="827">
        <v>60</v>
      </c>
      <c r="F55" s="828"/>
      <c r="G55" s="829"/>
      <c r="H55" s="830"/>
      <c r="I55" s="831"/>
      <c r="J55" s="831"/>
      <c r="K55" s="831"/>
      <c r="L55" s="831"/>
      <c r="M55" s="831"/>
      <c r="N55" s="831"/>
      <c r="O55" s="832">
        <v>57.758009999999999</v>
      </c>
      <c r="P55" s="832"/>
      <c r="Q55" s="832"/>
      <c r="R55" s="848"/>
    </row>
    <row r="56" spans="1:18">
      <c r="A56" s="846"/>
      <c r="B56" s="847"/>
      <c r="C56" s="827"/>
      <c r="D56" s="828"/>
      <c r="E56" s="827"/>
      <c r="F56" s="828"/>
      <c r="G56" s="829"/>
      <c r="H56" s="830"/>
      <c r="I56" s="831"/>
      <c r="J56" s="831"/>
      <c r="K56" s="831"/>
      <c r="L56" s="831"/>
      <c r="M56" s="831"/>
      <c r="N56" s="831"/>
      <c r="O56" s="832"/>
      <c r="P56" s="832"/>
      <c r="Q56" s="832"/>
      <c r="R56" s="848"/>
    </row>
    <row r="57" spans="1:18">
      <c r="A57" s="849"/>
      <c r="B57" s="847"/>
      <c r="C57" s="827"/>
      <c r="D57" s="828"/>
      <c r="E57" s="827"/>
      <c r="F57" s="828"/>
      <c r="G57" s="829"/>
      <c r="H57" s="830"/>
      <c r="I57" s="831"/>
      <c r="J57" s="831"/>
      <c r="K57" s="831"/>
      <c r="L57" s="831"/>
      <c r="M57" s="831"/>
      <c r="N57" s="831"/>
      <c r="O57" s="832"/>
      <c r="P57" s="832"/>
      <c r="Q57" s="832"/>
      <c r="R57" s="848"/>
    </row>
    <row r="58" spans="1:18">
      <c r="A58" s="846"/>
      <c r="B58" s="847"/>
      <c r="C58" s="827"/>
      <c r="D58" s="828"/>
      <c r="E58" s="827"/>
      <c r="F58" s="828"/>
      <c r="G58" s="829"/>
      <c r="H58" s="830"/>
      <c r="I58" s="831"/>
      <c r="J58" s="831"/>
      <c r="K58" s="831"/>
      <c r="L58" s="831"/>
      <c r="M58" s="831"/>
      <c r="N58" s="831"/>
      <c r="O58" s="832"/>
      <c r="P58" s="832"/>
      <c r="Q58" s="832"/>
      <c r="R58" s="848"/>
    </row>
    <row r="59" spans="1:18">
      <c r="A59" s="846"/>
      <c r="B59" s="847"/>
      <c r="C59" s="827"/>
      <c r="D59" s="828"/>
      <c r="E59" s="827"/>
      <c r="F59" s="828"/>
      <c r="G59" s="829"/>
      <c r="H59" s="830"/>
      <c r="I59" s="831"/>
      <c r="J59" s="831"/>
      <c r="K59" s="831"/>
      <c r="L59" s="831"/>
      <c r="M59" s="831"/>
      <c r="N59" s="831"/>
      <c r="O59" s="832"/>
      <c r="P59" s="832"/>
      <c r="Q59" s="832"/>
      <c r="R59" s="848"/>
    </row>
    <row r="60" spans="1:18">
      <c r="A60" s="846"/>
      <c r="B60" s="847"/>
      <c r="C60" s="827"/>
      <c r="D60" s="828"/>
      <c r="E60" s="827"/>
      <c r="F60" s="828"/>
      <c r="G60" s="829"/>
      <c r="H60" s="830"/>
      <c r="I60" s="831"/>
      <c r="J60" s="831"/>
      <c r="K60" s="831"/>
      <c r="L60" s="831"/>
      <c r="M60" s="831"/>
      <c r="N60" s="831"/>
      <c r="O60" s="832"/>
      <c r="P60" s="832"/>
      <c r="Q60" s="832"/>
      <c r="R60" s="848"/>
    </row>
    <row r="61" spans="1:18">
      <c r="A61" s="849"/>
      <c r="B61" s="847"/>
      <c r="C61" s="827"/>
      <c r="D61" s="828"/>
      <c r="E61" s="827"/>
      <c r="F61" s="828"/>
      <c r="G61" s="829"/>
      <c r="H61" s="830"/>
      <c r="I61" s="831"/>
      <c r="J61" s="831"/>
      <c r="K61" s="831"/>
      <c r="L61" s="831"/>
      <c r="M61" s="831"/>
      <c r="N61" s="831"/>
      <c r="O61" s="832"/>
      <c r="P61" s="832"/>
      <c r="Q61" s="832"/>
      <c r="R61" s="848"/>
    </row>
    <row r="62" spans="1:18">
      <c r="A62" s="849"/>
      <c r="B62" s="847"/>
      <c r="C62" s="827"/>
      <c r="D62" s="828"/>
      <c r="E62" s="827"/>
      <c r="F62" s="828"/>
      <c r="G62" s="829"/>
      <c r="H62" s="830"/>
      <c r="I62" s="831"/>
      <c r="J62" s="831"/>
      <c r="K62" s="831"/>
      <c r="L62" s="831"/>
      <c r="M62" s="831"/>
      <c r="N62" s="831"/>
      <c r="O62" s="832"/>
      <c r="P62" s="832"/>
      <c r="Q62" s="832"/>
      <c r="R62" s="848"/>
    </row>
    <row r="63" spans="1:18">
      <c r="A63" s="846"/>
      <c r="B63" s="847"/>
      <c r="C63" s="827"/>
      <c r="D63" s="828"/>
      <c r="E63" s="827"/>
      <c r="F63" s="828"/>
      <c r="G63" s="829"/>
      <c r="H63" s="830"/>
      <c r="I63" s="831"/>
      <c r="J63" s="831"/>
      <c r="K63" s="831"/>
      <c r="L63" s="831"/>
      <c r="M63" s="831"/>
      <c r="N63" s="831"/>
      <c r="O63" s="832"/>
      <c r="P63" s="832"/>
      <c r="Q63" s="832"/>
      <c r="R63" s="848"/>
    </row>
    <row r="64" spans="1:18">
      <c r="A64" s="923"/>
      <c r="B64" s="924"/>
      <c r="C64" s="923"/>
      <c r="D64" s="923"/>
      <c r="E64" s="925"/>
      <c r="F64" s="926"/>
      <c r="G64" s="926"/>
      <c r="H64" s="927"/>
      <c r="I64" s="926"/>
      <c r="J64" s="926"/>
      <c r="K64" s="926"/>
      <c r="L64" s="926"/>
      <c r="M64" s="926"/>
      <c r="N64" s="926"/>
      <c r="O64" s="926"/>
      <c r="P64" s="926"/>
      <c r="Q64" s="926"/>
      <c r="R64" s="926"/>
    </row>
    <row r="65" spans="1:18">
      <c r="A65" s="923"/>
      <c r="B65" s="924"/>
      <c r="C65" s="923"/>
      <c r="D65" s="923"/>
      <c r="E65" s="925"/>
      <c r="F65" s="926"/>
      <c r="G65" s="926"/>
      <c r="H65" s="927"/>
      <c r="I65" s="926"/>
      <c r="J65" s="926"/>
      <c r="K65" s="926"/>
      <c r="L65" s="926"/>
      <c r="M65" s="926"/>
      <c r="N65" s="926"/>
      <c r="O65" s="926"/>
      <c r="P65" s="926"/>
      <c r="Q65" s="926"/>
      <c r="R65" s="926"/>
    </row>
    <row r="66" spans="1:18">
      <c r="A66" s="923"/>
      <c r="B66" s="924"/>
      <c r="C66" s="923"/>
      <c r="D66" s="923"/>
      <c r="E66" s="925"/>
      <c r="F66" s="926"/>
      <c r="G66" s="926"/>
      <c r="H66" s="927"/>
      <c r="I66" s="926"/>
      <c r="J66" s="926"/>
      <c r="K66" s="926"/>
      <c r="L66" s="926"/>
      <c r="M66" s="926"/>
      <c r="N66" s="926"/>
      <c r="O66" s="926"/>
      <c r="P66" s="926"/>
      <c r="Q66" s="926"/>
      <c r="R66" s="926"/>
    </row>
    <row r="67" spans="1:18">
      <c r="A67" s="923"/>
      <c r="B67" s="924"/>
      <c r="C67" s="923"/>
      <c r="D67" s="923"/>
      <c r="E67" s="925"/>
      <c r="F67" s="926"/>
      <c r="G67" s="926"/>
      <c r="H67" s="927"/>
      <c r="I67" s="926"/>
      <c r="J67" s="926"/>
      <c r="K67" s="926"/>
      <c r="L67" s="926"/>
      <c r="M67" s="926"/>
      <c r="N67" s="926"/>
      <c r="O67" s="926"/>
      <c r="P67" s="926"/>
      <c r="Q67" s="926"/>
      <c r="R67" s="926"/>
    </row>
    <row r="68" spans="1:18">
      <c r="A68" s="923"/>
      <c r="B68" s="924"/>
      <c r="C68" s="923"/>
      <c r="D68" s="923"/>
      <c r="E68" s="925"/>
      <c r="F68" s="926"/>
      <c r="G68" s="926"/>
      <c r="H68" s="927"/>
      <c r="I68" s="926"/>
      <c r="J68" s="926"/>
      <c r="K68" s="926"/>
      <c r="L68" s="926"/>
      <c r="M68" s="926"/>
      <c r="N68" s="926"/>
      <c r="O68" s="926"/>
      <c r="P68" s="926"/>
      <c r="Q68" s="926"/>
      <c r="R68" s="926"/>
    </row>
    <row r="69" spans="1:18">
      <c r="A69" s="923"/>
      <c r="B69" s="924"/>
      <c r="C69" s="923"/>
      <c r="D69" s="923"/>
      <c r="E69" s="925"/>
      <c r="F69" s="926"/>
      <c r="G69" s="926"/>
      <c r="H69" s="927"/>
      <c r="I69" s="926"/>
      <c r="J69" s="926"/>
      <c r="K69" s="926"/>
      <c r="L69" s="926"/>
      <c r="M69" s="926"/>
      <c r="N69" s="926"/>
      <c r="O69" s="926"/>
      <c r="P69" s="926"/>
      <c r="Q69" s="926"/>
      <c r="R69" s="926"/>
    </row>
    <row r="70" spans="1:18">
      <c r="A70" s="923"/>
      <c r="B70" s="924"/>
      <c r="C70" s="923"/>
      <c r="D70" s="923"/>
      <c r="E70" s="925"/>
      <c r="F70" s="926"/>
      <c r="G70" s="926"/>
      <c r="H70" s="927"/>
      <c r="I70" s="926"/>
      <c r="J70" s="926"/>
      <c r="K70" s="926"/>
      <c r="L70" s="926"/>
      <c r="M70" s="926"/>
      <c r="N70" s="926"/>
      <c r="O70" s="926"/>
      <c r="P70" s="926"/>
      <c r="Q70" s="926"/>
      <c r="R70" s="926"/>
    </row>
    <row r="71" spans="1:18">
      <c r="A71" s="923"/>
      <c r="B71" s="924"/>
      <c r="C71" s="923"/>
      <c r="D71" s="923"/>
      <c r="E71" s="925"/>
      <c r="F71" s="926"/>
      <c r="G71" s="926"/>
      <c r="H71" s="927"/>
      <c r="I71" s="926"/>
      <c r="J71" s="926"/>
      <c r="K71" s="926"/>
      <c r="L71" s="926"/>
      <c r="M71" s="926"/>
      <c r="N71" s="926"/>
      <c r="O71" s="926"/>
      <c r="P71" s="926"/>
      <c r="Q71" s="926"/>
      <c r="R71" s="926"/>
    </row>
    <row r="72" spans="1:18">
      <c r="A72" s="923"/>
      <c r="B72" s="924"/>
      <c r="C72" s="923"/>
      <c r="D72" s="923"/>
      <c r="E72" s="925"/>
      <c r="F72" s="926"/>
      <c r="G72" s="926"/>
      <c r="H72" s="927"/>
      <c r="I72" s="926"/>
      <c r="J72" s="926"/>
      <c r="K72" s="926"/>
      <c r="L72" s="926"/>
      <c r="M72" s="926"/>
      <c r="N72" s="926"/>
      <c r="O72" s="926"/>
      <c r="P72" s="926"/>
      <c r="Q72" s="926"/>
      <c r="R72" s="926"/>
    </row>
    <row r="73" spans="1:18">
      <c r="A73" s="923"/>
      <c r="B73" s="924"/>
      <c r="C73" s="923"/>
      <c r="D73" s="923"/>
      <c r="E73" s="925"/>
      <c r="F73" s="926"/>
      <c r="G73" s="926"/>
      <c r="H73" s="927"/>
      <c r="I73" s="926"/>
      <c r="J73" s="926"/>
      <c r="K73" s="926"/>
      <c r="L73" s="926"/>
      <c r="M73" s="926"/>
      <c r="N73" s="926"/>
      <c r="O73" s="926"/>
      <c r="P73" s="926"/>
      <c r="Q73" s="926"/>
      <c r="R73" s="926"/>
    </row>
    <row r="74" spans="1:18">
      <c r="A74" s="923"/>
      <c r="B74" s="924"/>
      <c r="C74" s="923"/>
      <c r="D74" s="923"/>
      <c r="E74" s="925"/>
      <c r="F74" s="926"/>
      <c r="G74" s="926"/>
      <c r="H74" s="927"/>
      <c r="I74" s="926"/>
      <c r="J74" s="926"/>
      <c r="K74" s="926"/>
      <c r="L74" s="926"/>
      <c r="M74" s="926"/>
      <c r="N74" s="926"/>
      <c r="O74" s="926"/>
      <c r="P74" s="926"/>
      <c r="Q74" s="926"/>
      <c r="R74" s="926"/>
    </row>
    <row r="75" spans="1:18">
      <c r="A75" s="923"/>
      <c r="B75" s="924"/>
      <c r="C75" s="923"/>
      <c r="D75" s="923"/>
      <c r="E75" s="925"/>
      <c r="F75" s="926"/>
      <c r="G75" s="926"/>
      <c r="H75" s="927"/>
      <c r="I75" s="926"/>
      <c r="J75" s="926"/>
      <c r="K75" s="926"/>
      <c r="L75" s="926"/>
      <c r="M75" s="926"/>
      <c r="N75" s="926"/>
      <c r="O75" s="926"/>
      <c r="P75" s="926"/>
      <c r="Q75" s="926"/>
      <c r="R75" s="926"/>
    </row>
    <row r="76" spans="1:18">
      <c r="A76" s="923"/>
      <c r="B76" s="924"/>
      <c r="C76" s="923"/>
      <c r="D76" s="923"/>
      <c r="E76" s="925"/>
      <c r="F76" s="926"/>
      <c r="G76" s="926"/>
      <c r="H76" s="927"/>
      <c r="I76" s="926"/>
      <c r="J76" s="926"/>
      <c r="K76" s="926"/>
      <c r="L76" s="926"/>
      <c r="M76" s="926"/>
      <c r="N76" s="926"/>
      <c r="O76" s="926"/>
      <c r="P76" s="926"/>
      <c r="Q76" s="926"/>
      <c r="R76" s="926"/>
    </row>
    <row r="77" spans="1:18">
      <c r="A77" s="923"/>
      <c r="B77" s="924"/>
      <c r="C77" s="923"/>
      <c r="D77" s="923"/>
      <c r="E77" s="925"/>
      <c r="F77" s="926"/>
      <c r="G77" s="926"/>
      <c r="H77" s="927"/>
      <c r="I77" s="926"/>
      <c r="J77" s="926"/>
      <c r="K77" s="926"/>
      <c r="L77" s="926"/>
      <c r="M77" s="926"/>
      <c r="N77" s="926"/>
      <c r="O77" s="926"/>
      <c r="P77" s="926"/>
      <c r="Q77" s="926"/>
      <c r="R77" s="926"/>
    </row>
    <row r="78" spans="1:18">
      <c r="A78" s="923"/>
      <c r="B78" s="924"/>
      <c r="C78" s="923"/>
      <c r="D78" s="923"/>
      <c r="E78" s="925"/>
      <c r="F78" s="926"/>
      <c r="G78" s="926"/>
      <c r="H78" s="927"/>
      <c r="I78" s="926"/>
      <c r="J78" s="926"/>
      <c r="K78" s="926"/>
      <c r="L78" s="926"/>
      <c r="M78" s="926"/>
      <c r="N78" s="926"/>
      <c r="O78" s="926"/>
      <c r="P78" s="926"/>
      <c r="Q78" s="926"/>
      <c r="R78" s="926"/>
    </row>
    <row r="79" spans="1:18">
      <c r="A79" s="923"/>
      <c r="B79" s="924"/>
      <c r="C79" s="923"/>
      <c r="D79" s="923"/>
      <c r="E79" s="925"/>
      <c r="F79" s="926"/>
      <c r="G79" s="926"/>
      <c r="H79" s="927"/>
      <c r="I79" s="926"/>
      <c r="J79" s="926"/>
      <c r="K79" s="926"/>
      <c r="L79" s="926"/>
      <c r="M79" s="926"/>
      <c r="N79" s="926"/>
      <c r="O79" s="926"/>
      <c r="P79" s="926"/>
      <c r="Q79" s="926"/>
      <c r="R79" s="926"/>
    </row>
    <row r="80" spans="1:18">
      <c r="A80" s="1582" t="s">
        <v>801</v>
      </c>
      <c r="B80" s="1583"/>
      <c r="C80" s="928">
        <f>SUM(C8:C79)</f>
        <v>246885.58705714281</v>
      </c>
      <c r="D80" s="929">
        <f>SUM(D8:D79)</f>
        <v>0</v>
      </c>
      <c r="E80" s="930">
        <f>SUM(E8:E79)</f>
        <v>124139.76217877639</v>
      </c>
      <c r="F80" s="931">
        <f>SUM(F8:F79)</f>
        <v>0</v>
      </c>
      <c r="G80" s="932"/>
      <c r="H80" s="933">
        <f>SUM(H12:H79)</f>
        <v>0</v>
      </c>
      <c r="I80" s="933">
        <f t="shared" ref="I80:R80" si="0">SUM(I12:I79)</f>
        <v>0</v>
      </c>
      <c r="J80" s="933">
        <f t="shared" si="0"/>
        <v>33180.446749602925</v>
      </c>
      <c r="K80" s="933">
        <f t="shared" si="0"/>
        <v>14813.53476</v>
      </c>
      <c r="L80" s="933">
        <f t="shared" si="0"/>
        <v>7770.8913600000005</v>
      </c>
      <c r="M80" s="934">
        <f t="shared" si="0"/>
        <v>34039.99106</v>
      </c>
      <c r="N80" s="934">
        <f t="shared" si="0"/>
        <v>9352.863077</v>
      </c>
      <c r="O80" s="934">
        <f t="shared" si="0"/>
        <v>6603.6969175000004</v>
      </c>
      <c r="P80" s="934">
        <f t="shared" si="0"/>
        <v>3814.7414569982643</v>
      </c>
      <c r="Q80" s="934">
        <f t="shared" si="0"/>
        <v>1035.4256379692874</v>
      </c>
      <c r="R80" s="935">
        <f t="shared" si="0"/>
        <v>8079.9440000000004</v>
      </c>
    </row>
    <row r="81" spans="1:21">
      <c r="A81" s="1582" t="s">
        <v>802</v>
      </c>
      <c r="B81" s="1583"/>
      <c r="C81" s="936">
        <f t="shared" ref="C81:R81" si="1">C80*$B$83</f>
        <v>215427.42555432167</v>
      </c>
      <c r="D81" s="936">
        <f t="shared" si="1"/>
        <v>0</v>
      </c>
      <c r="E81" s="936">
        <f t="shared" si="1"/>
        <v>108321.87368195671</v>
      </c>
      <c r="F81" s="936">
        <f t="shared" si="1"/>
        <v>0</v>
      </c>
      <c r="G81" s="937">
        <f t="shared" si="1"/>
        <v>0</v>
      </c>
      <c r="H81" s="937">
        <f t="shared" si="1"/>
        <v>0</v>
      </c>
      <c r="I81" s="814">
        <f t="shared" si="1"/>
        <v>0</v>
      </c>
      <c r="J81" s="814">
        <f t="shared" si="1"/>
        <v>28952.59422476852</v>
      </c>
      <c r="K81" s="814">
        <f t="shared" si="1"/>
        <v>12925.9941608808</v>
      </c>
      <c r="L81" s="814">
        <f t="shared" si="1"/>
        <v>6780.7243829088011</v>
      </c>
      <c r="M81" s="814">
        <f t="shared" si="1"/>
        <v>29702.6153991348</v>
      </c>
      <c r="N81" s="814">
        <f t="shared" si="1"/>
        <v>8161.1212637286599</v>
      </c>
      <c r="O81" s="1027">
        <f t="shared" si="1"/>
        <v>5762.2538562721502</v>
      </c>
      <c r="P81" s="814">
        <f t="shared" si="1"/>
        <v>3328.6671005475455</v>
      </c>
      <c r="Q81" s="814">
        <f t="shared" si="1"/>
        <v>903.49170317924086</v>
      </c>
      <c r="R81" s="938">
        <f t="shared" si="1"/>
        <v>7050.3975355200009</v>
      </c>
    </row>
    <row r="82" spans="1:21" s="939" customFormat="1"/>
    <row r="83" spans="1:21" s="939" customFormat="1" ht="24">
      <c r="A83" s="940" t="s">
        <v>803</v>
      </c>
      <c r="B83" s="940">
        <v>0.87258000000000002</v>
      </c>
    </row>
    <row r="84" spans="1:21" s="939" customFormat="1"/>
    <row r="86" spans="1:21">
      <c r="A86" s="515" t="s">
        <v>804</v>
      </c>
    </row>
    <row r="87" spans="1:21">
      <c r="A87" s="1569" t="s">
        <v>728</v>
      </c>
      <c r="B87" s="1571" t="s">
        <v>729</v>
      </c>
      <c r="C87" s="1569" t="s">
        <v>805</v>
      </c>
      <c r="D87" s="1586"/>
      <c r="E87" s="1586" t="s">
        <v>806</v>
      </c>
      <c r="F87" s="1588"/>
      <c r="G87" s="1579" t="s">
        <v>807</v>
      </c>
      <c r="H87" s="1589"/>
      <c r="I87" s="1590"/>
      <c r="J87" s="1590"/>
      <c r="K87" s="1590"/>
      <c r="L87" s="1590"/>
      <c r="M87" s="1590"/>
      <c r="N87" s="1590"/>
      <c r="O87" s="1590"/>
      <c r="P87" s="1590"/>
      <c r="Q87" s="1590"/>
      <c r="R87" s="1590"/>
    </row>
    <row r="88" spans="1:21">
      <c r="A88" s="1584"/>
      <c r="B88" s="1585"/>
      <c r="C88" s="1584"/>
      <c r="D88" s="1587"/>
      <c r="E88" s="1587"/>
      <c r="F88" s="1585"/>
      <c r="G88" s="824">
        <v>2014</v>
      </c>
      <c r="H88" s="825">
        <v>2015</v>
      </c>
      <c r="I88" s="825">
        <v>2016</v>
      </c>
      <c r="J88" s="825">
        <v>2017</v>
      </c>
      <c r="K88" s="825">
        <v>2018</v>
      </c>
      <c r="L88" s="546">
        <v>2019</v>
      </c>
      <c r="M88" s="546">
        <v>2020</v>
      </c>
      <c r="N88" s="546">
        <v>2021</v>
      </c>
      <c r="O88" s="546">
        <v>2022</v>
      </c>
      <c r="P88" s="546">
        <v>2023</v>
      </c>
      <c r="Q88" s="546">
        <v>2024</v>
      </c>
      <c r="R88" s="826" t="s">
        <v>460</v>
      </c>
    </row>
    <row r="89" spans="1:21" s="820" customFormat="1" ht="36">
      <c r="A89" s="912" t="s">
        <v>736</v>
      </c>
      <c r="B89" s="913"/>
      <c r="C89" s="1580"/>
      <c r="D89" s="1581"/>
      <c r="E89" s="1591"/>
      <c r="F89" s="1592"/>
      <c r="G89" s="917"/>
      <c r="H89" s="914"/>
      <c r="I89" s="918"/>
      <c r="J89" s="918"/>
      <c r="K89" s="918"/>
      <c r="L89" s="918"/>
      <c r="M89" s="941"/>
      <c r="N89" s="941"/>
      <c r="O89" s="941"/>
      <c r="P89" s="941"/>
      <c r="Q89" s="941"/>
      <c r="R89" s="915"/>
    </row>
    <row r="90" spans="1:21" ht="24.6">
      <c r="A90" s="846" t="s">
        <v>737</v>
      </c>
      <c r="B90" s="847" t="s">
        <v>808</v>
      </c>
      <c r="C90" s="1580">
        <v>3490.9604608951004</v>
      </c>
      <c r="D90" s="1581"/>
      <c r="E90" s="1580">
        <v>-3490.9604608951004</v>
      </c>
      <c r="F90" s="1581"/>
      <c r="G90" s="830">
        <v>0</v>
      </c>
      <c r="H90" s="827">
        <v>0</v>
      </c>
      <c r="I90" s="831">
        <v>0</v>
      </c>
      <c r="J90" s="831">
        <v>0</v>
      </c>
      <c r="K90" s="831">
        <v>0</v>
      </c>
      <c r="L90" s="831">
        <v>0</v>
      </c>
      <c r="M90" s="831">
        <f>-6843158.69/1000-195179.95/1000+166.7-1901.74/1000</f>
        <v>-6873.5403800000004</v>
      </c>
      <c r="N90" s="832">
        <f>-4530.676-M90-'[9]3.12B INEA'!$U$132/1000</f>
        <v>2147.6844299999998</v>
      </c>
      <c r="O90" s="832">
        <v>1234.8954891049007</v>
      </c>
      <c r="P90" s="832">
        <v>0</v>
      </c>
      <c r="Q90" s="832">
        <v>0</v>
      </c>
      <c r="R90" s="848">
        <v>0</v>
      </c>
      <c r="S90"/>
      <c r="T90" s="922" t="s">
        <v>809</v>
      </c>
      <c r="U90"/>
    </row>
    <row r="91" spans="1:21" ht="14.4">
      <c r="A91" s="846"/>
      <c r="B91" s="847"/>
      <c r="C91" s="1580"/>
      <c r="D91" s="1581"/>
      <c r="E91" s="1580"/>
      <c r="F91" s="1581"/>
      <c r="G91" s="830"/>
      <c r="H91" s="827"/>
      <c r="I91" s="831"/>
      <c r="J91" s="831"/>
      <c r="K91" s="831"/>
      <c r="L91" s="831"/>
      <c r="M91" s="832"/>
      <c r="N91" s="832"/>
      <c r="O91" s="832"/>
      <c r="P91" s="832"/>
      <c r="Q91" s="832"/>
      <c r="R91" s="848"/>
      <c r="S91"/>
      <c r="T91"/>
      <c r="U91"/>
    </row>
    <row r="92" spans="1:21" ht="14.4">
      <c r="A92" s="846"/>
      <c r="B92" s="847"/>
      <c r="C92" s="1580"/>
      <c r="D92" s="1581"/>
      <c r="E92" s="1580"/>
      <c r="F92" s="1581"/>
      <c r="G92" s="830"/>
      <c r="H92" s="827"/>
      <c r="I92" s="831"/>
      <c r="J92" s="831"/>
      <c r="K92" s="831"/>
      <c r="L92" s="831"/>
      <c r="M92" s="832"/>
      <c r="N92" s="832"/>
      <c r="O92" s="832"/>
      <c r="P92" s="832"/>
      <c r="Q92" s="832"/>
      <c r="R92" s="848"/>
      <c r="S92"/>
      <c r="T92" s="942"/>
      <c r="U92"/>
    </row>
    <row r="93" spans="1:21" ht="14.4">
      <c r="A93" s="849" t="s">
        <v>743</v>
      </c>
      <c r="B93" s="847"/>
      <c r="C93" s="1580"/>
      <c r="D93" s="1581"/>
      <c r="E93" s="1580"/>
      <c r="F93" s="1581"/>
      <c r="G93" s="830"/>
      <c r="H93" s="827"/>
      <c r="I93" s="831"/>
      <c r="J93" s="831"/>
      <c r="K93" s="831"/>
      <c r="L93" s="831"/>
      <c r="M93" s="832"/>
      <c r="N93" s="832"/>
      <c r="O93" s="832"/>
      <c r="P93" s="832"/>
      <c r="Q93" s="832"/>
      <c r="R93" s="848"/>
      <c r="S93" s="943"/>
      <c r="T93" s="943"/>
      <c r="U93"/>
    </row>
    <row r="94" spans="1:21" ht="24">
      <c r="A94" s="846" t="s">
        <v>745</v>
      </c>
      <c r="B94" s="847" t="s">
        <v>746</v>
      </c>
      <c r="C94" s="1580">
        <v>0</v>
      </c>
      <c r="D94" s="1581"/>
      <c r="E94" s="1580">
        <v>31885.732019773801</v>
      </c>
      <c r="F94" s="1581"/>
      <c r="G94" s="830">
        <v>0</v>
      </c>
      <c r="H94" s="827">
        <v>0</v>
      </c>
      <c r="I94" s="831">
        <v>0</v>
      </c>
      <c r="J94" s="831">
        <v>0</v>
      </c>
      <c r="K94" s="831">
        <v>0</v>
      </c>
      <c r="L94" s="832">
        <f>('[9]3.12B INEA'!$U$47+'[9]3.12B INEA'!$U$50+'[9]3.12B INEA'!$U$88+'[9]3.12B INEA'!$U$93)/1000</f>
        <v>22385.611810000002</v>
      </c>
      <c r="M94" s="832">
        <v>0</v>
      </c>
      <c r="N94" s="832">
        <f>[10]Summary!$E$33/1000</f>
        <v>8044.7653099999998</v>
      </c>
      <c r="O94" s="832">
        <v>0</v>
      </c>
      <c r="P94" s="832">
        <v>0</v>
      </c>
      <c r="Q94" s="944">
        <v>1455.3548997738001</v>
      </c>
      <c r="R94" s="848">
        <v>0</v>
      </c>
      <c r="S94" s="945"/>
      <c r="T94" s="946"/>
      <c r="U94"/>
    </row>
    <row r="95" spans="1:21" ht="24">
      <c r="A95" s="846" t="s">
        <v>748</v>
      </c>
      <c r="B95" s="847" t="s">
        <v>749</v>
      </c>
      <c r="C95" s="1580">
        <v>0</v>
      </c>
      <c r="D95" s="1581"/>
      <c r="E95" s="1580">
        <v>1948.4486148840001</v>
      </c>
      <c r="F95" s="1581"/>
      <c r="G95" s="830">
        <v>0</v>
      </c>
      <c r="H95" s="827">
        <v>0</v>
      </c>
      <c r="I95" s="831">
        <v>0</v>
      </c>
      <c r="J95" s="831">
        <v>0</v>
      </c>
      <c r="K95" s="831">
        <v>0</v>
      </c>
      <c r="L95" s="832">
        <f>'[9]3.12B INEA'!$U$58/1000</f>
        <v>484.09271000000001</v>
      </c>
      <c r="M95" s="832">
        <v>0</v>
      </c>
      <c r="N95" s="832">
        <f>'[9]3.12B INEA'!$U$165/1000</f>
        <v>863.25788</v>
      </c>
      <c r="O95" s="832">
        <v>0</v>
      </c>
      <c r="P95" s="832">
        <v>601.09802488399998</v>
      </c>
      <c r="Q95" s="944">
        <v>0</v>
      </c>
      <c r="R95" s="848">
        <v>0</v>
      </c>
      <c r="S95" s="945"/>
      <c r="T95" s="946"/>
      <c r="U95"/>
    </row>
    <row r="96" spans="1:21" ht="24">
      <c r="A96" s="846" t="s">
        <v>750</v>
      </c>
      <c r="B96" s="847" t="s">
        <v>751</v>
      </c>
      <c r="C96" s="1580">
        <v>0</v>
      </c>
      <c r="D96" s="1581"/>
      <c r="E96" s="1580">
        <v>36476.700215520003</v>
      </c>
      <c r="F96" s="1581"/>
      <c r="G96" s="830">
        <v>0</v>
      </c>
      <c r="H96" s="827">
        <v>0</v>
      </c>
      <c r="I96" s="831">
        <v>0</v>
      </c>
      <c r="J96" s="831">
        <v>0</v>
      </c>
      <c r="K96" s="831">
        <v>0</v>
      </c>
      <c r="L96" s="832">
        <f>'[9]3.12B INEA'!$U$62/1000</f>
        <v>8932.6882399999995</v>
      </c>
      <c r="M96" s="832">
        <v>0</v>
      </c>
      <c r="N96" s="832">
        <f>'[9]3.12B INEA'!$U$166/1000</f>
        <v>20493.614440000001</v>
      </c>
      <c r="O96" s="832">
        <v>0</v>
      </c>
      <c r="P96" s="832">
        <v>0</v>
      </c>
      <c r="Q96" s="944">
        <v>0</v>
      </c>
      <c r="R96" s="848">
        <v>7050.3975355200009</v>
      </c>
      <c r="S96" s="945"/>
      <c r="T96" s="946"/>
      <c r="U96"/>
    </row>
    <row r="97" spans="1:21" ht="24">
      <c r="A97" s="846" t="s">
        <v>752</v>
      </c>
      <c r="B97" s="847" t="s">
        <v>753</v>
      </c>
      <c r="C97" s="1580">
        <v>0</v>
      </c>
      <c r="D97" s="1581"/>
      <c r="E97" s="1580">
        <v>6553.1558263366187</v>
      </c>
      <c r="F97" s="1581"/>
      <c r="G97" s="830">
        <v>0</v>
      </c>
      <c r="H97" s="827">
        <v>0</v>
      </c>
      <c r="I97" s="831">
        <v>0</v>
      </c>
      <c r="J97" s="831">
        <v>0</v>
      </c>
      <c r="K97" s="831">
        <v>0</v>
      </c>
      <c r="L97" s="832">
        <f>'[9]3.12B INEA'!$U$67/1000</f>
        <v>2866.5456099999997</v>
      </c>
      <c r="M97" s="832">
        <f>'[9]3.12B INEA'!$U$122/1000</f>
        <v>821.71101999999996</v>
      </c>
      <c r="N97" s="832">
        <v>0</v>
      </c>
      <c r="O97" s="832">
        <v>2239.2624100000003</v>
      </c>
      <c r="P97" s="832">
        <v>0</v>
      </c>
      <c r="Q97" s="944">
        <v>625.63678633661891</v>
      </c>
      <c r="R97" s="848">
        <v>0</v>
      </c>
      <c r="S97" s="945"/>
      <c r="T97" s="946"/>
      <c r="U97"/>
    </row>
    <row r="98" spans="1:21" ht="24">
      <c r="A98" s="846" t="s">
        <v>754</v>
      </c>
      <c r="B98" s="847" t="s">
        <v>755</v>
      </c>
      <c r="C98" s="1580">
        <v>0</v>
      </c>
      <c r="D98" s="1581"/>
      <c r="E98" s="1580">
        <v>9575.2668999999987</v>
      </c>
      <c r="F98" s="1581"/>
      <c r="G98" s="830">
        <v>0</v>
      </c>
      <c r="H98" s="827">
        <v>0</v>
      </c>
      <c r="I98" s="831">
        <v>0</v>
      </c>
      <c r="J98" s="831">
        <v>0</v>
      </c>
      <c r="K98" s="831">
        <v>0</v>
      </c>
      <c r="L98" s="832">
        <f>'[9]3.12B INEA'!$U$68/1000</f>
        <v>3427.48191</v>
      </c>
      <c r="M98" s="832">
        <f>SUM('[9]3.12B INEA'!$U$117,'[9]3.12B INEA'!$U$123)/1000</f>
        <v>2806.1904199999999</v>
      </c>
      <c r="N98" s="832">
        <v>0</v>
      </c>
      <c r="O98" s="832">
        <v>3341.5945699999997</v>
      </c>
      <c r="P98" s="832">
        <v>0</v>
      </c>
      <c r="Q98" s="944">
        <v>0</v>
      </c>
      <c r="R98" s="848">
        <v>0</v>
      </c>
      <c r="S98" s="945"/>
      <c r="T98" s="946"/>
      <c r="U98"/>
    </row>
    <row r="99" spans="1:21" ht="24">
      <c r="A99" s="846" t="s">
        <v>756</v>
      </c>
      <c r="B99" s="847" t="s">
        <v>757</v>
      </c>
      <c r="C99" s="1580">
        <v>0</v>
      </c>
      <c r="D99" s="1581"/>
      <c r="E99" s="1580">
        <v>4795.5152015836229</v>
      </c>
      <c r="F99" s="1581"/>
      <c r="G99" s="830">
        <v>0</v>
      </c>
      <c r="H99" s="827">
        <v>0</v>
      </c>
      <c r="I99" s="831">
        <v>0</v>
      </c>
      <c r="J99" s="831">
        <v>0</v>
      </c>
      <c r="K99" s="831">
        <v>0</v>
      </c>
      <c r="L99" s="832">
        <f>'[9]3.12B INEA'!$U$69/1000</f>
        <v>994.87555000000009</v>
      </c>
      <c r="M99" s="832">
        <f>SUM('[9]3.12B INEA'!$U$118,'[9]3.12B INEA'!$U$124)/1000</f>
        <v>2328.5236400000003</v>
      </c>
      <c r="N99" s="832">
        <v>0</v>
      </c>
      <c r="O99" s="832">
        <v>658.79105000000004</v>
      </c>
      <c r="P99" s="832">
        <v>0</v>
      </c>
      <c r="Q99" s="944">
        <v>813.32496158362233</v>
      </c>
      <c r="R99" s="848">
        <v>0</v>
      </c>
      <c r="S99" s="945"/>
      <c r="T99" s="946"/>
      <c r="U99"/>
    </row>
    <row r="100" spans="1:21" ht="24">
      <c r="A100" s="846" t="s">
        <v>758</v>
      </c>
      <c r="B100" s="847" t="s">
        <v>759</v>
      </c>
      <c r="C100" s="1580">
        <v>0</v>
      </c>
      <c r="D100" s="1581"/>
      <c r="E100" s="1580">
        <v>1477.9623200000001</v>
      </c>
      <c r="F100" s="1581"/>
      <c r="G100" s="830">
        <v>0</v>
      </c>
      <c r="H100" s="827">
        <v>0</v>
      </c>
      <c r="I100" s="831">
        <v>0</v>
      </c>
      <c r="J100" s="831">
        <v>0</v>
      </c>
      <c r="K100" s="831">
        <v>0</v>
      </c>
      <c r="L100" s="832">
        <f>'[9]3.12B INEA'!$U$70/1000</f>
        <v>591.22870999999998</v>
      </c>
      <c r="M100" s="832">
        <f>'[9]3.12B INEA'!$U$125/1000</f>
        <v>886.73361</v>
      </c>
      <c r="N100" s="832">
        <v>0</v>
      </c>
      <c r="O100" s="832">
        <v>0</v>
      </c>
      <c r="P100" s="832">
        <v>0</v>
      </c>
      <c r="Q100" s="944">
        <v>0</v>
      </c>
      <c r="R100" s="848">
        <v>0</v>
      </c>
      <c r="S100" s="945"/>
      <c r="T100" s="946"/>
      <c r="U100"/>
    </row>
    <row r="101" spans="1:21" ht="14.4">
      <c r="A101" s="846" t="s">
        <v>810</v>
      </c>
      <c r="B101" s="847"/>
      <c r="C101" s="1580">
        <v>200.24621999999999</v>
      </c>
      <c r="D101" s="1581"/>
      <c r="E101" s="1580">
        <v>1482.6027302308714</v>
      </c>
      <c r="F101" s="1581"/>
      <c r="G101" s="830">
        <v>0</v>
      </c>
      <c r="H101" s="827">
        <v>0</v>
      </c>
      <c r="I101" s="831">
        <v>0</v>
      </c>
      <c r="J101" s="831">
        <v>0</v>
      </c>
      <c r="K101" s="831">
        <v>0</v>
      </c>
      <c r="L101" s="832">
        <f>SUM('[9]3.12B INEA'!$U$99,'[9]3.12B INEA'!$U$108)/1000+493870.41/1000-0.2</f>
        <v>638.44830999999999</v>
      </c>
      <c r="M101" s="832">
        <f>1901.74/1000+'[9]3.12B INEA'!$U$132/1000</f>
        <v>197.08169000000001</v>
      </c>
      <c r="N101" s="832">
        <f>'[9]3.12B INEA'!$U$172/1000+485.1</f>
        <v>860.64572999999996</v>
      </c>
      <c r="O101" s="832">
        <v>63.913550000000001</v>
      </c>
      <c r="P101" s="832">
        <v>102.75591452124185</v>
      </c>
      <c r="Q101" s="944">
        <v>67.297308182460455</v>
      </c>
      <c r="R101" s="848">
        <v>11.809987094314897</v>
      </c>
      <c r="S101"/>
      <c r="T101" s="946"/>
      <c r="U101"/>
    </row>
    <row r="102" spans="1:21" ht="14.4">
      <c r="A102" s="846"/>
      <c r="B102" s="847"/>
      <c r="C102" s="910"/>
      <c r="D102" s="911"/>
      <c r="E102" s="910"/>
      <c r="F102" s="911"/>
      <c r="G102" s="830"/>
      <c r="H102" s="827"/>
      <c r="I102" s="831"/>
      <c r="J102" s="831"/>
      <c r="K102" s="831"/>
      <c r="L102" s="832"/>
      <c r="M102" s="832"/>
      <c r="N102" s="832">
        <v>-22010</v>
      </c>
      <c r="O102" s="832">
        <v>21550.6103</v>
      </c>
      <c r="P102" s="832"/>
      <c r="Q102" s="944"/>
      <c r="R102" s="848"/>
      <c r="S102"/>
      <c r="T102" s="1023" t="s">
        <v>811</v>
      </c>
      <c r="U102"/>
    </row>
    <row r="103" spans="1:21" ht="14.4">
      <c r="A103" s="846"/>
      <c r="B103" s="847"/>
      <c r="C103" s="910"/>
      <c r="D103" s="911"/>
      <c r="E103" s="910"/>
      <c r="F103" s="911"/>
      <c r="G103" s="830"/>
      <c r="H103" s="827"/>
      <c r="I103" s="831"/>
      <c r="J103" s="831"/>
      <c r="K103" s="831"/>
      <c r="L103" s="947">
        <f>SUM(L90:L101)</f>
        <v>40320.972850000006</v>
      </c>
      <c r="M103" s="947">
        <f t="shared" ref="M103:R103" si="2">SUM(M90:M101)</f>
        <v>166.69999999999962</v>
      </c>
      <c r="N103" s="1026">
        <f>SUM(N90:N102)</f>
        <v>10399.967789999999</v>
      </c>
      <c r="O103" s="947">
        <f>SUM(O90:O102)</f>
        <v>29089.067369104901</v>
      </c>
      <c r="P103" s="947">
        <f t="shared" si="2"/>
        <v>703.85393940524182</v>
      </c>
      <c r="Q103" s="948">
        <f t="shared" si="2"/>
        <v>2961.6139558765017</v>
      </c>
      <c r="R103" s="949">
        <f t="shared" si="2"/>
        <v>7062.2075226143161</v>
      </c>
      <c r="S103" s="950"/>
      <c r="U103"/>
    </row>
    <row r="104" spans="1:21" ht="14.4">
      <c r="A104" s="846"/>
      <c r="B104" s="847"/>
      <c r="C104" s="910"/>
      <c r="D104" s="911"/>
      <c r="E104" s="910"/>
      <c r="F104" s="911"/>
      <c r="G104" s="830"/>
      <c r="H104" s="827"/>
      <c r="I104" s="831"/>
      <c r="J104" s="831"/>
      <c r="K104" s="831"/>
      <c r="L104" s="831"/>
      <c r="M104" s="832"/>
      <c r="N104" s="832"/>
      <c r="O104" s="832"/>
      <c r="P104" s="832"/>
      <c r="Q104" s="832"/>
      <c r="R104" s="848"/>
      <c r="S104"/>
      <c r="T104"/>
      <c r="U104"/>
    </row>
    <row r="105" spans="1:21" ht="14.4">
      <c r="A105" s="846"/>
      <c r="B105" s="847"/>
      <c r="C105" s="827"/>
      <c r="D105" s="828"/>
      <c r="E105" s="827"/>
      <c r="F105" s="828"/>
      <c r="G105" s="830"/>
      <c r="H105" s="827"/>
      <c r="I105" s="831"/>
      <c r="J105" s="831"/>
      <c r="K105" s="831"/>
      <c r="L105" s="831"/>
      <c r="M105" s="832"/>
      <c r="N105" s="832"/>
      <c r="O105" s="832"/>
      <c r="P105" s="832"/>
      <c r="Q105" s="832"/>
      <c r="R105" s="848"/>
      <c r="S105"/>
      <c r="T105"/>
      <c r="U105"/>
    </row>
    <row r="106" spans="1:21" ht="14.4">
      <c r="A106" s="849" t="s">
        <v>760</v>
      </c>
      <c r="B106" s="847"/>
      <c r="C106" s="827"/>
      <c r="D106" s="828"/>
      <c r="E106" s="827"/>
      <c r="F106" s="828"/>
      <c r="G106" s="830"/>
      <c r="H106" s="827"/>
      <c r="I106" s="831"/>
      <c r="J106" s="831"/>
      <c r="K106" s="831"/>
      <c r="L106" s="831"/>
      <c r="M106" s="831"/>
      <c r="N106" s="831"/>
      <c r="O106" s="832"/>
      <c r="P106" s="832"/>
      <c r="Q106" s="832"/>
      <c r="R106" s="848"/>
      <c r="S106"/>
      <c r="T106"/>
      <c r="U106"/>
    </row>
    <row r="107" spans="1:21" ht="14.4">
      <c r="A107" s="846"/>
      <c r="B107" s="847"/>
      <c r="C107" s="1580">
        <v>0</v>
      </c>
      <c r="D107" s="1581"/>
      <c r="E107" s="1580">
        <v>34.033940000000001</v>
      </c>
      <c r="F107" s="1581"/>
      <c r="G107" s="830">
        <v>0</v>
      </c>
      <c r="H107" s="827">
        <v>0</v>
      </c>
      <c r="I107" s="831">
        <v>0</v>
      </c>
      <c r="J107" s="831">
        <v>0</v>
      </c>
      <c r="K107" s="831">
        <v>0</v>
      </c>
      <c r="L107" s="831">
        <v>0</v>
      </c>
      <c r="M107" s="831">
        <v>0</v>
      </c>
      <c r="N107" s="831">
        <f>M26*$B$83</f>
        <v>0</v>
      </c>
      <c r="O107" s="832">
        <f t="shared" ref="O107:R107" si="3">N26*$B$83</f>
        <v>0</v>
      </c>
      <c r="P107" s="832">
        <v>34.033940000000001</v>
      </c>
      <c r="Q107" s="832">
        <f t="shared" si="3"/>
        <v>0</v>
      </c>
      <c r="R107" s="848">
        <f t="shared" si="3"/>
        <v>0</v>
      </c>
      <c r="S107"/>
      <c r="T107"/>
      <c r="U107"/>
    </row>
    <row r="108" spans="1:21" ht="14.4">
      <c r="A108" s="846"/>
      <c r="B108" s="847"/>
      <c r="C108" s="1580">
        <v>0</v>
      </c>
      <c r="D108" s="1581"/>
      <c r="E108" s="1580">
        <v>8.2049999999999998E-2</v>
      </c>
      <c r="F108" s="1581"/>
      <c r="G108" s="830">
        <v>0</v>
      </c>
      <c r="H108" s="827">
        <v>0</v>
      </c>
      <c r="I108" s="831">
        <v>0</v>
      </c>
      <c r="J108" s="831">
        <v>0</v>
      </c>
      <c r="K108" s="831">
        <v>0</v>
      </c>
      <c r="L108" s="831">
        <v>0</v>
      </c>
      <c r="M108" s="831">
        <v>0</v>
      </c>
      <c r="N108" s="831">
        <f t="shared" ref="N108:R110" si="4">M27*$B$83</f>
        <v>0</v>
      </c>
      <c r="O108" s="832">
        <f t="shared" si="4"/>
        <v>0</v>
      </c>
      <c r="P108" s="832">
        <v>8.2049999999999998E-2</v>
      </c>
      <c r="Q108" s="832">
        <f t="shared" si="4"/>
        <v>0</v>
      </c>
      <c r="R108" s="848">
        <f t="shared" si="4"/>
        <v>0</v>
      </c>
      <c r="S108"/>
      <c r="T108"/>
      <c r="U108"/>
    </row>
    <row r="109" spans="1:21" ht="14.4">
      <c r="A109" s="846"/>
      <c r="B109" s="847"/>
      <c r="C109" s="1580">
        <v>0</v>
      </c>
      <c r="D109" s="1581"/>
      <c r="E109" s="1580">
        <v>4.0815016758000002</v>
      </c>
      <c r="F109" s="1581"/>
      <c r="G109" s="830">
        <v>0</v>
      </c>
      <c r="H109" s="827">
        <v>0</v>
      </c>
      <c r="I109" s="831">
        <v>0</v>
      </c>
      <c r="J109" s="831">
        <v>0</v>
      </c>
      <c r="K109" s="831">
        <v>0</v>
      </c>
      <c r="L109" s="831">
        <v>0</v>
      </c>
      <c r="M109" s="831">
        <v>0</v>
      </c>
      <c r="N109" s="831">
        <f t="shared" si="4"/>
        <v>0</v>
      </c>
      <c r="O109" s="832">
        <f t="shared" si="4"/>
        <v>0</v>
      </c>
      <c r="P109" s="832">
        <v>4.0815016758000002</v>
      </c>
      <c r="Q109" s="832">
        <f t="shared" si="4"/>
        <v>0</v>
      </c>
      <c r="R109" s="848">
        <f t="shared" si="4"/>
        <v>0</v>
      </c>
      <c r="S109"/>
      <c r="T109"/>
      <c r="U109"/>
    </row>
    <row r="110" spans="1:21" ht="14.4">
      <c r="A110" s="846"/>
      <c r="B110" s="847"/>
      <c r="C110" s="1580">
        <v>0</v>
      </c>
      <c r="D110" s="1581"/>
      <c r="E110" s="1580">
        <v>74.664113940600004</v>
      </c>
      <c r="F110" s="1581"/>
      <c r="G110" s="830">
        <v>0</v>
      </c>
      <c r="H110" s="827">
        <v>0</v>
      </c>
      <c r="I110" s="831">
        <v>0</v>
      </c>
      <c r="J110" s="831">
        <v>0</v>
      </c>
      <c r="K110" s="831">
        <v>0</v>
      </c>
      <c r="L110" s="831">
        <v>0</v>
      </c>
      <c r="M110" s="831">
        <v>0</v>
      </c>
      <c r="N110" s="831">
        <f t="shared" si="4"/>
        <v>0</v>
      </c>
      <c r="O110" s="832">
        <f t="shared" si="4"/>
        <v>0</v>
      </c>
      <c r="P110" s="832">
        <v>74.664113940600004</v>
      </c>
      <c r="Q110" s="832">
        <f t="shared" si="4"/>
        <v>0</v>
      </c>
      <c r="R110" s="848">
        <f t="shared" si="4"/>
        <v>0</v>
      </c>
      <c r="S110"/>
      <c r="T110"/>
      <c r="U110"/>
    </row>
    <row r="111" spans="1:21" ht="14.4">
      <c r="A111" s="846"/>
      <c r="B111" s="951"/>
      <c r="C111" s="1580"/>
      <c r="D111" s="1581"/>
      <c r="E111" s="1580"/>
      <c r="F111" s="1581"/>
      <c r="G111" s="830"/>
      <c r="H111" s="827"/>
      <c r="I111" s="831"/>
      <c r="J111" s="831"/>
      <c r="K111" s="831"/>
      <c r="L111" s="831"/>
      <c r="M111" s="832"/>
      <c r="N111" s="832"/>
      <c r="O111" s="832"/>
      <c r="P111" s="832"/>
      <c r="Q111" s="832"/>
      <c r="R111" s="848"/>
      <c r="S111"/>
      <c r="T111"/>
      <c r="U111"/>
    </row>
    <row r="112" spans="1:21" ht="14.4">
      <c r="A112" s="846"/>
      <c r="B112" s="951"/>
      <c r="C112" s="1580"/>
      <c r="D112" s="1581"/>
      <c r="E112" s="1580"/>
      <c r="F112" s="1581"/>
      <c r="G112" s="830"/>
      <c r="H112" s="827"/>
      <c r="I112" s="831"/>
      <c r="J112" s="831"/>
      <c r="K112" s="831"/>
      <c r="L112" s="831"/>
      <c r="M112" s="832"/>
      <c r="N112" s="832"/>
      <c r="O112" s="832"/>
      <c r="P112" s="832"/>
      <c r="Q112" s="832"/>
      <c r="R112" s="848"/>
      <c r="S112"/>
      <c r="T112"/>
      <c r="U112"/>
    </row>
    <row r="113" spans="1:21" ht="41.4">
      <c r="A113" s="849" t="s">
        <v>812</v>
      </c>
      <c r="B113" s="847"/>
      <c r="C113" s="1580"/>
      <c r="D113" s="1581"/>
      <c r="E113" s="1580"/>
      <c r="F113" s="1581"/>
      <c r="G113" s="830"/>
      <c r="H113" s="827"/>
      <c r="I113" s="831"/>
      <c r="J113" s="831"/>
      <c r="K113" s="831"/>
      <c r="L113" s="831"/>
      <c r="M113" s="832"/>
      <c r="N113" s="832"/>
      <c r="O113" s="832"/>
      <c r="P113" s="832"/>
      <c r="Q113" s="832"/>
      <c r="R113" s="848"/>
      <c r="S113"/>
      <c r="T113" s="952" t="s">
        <v>813</v>
      </c>
      <c r="U113"/>
    </row>
    <row r="114" spans="1:21">
      <c r="A114" s="846" t="s">
        <v>768</v>
      </c>
      <c r="B114" s="951" t="s">
        <v>769</v>
      </c>
      <c r="C114" s="1580">
        <v>0</v>
      </c>
      <c r="D114" s="1581"/>
      <c r="E114" s="1580">
        <v>1120.4666885232</v>
      </c>
      <c r="F114" s="1581"/>
      <c r="G114" s="830">
        <v>0</v>
      </c>
      <c r="H114" s="827">
        <v>0</v>
      </c>
      <c r="I114" s="831">
        <v>0</v>
      </c>
      <c r="J114" s="831">
        <v>0</v>
      </c>
      <c r="K114" s="831">
        <v>0</v>
      </c>
      <c r="L114" s="831">
        <v>0</v>
      </c>
      <c r="M114" s="832">
        <v>0</v>
      </c>
      <c r="N114" s="832">
        <f>M33*$B$83</f>
        <v>0</v>
      </c>
      <c r="O114" s="832">
        <v>364.42005931369999</v>
      </c>
      <c r="P114" s="831">
        <v>668.58242982969989</v>
      </c>
      <c r="Q114" s="832">
        <f>P33*$B$83</f>
        <v>0</v>
      </c>
      <c r="R114" s="848">
        <f>Q33*$B$83</f>
        <v>87.46419937980005</v>
      </c>
    </row>
    <row r="115" spans="1:21">
      <c r="A115" s="846" t="s">
        <v>770</v>
      </c>
      <c r="B115" s="951" t="s">
        <v>771</v>
      </c>
      <c r="C115" s="1580">
        <v>0</v>
      </c>
      <c r="D115" s="1581"/>
      <c r="E115" s="1580">
        <v>268.77640196580001</v>
      </c>
      <c r="F115" s="1581"/>
      <c r="G115" s="830">
        <v>0</v>
      </c>
      <c r="H115" s="827">
        <v>0</v>
      </c>
      <c r="I115" s="831">
        <v>0</v>
      </c>
      <c r="J115" s="831">
        <v>0</v>
      </c>
      <c r="K115" s="831">
        <v>0</v>
      </c>
      <c r="L115" s="831">
        <v>0</v>
      </c>
      <c r="M115" s="832">
        <v>0</v>
      </c>
      <c r="N115" s="832">
        <f t="shared" ref="N115:R123" si="5">M34*$B$83</f>
        <v>0</v>
      </c>
      <c r="O115" s="832">
        <v>92.506499234200007</v>
      </c>
      <c r="P115" s="831">
        <v>147.86960518160001</v>
      </c>
      <c r="Q115" s="832">
        <f t="shared" si="5"/>
        <v>0</v>
      </c>
      <c r="R115" s="848">
        <f t="shared" si="5"/>
        <v>28.400297550000001</v>
      </c>
    </row>
    <row r="116" spans="1:21">
      <c r="A116" s="846" t="s">
        <v>772</v>
      </c>
      <c r="B116" s="951" t="s">
        <v>773</v>
      </c>
      <c r="C116" s="1580">
        <v>0</v>
      </c>
      <c r="D116" s="1581"/>
      <c r="E116" s="1580">
        <v>252.84478964163779</v>
      </c>
      <c r="F116" s="1581"/>
      <c r="G116" s="830">
        <v>0</v>
      </c>
      <c r="H116" s="827">
        <v>0</v>
      </c>
      <c r="I116" s="831">
        <v>0</v>
      </c>
      <c r="J116" s="831">
        <v>0</v>
      </c>
      <c r="K116" s="831">
        <v>0</v>
      </c>
      <c r="L116" s="831">
        <v>0</v>
      </c>
      <c r="M116" s="832">
        <v>0</v>
      </c>
      <c r="N116" s="832">
        <f t="shared" si="5"/>
        <v>0</v>
      </c>
      <c r="O116" s="832">
        <v>83.697556630999998</v>
      </c>
      <c r="P116" s="831">
        <v>126.69251754119999</v>
      </c>
      <c r="Q116" s="832">
        <f t="shared" si="5"/>
        <v>3.0577257689609998</v>
      </c>
      <c r="R116" s="848">
        <f t="shared" si="5"/>
        <v>39.39698970047678</v>
      </c>
    </row>
    <row r="117" spans="1:21">
      <c r="A117" s="846" t="s">
        <v>774</v>
      </c>
      <c r="B117" s="951" t="s">
        <v>775</v>
      </c>
      <c r="C117" s="1580">
        <v>0</v>
      </c>
      <c r="D117" s="1581"/>
      <c r="E117" s="1580">
        <v>1115.6083557757001</v>
      </c>
      <c r="F117" s="1581"/>
      <c r="G117" s="830">
        <v>0</v>
      </c>
      <c r="H117" s="827">
        <v>0</v>
      </c>
      <c r="I117" s="831">
        <v>0</v>
      </c>
      <c r="J117" s="831">
        <v>0</v>
      </c>
      <c r="K117" s="831">
        <v>0</v>
      </c>
      <c r="L117" s="831">
        <v>0</v>
      </c>
      <c r="M117" s="832">
        <v>0</v>
      </c>
      <c r="N117" s="832">
        <f t="shared" si="5"/>
        <v>0</v>
      </c>
      <c r="O117" s="832">
        <v>384.78627271870005</v>
      </c>
      <c r="P117" s="831">
        <v>607.2353316594</v>
      </c>
      <c r="Q117" s="832">
        <f t="shared" si="5"/>
        <v>0</v>
      </c>
      <c r="R117" s="848">
        <f t="shared" si="5"/>
        <v>123.58675139759998</v>
      </c>
    </row>
    <row r="118" spans="1:21">
      <c r="A118" s="846" t="s">
        <v>776</v>
      </c>
      <c r="B118" s="951" t="s">
        <v>777</v>
      </c>
      <c r="C118" s="1580">
        <v>0</v>
      </c>
      <c r="D118" s="1581"/>
      <c r="E118" s="1580">
        <v>128.56547603663836</v>
      </c>
      <c r="F118" s="1581"/>
      <c r="G118" s="830">
        <v>0</v>
      </c>
      <c r="H118" s="827">
        <v>0</v>
      </c>
      <c r="I118" s="831">
        <v>0</v>
      </c>
      <c r="J118" s="831">
        <v>0</v>
      </c>
      <c r="K118" s="831">
        <v>0</v>
      </c>
      <c r="L118" s="831">
        <v>0</v>
      </c>
      <c r="M118" s="832">
        <v>0</v>
      </c>
      <c r="N118" s="832">
        <f t="shared" si="5"/>
        <v>0</v>
      </c>
      <c r="O118" s="832">
        <v>44.726332279999994</v>
      </c>
      <c r="P118" s="831">
        <v>64.140646303400004</v>
      </c>
      <c r="Q118" s="832">
        <f t="shared" si="5"/>
        <v>0</v>
      </c>
      <c r="R118" s="848">
        <f t="shared" si="5"/>
        <v>19.698497453238353</v>
      </c>
    </row>
    <row r="119" spans="1:21">
      <c r="A119" s="846" t="s">
        <v>778</v>
      </c>
      <c r="B119" s="951" t="s">
        <v>779</v>
      </c>
      <c r="C119" s="1580">
        <v>0</v>
      </c>
      <c r="D119" s="1581"/>
      <c r="E119" s="1580">
        <v>75.029867202780764</v>
      </c>
      <c r="F119" s="1581"/>
      <c r="G119" s="830">
        <v>0</v>
      </c>
      <c r="H119" s="827">
        <v>0</v>
      </c>
      <c r="I119" s="831">
        <v>0</v>
      </c>
      <c r="J119" s="831">
        <v>0</v>
      </c>
      <c r="K119" s="831">
        <v>0</v>
      </c>
      <c r="L119" s="831">
        <v>0</v>
      </c>
      <c r="M119" s="832">
        <v>0</v>
      </c>
      <c r="N119" s="832">
        <f t="shared" si="5"/>
        <v>0</v>
      </c>
      <c r="O119" s="832">
        <v>32.000830299600004</v>
      </c>
      <c r="P119" s="831">
        <v>46.787812150100002</v>
      </c>
      <c r="Q119" s="832">
        <f t="shared" si="5"/>
        <v>1.9000299175535359E-2</v>
      </c>
      <c r="R119" s="848">
        <f t="shared" si="5"/>
        <v>-3.7777755460947735</v>
      </c>
    </row>
    <row r="120" spans="1:21">
      <c r="A120" s="846" t="s">
        <v>780</v>
      </c>
      <c r="B120" s="951" t="s">
        <v>781</v>
      </c>
      <c r="C120" s="1580">
        <v>0</v>
      </c>
      <c r="D120" s="1581"/>
      <c r="E120" s="1580">
        <v>1123.4552036735545</v>
      </c>
      <c r="F120" s="1581"/>
      <c r="G120" s="830">
        <v>0</v>
      </c>
      <c r="H120" s="827">
        <v>0</v>
      </c>
      <c r="I120" s="831">
        <v>0</v>
      </c>
      <c r="J120" s="831">
        <v>0</v>
      </c>
      <c r="K120" s="831">
        <v>0</v>
      </c>
      <c r="L120" s="831">
        <v>0</v>
      </c>
      <c r="M120" s="832">
        <v>0</v>
      </c>
      <c r="N120" s="832">
        <f t="shared" si="5"/>
        <v>0</v>
      </c>
      <c r="O120" s="832">
        <v>353.15533570449998</v>
      </c>
      <c r="P120" s="831">
        <v>585.01430832100004</v>
      </c>
      <c r="Q120" s="832">
        <f t="shared" si="5"/>
        <v>0</v>
      </c>
      <c r="R120" s="848">
        <f t="shared" si="5"/>
        <v>185.28555964805454</v>
      </c>
    </row>
    <row r="121" spans="1:21">
      <c r="A121" s="846" t="s">
        <v>782</v>
      </c>
      <c r="B121" s="951" t="s">
        <v>783</v>
      </c>
      <c r="C121" s="1580">
        <v>0</v>
      </c>
      <c r="D121" s="1581"/>
      <c r="E121" s="1580">
        <v>252.20637382260207</v>
      </c>
      <c r="F121" s="1581"/>
      <c r="G121" s="830">
        <v>0</v>
      </c>
      <c r="H121" s="827">
        <v>0</v>
      </c>
      <c r="I121" s="831">
        <v>0</v>
      </c>
      <c r="J121" s="831">
        <v>0</v>
      </c>
      <c r="K121" s="831">
        <v>0</v>
      </c>
      <c r="L121" s="831">
        <v>0</v>
      </c>
      <c r="M121" s="832">
        <v>0</v>
      </c>
      <c r="N121" s="832">
        <f t="shared" si="5"/>
        <v>0</v>
      </c>
      <c r="O121" s="832">
        <v>87.250137040499993</v>
      </c>
      <c r="P121" s="831">
        <v>139.30238224519999</v>
      </c>
      <c r="Q121" s="832">
        <f t="shared" si="5"/>
        <v>0</v>
      </c>
      <c r="R121" s="848">
        <f t="shared" si="5"/>
        <v>25.653854536902081</v>
      </c>
    </row>
    <row r="122" spans="1:21">
      <c r="A122" s="846" t="s">
        <v>784</v>
      </c>
      <c r="B122" s="951" t="s">
        <v>785</v>
      </c>
      <c r="C122" s="1580">
        <v>0</v>
      </c>
      <c r="D122" s="1581"/>
      <c r="E122" s="1580">
        <v>150.38760485482501</v>
      </c>
      <c r="F122" s="1581"/>
      <c r="G122" s="830">
        <v>0</v>
      </c>
      <c r="H122" s="827">
        <v>0</v>
      </c>
      <c r="I122" s="831">
        <v>0</v>
      </c>
      <c r="J122" s="831">
        <v>0</v>
      </c>
      <c r="K122" s="831">
        <v>0</v>
      </c>
      <c r="L122" s="831">
        <v>0</v>
      </c>
      <c r="M122" s="832">
        <v>0</v>
      </c>
      <c r="N122" s="832">
        <f t="shared" si="5"/>
        <v>0</v>
      </c>
      <c r="O122" s="832">
        <v>51.934605978499995</v>
      </c>
      <c r="P122" s="831">
        <v>71.588441035599999</v>
      </c>
      <c r="Q122" s="832">
        <f t="shared" si="5"/>
        <v>3.9593355321175583</v>
      </c>
      <c r="R122" s="848">
        <f t="shared" si="5"/>
        <v>22.905222308607446</v>
      </c>
    </row>
    <row r="123" spans="1:21">
      <c r="A123" s="846" t="s">
        <v>786</v>
      </c>
      <c r="B123" s="951" t="s">
        <v>787</v>
      </c>
      <c r="C123" s="1580">
        <v>0</v>
      </c>
      <c r="D123" s="1581"/>
      <c r="E123" s="1580">
        <v>884.84829844091757</v>
      </c>
      <c r="F123" s="1581"/>
      <c r="G123" s="830">
        <v>0</v>
      </c>
      <c r="H123" s="827">
        <v>0</v>
      </c>
      <c r="I123" s="831">
        <v>0</v>
      </c>
      <c r="J123" s="831">
        <v>0</v>
      </c>
      <c r="K123" s="831">
        <v>0</v>
      </c>
      <c r="L123" s="831">
        <v>0</v>
      </c>
      <c r="M123" s="832">
        <v>0</v>
      </c>
      <c r="N123" s="832">
        <f t="shared" si="5"/>
        <v>0</v>
      </c>
      <c r="O123" s="832">
        <v>557.29130284750011</v>
      </c>
      <c r="P123" s="831">
        <v>237.04516346310001</v>
      </c>
      <c r="Q123" s="832">
        <f t="shared" si="5"/>
        <v>0</v>
      </c>
      <c r="R123" s="848">
        <f t="shared" si="5"/>
        <v>90.511832130317472</v>
      </c>
    </row>
    <row r="124" spans="1:21">
      <c r="A124" s="846"/>
      <c r="B124" s="847"/>
      <c r="C124" s="827"/>
      <c r="D124" s="828"/>
      <c r="E124" s="827"/>
      <c r="F124" s="828"/>
      <c r="G124" s="830"/>
      <c r="H124" s="827"/>
      <c r="I124" s="831"/>
      <c r="J124" s="831"/>
      <c r="K124" s="831"/>
      <c r="L124" s="831"/>
      <c r="M124" s="831"/>
      <c r="N124" s="831"/>
      <c r="O124" s="832"/>
      <c r="P124" s="832"/>
      <c r="Q124" s="832"/>
      <c r="R124" s="848"/>
    </row>
    <row r="125" spans="1:21">
      <c r="A125" s="846"/>
      <c r="B125" s="951"/>
      <c r="C125" s="910"/>
      <c r="D125" s="911"/>
      <c r="E125" s="910"/>
      <c r="F125" s="911"/>
      <c r="G125" s="830"/>
      <c r="H125" s="827"/>
      <c r="I125" s="831"/>
      <c r="J125" s="831"/>
      <c r="K125" s="831"/>
      <c r="L125" s="831"/>
      <c r="M125" s="832"/>
      <c r="N125" s="832"/>
      <c r="O125" s="832"/>
      <c r="P125" s="832"/>
      <c r="Q125" s="832"/>
      <c r="R125" s="848"/>
    </row>
    <row r="126" spans="1:21">
      <c r="A126" s="849" t="s">
        <v>788</v>
      </c>
      <c r="B126" s="847"/>
      <c r="C126" s="827"/>
      <c r="D126" s="828"/>
      <c r="E126" s="827"/>
      <c r="F126" s="828"/>
      <c r="G126" s="830"/>
      <c r="H126" s="827"/>
      <c r="I126" s="831"/>
      <c r="J126" s="831"/>
      <c r="K126" s="831"/>
      <c r="L126" s="831"/>
      <c r="M126" s="831"/>
      <c r="N126" s="831"/>
      <c r="O126" s="832"/>
      <c r="P126" s="832"/>
      <c r="Q126" s="832"/>
      <c r="R126" s="848"/>
    </row>
    <row r="127" spans="1:21" ht="24">
      <c r="A127" s="846" t="s">
        <v>790</v>
      </c>
      <c r="B127" s="847" t="s">
        <v>791</v>
      </c>
      <c r="C127" s="1580">
        <v>0</v>
      </c>
      <c r="D127" s="1581"/>
      <c r="E127" s="1580">
        <f t="shared" ref="E127:E130" si="6">SUM(G127:R127)</f>
        <v>545.51069999999993</v>
      </c>
      <c r="F127" s="1581"/>
      <c r="G127" s="830">
        <v>0</v>
      </c>
      <c r="H127" s="827">
        <v>0</v>
      </c>
      <c r="I127" s="831">
        <v>0</v>
      </c>
      <c r="J127" s="831">
        <v>0</v>
      </c>
      <c r="K127" s="831">
        <v>0</v>
      </c>
      <c r="L127" s="831">
        <v>0</v>
      </c>
      <c r="M127" s="832">
        <v>0</v>
      </c>
      <c r="N127" s="832">
        <f t="shared" ref="N127:N130" si="7">M47*$B$83</f>
        <v>0</v>
      </c>
      <c r="O127" s="832">
        <v>0</v>
      </c>
      <c r="P127" s="832">
        <v>408.07934999999998</v>
      </c>
      <c r="Q127" s="832">
        <f>P46*$B$83</f>
        <v>54.972540000000002</v>
      </c>
      <c r="R127" s="848">
        <f>Q46*$B$83</f>
        <v>82.45881</v>
      </c>
    </row>
    <row r="128" spans="1:21">
      <c r="A128" s="846" t="s">
        <v>792</v>
      </c>
      <c r="B128" s="847" t="s">
        <v>793</v>
      </c>
      <c r="C128" s="1580">
        <v>0</v>
      </c>
      <c r="D128" s="1581"/>
      <c r="E128" s="1580">
        <f t="shared" si="6"/>
        <v>70.844632500000003</v>
      </c>
      <c r="F128" s="1581"/>
      <c r="G128" s="830">
        <v>0</v>
      </c>
      <c r="H128" s="827">
        <v>0</v>
      </c>
      <c r="I128" s="831">
        <v>0</v>
      </c>
      <c r="J128" s="831">
        <v>0</v>
      </c>
      <c r="K128" s="831">
        <v>0</v>
      </c>
      <c r="L128" s="831">
        <v>0</v>
      </c>
      <c r="M128" s="832">
        <v>0</v>
      </c>
      <c r="N128" s="832">
        <f t="shared" si="7"/>
        <v>0</v>
      </c>
      <c r="O128" s="832">
        <v>0</v>
      </c>
      <c r="P128" s="832">
        <v>53.28396</v>
      </c>
      <c r="Q128" s="832">
        <f t="shared" ref="Q128:R130" si="8">P47*$B$83</f>
        <v>7.0242690000000012</v>
      </c>
      <c r="R128" s="848">
        <f t="shared" si="8"/>
        <v>10.5364035</v>
      </c>
    </row>
    <row r="129" spans="1:20" ht="24">
      <c r="A129" s="846" t="s">
        <v>794</v>
      </c>
      <c r="B129" s="847" t="s">
        <v>795</v>
      </c>
      <c r="C129" s="1580">
        <v>0</v>
      </c>
      <c r="D129" s="1581"/>
      <c r="E129" s="1580">
        <f t="shared" si="6"/>
        <v>1789.0451685329997</v>
      </c>
      <c r="F129" s="1581"/>
      <c r="G129" s="830">
        <v>0</v>
      </c>
      <c r="H129" s="827">
        <v>0</v>
      </c>
      <c r="I129" s="831">
        <v>0</v>
      </c>
      <c r="J129" s="831">
        <v>0</v>
      </c>
      <c r="K129" s="831">
        <v>0</v>
      </c>
      <c r="L129" s="831">
        <v>0</v>
      </c>
      <c r="M129" s="832">
        <v>0</v>
      </c>
      <c r="N129" s="832">
        <f t="shared" si="7"/>
        <v>0</v>
      </c>
      <c r="O129" s="832">
        <v>0</v>
      </c>
      <c r="P129" s="832">
        <v>1442.4127635329999</v>
      </c>
      <c r="Q129" s="832">
        <f t="shared" si="8"/>
        <v>138.6529619999998</v>
      </c>
      <c r="R129" s="848">
        <f t="shared" si="8"/>
        <v>207.979443</v>
      </c>
    </row>
    <row r="130" spans="1:20" ht="24">
      <c r="A130" s="846" t="s">
        <v>796</v>
      </c>
      <c r="B130" s="847" t="s">
        <v>797</v>
      </c>
      <c r="C130" s="1580">
        <v>0</v>
      </c>
      <c r="D130" s="1581"/>
      <c r="E130" s="1580">
        <f t="shared" si="6"/>
        <v>260.74464552883887</v>
      </c>
      <c r="F130" s="1581"/>
      <c r="G130" s="830">
        <v>0</v>
      </c>
      <c r="H130" s="827">
        <v>0</v>
      </c>
      <c r="I130" s="831">
        <v>0</v>
      </c>
      <c r="J130" s="831">
        <v>0</v>
      </c>
      <c r="K130" s="831">
        <v>0</v>
      </c>
      <c r="L130" s="831">
        <v>0</v>
      </c>
      <c r="M130" s="832">
        <v>0</v>
      </c>
      <c r="N130" s="832">
        <f t="shared" si="7"/>
        <v>0</v>
      </c>
      <c r="O130" s="832">
        <v>0</v>
      </c>
      <c r="P130" s="832">
        <v>344.03618</v>
      </c>
      <c r="Q130" s="832">
        <f t="shared" si="8"/>
        <v>45.199643999999999</v>
      </c>
      <c r="R130" s="848">
        <f t="shared" si="8"/>
        <v>-128.49117847116111</v>
      </c>
    </row>
    <row r="131" spans="1:20">
      <c r="A131" s="846"/>
      <c r="B131" s="847"/>
      <c r="C131" s="827"/>
      <c r="D131" s="828"/>
      <c r="E131" s="827"/>
      <c r="F131" s="828"/>
      <c r="G131" s="830"/>
      <c r="H131" s="827"/>
      <c r="I131" s="831"/>
      <c r="J131" s="831"/>
      <c r="K131" s="831"/>
      <c r="L131" s="831"/>
      <c r="M131" s="831"/>
      <c r="N131" s="831"/>
      <c r="O131" s="832"/>
      <c r="P131" s="832"/>
      <c r="Q131" s="832"/>
      <c r="R131" s="848"/>
    </row>
    <row r="132" spans="1:20">
      <c r="A132" s="846"/>
      <c r="B132" s="847"/>
      <c r="C132" s="827"/>
      <c r="D132" s="828"/>
      <c r="E132" s="827"/>
      <c r="F132" s="828"/>
      <c r="G132" s="830"/>
      <c r="H132" s="827"/>
      <c r="I132" s="831"/>
      <c r="J132" s="831"/>
      <c r="K132" s="831"/>
      <c r="L132" s="831"/>
      <c r="M132" s="831"/>
      <c r="N132" s="831"/>
      <c r="O132" s="832"/>
      <c r="P132" s="832"/>
      <c r="Q132" s="832"/>
      <c r="R132" s="848"/>
    </row>
    <row r="133" spans="1:20">
      <c r="A133" s="849" t="s">
        <v>814</v>
      </c>
      <c r="B133" s="847"/>
      <c r="C133" s="827"/>
      <c r="D133" s="828"/>
      <c r="E133" s="827"/>
      <c r="F133" s="828"/>
      <c r="G133" s="830"/>
      <c r="H133" s="827"/>
      <c r="I133" s="831"/>
      <c r="J133" s="831"/>
      <c r="K133" s="831"/>
      <c r="L133" s="831"/>
      <c r="M133" s="831"/>
      <c r="N133" s="831"/>
      <c r="O133" s="832"/>
      <c r="P133" s="832"/>
      <c r="Q133" s="832"/>
      <c r="R133" s="848"/>
    </row>
    <row r="134" spans="1:20" ht="36">
      <c r="A134" s="846" t="s">
        <v>799</v>
      </c>
      <c r="B134" s="847" t="s">
        <v>800</v>
      </c>
      <c r="C134" s="1580">
        <v>0</v>
      </c>
      <c r="D134" s="1581"/>
      <c r="E134" s="1580">
        <f t="shared" ref="E134" si="9">SUM(G134:R134)</f>
        <v>154.96756648995</v>
      </c>
      <c r="F134" s="1581"/>
      <c r="G134" s="830">
        <v>0</v>
      </c>
      <c r="H134" s="827">
        <v>0</v>
      </c>
      <c r="I134" s="831">
        <v>0</v>
      </c>
      <c r="J134" s="831">
        <v>0</v>
      </c>
      <c r="K134" s="831">
        <v>0</v>
      </c>
      <c r="L134" s="831">
        <v>0</v>
      </c>
      <c r="M134" s="832">
        <v>0</v>
      </c>
      <c r="N134" s="832">
        <f>M53*$B$83</f>
        <v>0</v>
      </c>
      <c r="O134" s="832">
        <v>0</v>
      </c>
      <c r="P134" s="832">
        <v>54.459973645200002</v>
      </c>
      <c r="Q134" s="832">
        <v>85.044886253249999</v>
      </c>
      <c r="R134" s="828">
        <v>15.4627065915</v>
      </c>
    </row>
    <row r="135" spans="1:20">
      <c r="A135" s="846"/>
      <c r="B135" s="847"/>
      <c r="C135" s="827"/>
      <c r="D135" s="828"/>
      <c r="E135" s="827"/>
      <c r="F135" s="828"/>
      <c r="G135" s="830"/>
      <c r="H135" s="827"/>
      <c r="I135" s="831"/>
      <c r="J135" s="831"/>
      <c r="K135" s="831"/>
      <c r="L135" s="831"/>
      <c r="M135" s="831"/>
      <c r="N135" s="831"/>
      <c r="O135" s="832">
        <v>34.771619999999999</v>
      </c>
      <c r="P135" s="832">
        <v>0</v>
      </c>
      <c r="Q135" s="832">
        <v>96.420090000000002</v>
      </c>
      <c r="R135" s="828">
        <v>96.420090000000002</v>
      </c>
    </row>
    <row r="136" spans="1:20">
      <c r="A136" s="846"/>
      <c r="B136" s="847"/>
      <c r="C136" s="827"/>
      <c r="D136" s="828"/>
      <c r="E136" s="827"/>
      <c r="F136" s="828"/>
      <c r="G136" s="830"/>
      <c r="H136" s="827"/>
      <c r="I136" s="831"/>
      <c r="J136" s="831"/>
      <c r="K136" s="831"/>
      <c r="L136" s="831"/>
      <c r="M136" s="831"/>
      <c r="N136" s="831"/>
      <c r="O136" s="832">
        <v>0</v>
      </c>
      <c r="P136" s="832">
        <v>49.877910061999998</v>
      </c>
      <c r="Q136" s="832">
        <v>0</v>
      </c>
      <c r="R136" s="828">
        <v>0</v>
      </c>
    </row>
    <row r="137" spans="1:20">
      <c r="A137" s="849" t="s">
        <v>815</v>
      </c>
      <c r="B137" s="847"/>
      <c r="C137" s="827"/>
      <c r="D137" s="828"/>
      <c r="E137" s="827"/>
      <c r="F137" s="828"/>
      <c r="G137" s="830"/>
      <c r="H137" s="827"/>
      <c r="I137" s="831"/>
      <c r="J137" s="831"/>
      <c r="K137" s="831"/>
      <c r="L137" s="831"/>
      <c r="M137" s="831"/>
      <c r="N137" s="831"/>
      <c r="O137" s="832"/>
      <c r="P137" s="832"/>
      <c r="Q137" s="832"/>
      <c r="R137" s="848"/>
    </row>
    <row r="138" spans="1:20">
      <c r="A138" s="846" t="s">
        <v>816</v>
      </c>
      <c r="B138" s="847"/>
      <c r="C138" s="1580">
        <v>146.23560665418495</v>
      </c>
      <c r="D138" s="1581"/>
      <c r="E138" s="1580">
        <v>-146.23560665418495</v>
      </c>
      <c r="F138" s="1581"/>
      <c r="G138" s="829">
        <v>0</v>
      </c>
      <c r="H138" s="827">
        <v>0</v>
      </c>
      <c r="I138" s="831">
        <v>0</v>
      </c>
      <c r="J138" s="831">
        <v>0</v>
      </c>
      <c r="K138" s="831">
        <v>0</v>
      </c>
      <c r="L138" s="831">
        <v>0</v>
      </c>
      <c r="M138" s="832">
        <v>0</v>
      </c>
      <c r="N138" s="832">
        <f t="shared" ref="N138" si="10">M58*$B$83</f>
        <v>0</v>
      </c>
      <c r="O138" s="832">
        <v>22.131281502747633</v>
      </c>
      <c r="P138" s="832">
        <v>-15.720948559897099</v>
      </c>
      <c r="Q138" s="832">
        <v>-81.388098831111591</v>
      </c>
      <c r="R138" s="848">
        <v>-71.257840765923874</v>
      </c>
      <c r="T138" s="515" t="s">
        <v>817</v>
      </c>
    </row>
    <row r="139" spans="1:20">
      <c r="A139" s="846"/>
      <c r="B139" s="847"/>
      <c r="C139" s="827"/>
      <c r="D139" s="828"/>
      <c r="E139" s="827"/>
      <c r="F139" s="828"/>
      <c r="G139" s="829"/>
      <c r="H139" s="830"/>
      <c r="I139" s="831"/>
      <c r="J139" s="831"/>
      <c r="K139" s="831"/>
      <c r="L139" s="831"/>
      <c r="M139" s="831"/>
      <c r="N139" s="831"/>
      <c r="O139" s="832"/>
      <c r="P139" s="832"/>
      <c r="Q139" s="832"/>
      <c r="R139" s="848"/>
    </row>
    <row r="140" spans="1:20">
      <c r="A140" s="923"/>
      <c r="B140" s="953"/>
      <c r="C140" s="954"/>
      <c r="D140" s="955"/>
      <c r="E140" s="954"/>
      <c r="F140" s="955"/>
      <c r="G140" s="926"/>
      <c r="H140" s="926"/>
      <c r="I140" s="926"/>
      <c r="J140" s="926"/>
      <c r="K140" s="926"/>
      <c r="L140" s="926"/>
      <c r="M140" s="926"/>
      <c r="N140" s="926"/>
      <c r="O140" s="926"/>
      <c r="P140" s="926"/>
      <c r="Q140" s="926"/>
      <c r="R140" s="926"/>
    </row>
    <row r="141" spans="1:20">
      <c r="A141" s="923"/>
      <c r="B141" s="953"/>
      <c r="C141" s="954"/>
      <c r="D141" s="955"/>
      <c r="E141" s="954"/>
      <c r="F141" s="955"/>
      <c r="G141" s="926"/>
      <c r="H141" s="926"/>
      <c r="I141" s="926"/>
      <c r="J141" s="926"/>
      <c r="K141" s="926"/>
      <c r="L141" s="926"/>
      <c r="M141" s="926"/>
      <c r="N141" s="926"/>
      <c r="O141" s="926"/>
      <c r="P141" s="926"/>
      <c r="Q141" s="926"/>
      <c r="R141" s="926"/>
    </row>
    <row r="142" spans="1:20">
      <c r="A142" s="923"/>
      <c r="B142" s="953"/>
      <c r="C142" s="954"/>
      <c r="D142" s="955"/>
      <c r="E142" s="954"/>
      <c r="F142" s="955"/>
      <c r="G142" s="926"/>
      <c r="H142" s="926"/>
      <c r="I142" s="926"/>
      <c r="J142" s="926"/>
      <c r="K142" s="926"/>
      <c r="L142" s="926"/>
      <c r="M142" s="926"/>
      <c r="N142" s="926"/>
      <c r="O142" s="926"/>
      <c r="P142" s="926"/>
      <c r="Q142" s="926"/>
      <c r="R142" s="926"/>
    </row>
    <row r="143" spans="1:20">
      <c r="A143" s="923"/>
      <c r="B143" s="953"/>
      <c r="C143" s="954"/>
      <c r="D143" s="955"/>
      <c r="E143" s="954"/>
      <c r="F143" s="955"/>
      <c r="G143" s="926"/>
      <c r="H143" s="926"/>
      <c r="I143" s="926"/>
      <c r="J143" s="926"/>
      <c r="K143" s="926"/>
      <c r="L143" s="926"/>
      <c r="M143" s="926"/>
      <c r="N143" s="926"/>
      <c r="O143" s="926"/>
      <c r="P143" s="926"/>
      <c r="Q143" s="926"/>
      <c r="R143" s="926"/>
    </row>
    <row r="144" spans="1:20">
      <c r="A144" s="923"/>
      <c r="B144" s="953"/>
      <c r="C144" s="954"/>
      <c r="D144" s="955"/>
      <c r="E144" s="954"/>
      <c r="F144" s="955"/>
      <c r="G144" s="926"/>
      <c r="H144" s="926"/>
      <c r="I144" s="926"/>
      <c r="J144" s="926"/>
      <c r="K144" s="926"/>
      <c r="L144" s="926"/>
      <c r="M144" s="926"/>
      <c r="N144" s="926"/>
      <c r="O144" s="926"/>
      <c r="P144" s="926"/>
      <c r="Q144" s="926"/>
      <c r="R144" s="926"/>
    </row>
    <row r="145" spans="1:18">
      <c r="A145" s="923"/>
      <c r="B145" s="953"/>
      <c r="C145" s="954"/>
      <c r="D145" s="955"/>
      <c r="E145" s="954"/>
      <c r="F145" s="955"/>
      <c r="G145" s="926"/>
      <c r="H145" s="926"/>
      <c r="I145" s="926"/>
      <c r="J145" s="926"/>
      <c r="K145" s="926"/>
      <c r="L145" s="926"/>
      <c r="M145" s="926"/>
      <c r="N145" s="926"/>
      <c r="O145" s="926"/>
      <c r="P145" s="926"/>
      <c r="Q145" s="926"/>
      <c r="R145" s="926"/>
    </row>
    <row r="146" spans="1:18">
      <c r="A146" s="923"/>
      <c r="B146" s="953"/>
      <c r="C146" s="954"/>
      <c r="D146" s="955"/>
      <c r="E146" s="954"/>
      <c r="F146" s="955"/>
      <c r="G146" s="926"/>
      <c r="H146" s="926"/>
      <c r="I146" s="926"/>
      <c r="J146" s="926"/>
      <c r="K146" s="926"/>
      <c r="L146" s="926"/>
      <c r="M146" s="926"/>
      <c r="N146" s="926"/>
      <c r="O146" s="926"/>
      <c r="P146" s="926"/>
      <c r="Q146" s="926"/>
      <c r="R146" s="926"/>
    </row>
    <row r="147" spans="1:18">
      <c r="A147" s="923"/>
      <c r="B147" s="953"/>
      <c r="C147" s="954"/>
      <c r="D147" s="955"/>
      <c r="E147" s="954"/>
      <c r="F147" s="955"/>
      <c r="G147" s="926"/>
      <c r="H147" s="926"/>
      <c r="I147" s="926"/>
      <c r="J147" s="926"/>
      <c r="K147" s="926"/>
      <c r="L147" s="926"/>
      <c r="M147" s="926"/>
      <c r="N147" s="926"/>
      <c r="O147" s="926"/>
      <c r="P147" s="926"/>
      <c r="Q147" s="926"/>
      <c r="R147" s="926"/>
    </row>
    <row r="148" spans="1:18">
      <c r="A148" s="923"/>
      <c r="B148" s="953"/>
      <c r="C148" s="954"/>
      <c r="D148" s="955"/>
      <c r="E148" s="954"/>
      <c r="F148" s="955"/>
      <c r="G148" s="926"/>
      <c r="H148" s="926"/>
      <c r="I148" s="926"/>
      <c r="J148" s="926"/>
      <c r="K148" s="926"/>
      <c r="L148" s="926"/>
      <c r="M148" s="926"/>
      <c r="N148" s="926"/>
      <c r="O148" s="926"/>
      <c r="P148" s="926"/>
      <c r="Q148" s="926"/>
      <c r="R148" s="926"/>
    </row>
    <row r="149" spans="1:18">
      <c r="A149" s="923"/>
      <c r="B149" s="953"/>
      <c r="C149" s="954"/>
      <c r="D149" s="955"/>
      <c r="E149" s="954"/>
      <c r="F149" s="955"/>
      <c r="G149" s="926"/>
      <c r="H149" s="926"/>
      <c r="I149" s="926"/>
      <c r="J149" s="926"/>
      <c r="K149" s="926"/>
      <c r="L149" s="926"/>
      <c r="M149" s="926"/>
      <c r="N149" s="926"/>
      <c r="O149" s="926"/>
      <c r="P149" s="926"/>
      <c r="Q149" s="926"/>
      <c r="R149" s="926"/>
    </row>
    <row r="150" spans="1:18">
      <c r="A150" s="923"/>
      <c r="B150" s="953"/>
      <c r="C150" s="954"/>
      <c r="D150" s="955"/>
      <c r="E150" s="954"/>
      <c r="F150" s="955"/>
      <c r="G150" s="926"/>
      <c r="H150" s="926"/>
      <c r="I150" s="926"/>
      <c r="J150" s="926"/>
      <c r="K150" s="926"/>
      <c r="L150" s="926"/>
      <c r="M150" s="926"/>
      <c r="N150" s="926"/>
      <c r="O150" s="926"/>
      <c r="P150" s="926"/>
      <c r="Q150" s="926"/>
      <c r="R150" s="926"/>
    </row>
    <row r="151" spans="1:18">
      <c r="A151" s="923"/>
      <c r="B151" s="953"/>
      <c r="C151" s="954"/>
      <c r="D151" s="955"/>
      <c r="E151" s="954"/>
      <c r="F151" s="955"/>
      <c r="G151" s="926"/>
      <c r="H151" s="926"/>
      <c r="I151" s="926"/>
      <c r="J151" s="926"/>
      <c r="K151" s="926"/>
      <c r="L151" s="926"/>
      <c r="M151" s="926"/>
      <c r="N151" s="926"/>
      <c r="O151" s="926"/>
      <c r="P151" s="926"/>
      <c r="Q151" s="926"/>
      <c r="R151" s="926"/>
    </row>
    <row r="152" spans="1:18">
      <c r="A152" s="923"/>
      <c r="B152" s="953"/>
      <c r="C152" s="954"/>
      <c r="D152" s="955"/>
      <c r="E152" s="954"/>
      <c r="F152" s="955"/>
      <c r="G152" s="926"/>
      <c r="H152" s="926"/>
      <c r="I152" s="926"/>
      <c r="J152" s="926"/>
      <c r="K152" s="926"/>
      <c r="L152" s="926"/>
      <c r="M152" s="926"/>
      <c r="N152" s="926"/>
      <c r="O152" s="926"/>
      <c r="P152" s="926"/>
      <c r="Q152" s="926"/>
      <c r="R152" s="926"/>
    </row>
    <row r="153" spans="1:18">
      <c r="A153" s="923"/>
      <c r="B153" s="953"/>
      <c r="C153" s="954"/>
      <c r="D153" s="955"/>
      <c r="E153" s="954"/>
      <c r="F153" s="955"/>
      <c r="G153" s="926"/>
      <c r="H153" s="926"/>
      <c r="I153" s="926"/>
      <c r="J153" s="926"/>
      <c r="K153" s="926"/>
      <c r="L153" s="926"/>
      <c r="M153" s="926"/>
      <c r="N153" s="926"/>
      <c r="O153" s="926"/>
      <c r="P153" s="926"/>
      <c r="Q153" s="926"/>
      <c r="R153" s="926"/>
    </row>
    <row r="154" spans="1:18">
      <c r="A154" s="923"/>
      <c r="B154" s="953"/>
      <c r="C154" s="954"/>
      <c r="D154" s="955"/>
      <c r="E154" s="954"/>
      <c r="F154" s="955"/>
      <c r="G154" s="926"/>
      <c r="H154" s="926"/>
      <c r="I154" s="926"/>
      <c r="J154" s="926"/>
      <c r="K154" s="926"/>
      <c r="L154" s="926"/>
      <c r="M154" s="926"/>
      <c r="N154" s="926"/>
      <c r="O154" s="926"/>
      <c r="P154" s="926"/>
      <c r="Q154" s="926"/>
      <c r="R154" s="926"/>
    </row>
    <row r="155" spans="1:18">
      <c r="A155" s="923"/>
      <c r="B155" s="953"/>
      <c r="C155" s="954"/>
      <c r="D155" s="955"/>
      <c r="E155" s="954"/>
      <c r="F155" s="955"/>
      <c r="G155" s="926"/>
      <c r="H155" s="926"/>
      <c r="I155" s="926"/>
      <c r="J155" s="926"/>
      <c r="K155" s="926"/>
      <c r="L155" s="926"/>
      <c r="M155" s="926"/>
      <c r="N155" s="926"/>
      <c r="O155" s="926"/>
      <c r="P155" s="926"/>
      <c r="Q155" s="926"/>
      <c r="R155" s="926"/>
    </row>
    <row r="156" spans="1:18">
      <c r="A156" s="923"/>
      <c r="B156" s="953"/>
      <c r="C156" s="954"/>
      <c r="D156" s="955"/>
      <c r="E156" s="954"/>
      <c r="F156" s="955"/>
      <c r="G156" s="926"/>
      <c r="H156" s="926"/>
      <c r="I156" s="926"/>
      <c r="J156" s="926"/>
      <c r="K156" s="926"/>
      <c r="L156" s="926"/>
      <c r="M156" s="926"/>
      <c r="N156" s="926"/>
      <c r="O156" s="926"/>
      <c r="P156" s="926"/>
      <c r="Q156" s="926"/>
      <c r="R156" s="926"/>
    </row>
    <row r="157" spans="1:18">
      <c r="A157" s="923"/>
      <c r="B157" s="953"/>
      <c r="C157" s="954"/>
      <c r="D157" s="955"/>
      <c r="E157" s="954"/>
      <c r="F157" s="955"/>
      <c r="G157" s="926"/>
      <c r="H157" s="926"/>
      <c r="I157" s="926"/>
      <c r="J157" s="926"/>
      <c r="K157" s="926"/>
      <c r="L157" s="926"/>
      <c r="M157" s="926"/>
      <c r="N157" s="926"/>
      <c r="O157" s="926"/>
      <c r="P157" s="926"/>
      <c r="Q157" s="926"/>
      <c r="R157" s="926"/>
    </row>
    <row r="158" spans="1:18">
      <c r="A158" s="923"/>
      <c r="B158" s="953"/>
      <c r="C158" s="954"/>
      <c r="D158" s="955"/>
      <c r="E158" s="954"/>
      <c r="F158" s="955"/>
      <c r="G158" s="926"/>
      <c r="H158" s="926"/>
      <c r="I158" s="926"/>
      <c r="J158" s="926"/>
      <c r="K158" s="926"/>
      <c r="L158" s="926"/>
      <c r="M158" s="926"/>
      <c r="N158" s="926"/>
      <c r="O158" s="926"/>
      <c r="P158" s="926"/>
      <c r="Q158" s="926"/>
      <c r="R158" s="926"/>
    </row>
    <row r="159" spans="1:18">
      <c r="A159" s="923"/>
      <c r="B159" s="953"/>
      <c r="C159" s="954"/>
      <c r="D159" s="955"/>
      <c r="E159" s="954"/>
      <c r="F159" s="955"/>
      <c r="G159" s="926"/>
      <c r="H159" s="926"/>
      <c r="I159" s="926"/>
      <c r="J159" s="926"/>
      <c r="K159" s="926"/>
      <c r="L159" s="926"/>
      <c r="M159" s="926"/>
      <c r="N159" s="926"/>
      <c r="O159" s="926"/>
      <c r="P159" s="926"/>
      <c r="Q159" s="926"/>
      <c r="R159" s="926"/>
    </row>
    <row r="160" spans="1:18">
      <c r="A160" s="1582" t="s">
        <v>801</v>
      </c>
      <c r="B160" s="1583"/>
      <c r="C160" s="1593">
        <f>SUM(C89:D159)</f>
        <v>3837.4422875492855</v>
      </c>
      <c r="D160" s="1594"/>
      <c r="E160" s="1595">
        <f>SUM(E89:F159)</f>
        <v>98864.351139385486</v>
      </c>
      <c r="F160" s="1596"/>
      <c r="G160" s="956">
        <f>G161/$B$83</f>
        <v>0</v>
      </c>
      <c r="H160" s="956">
        <f t="shared" ref="H160:R160" si="11">H161/$B$83</f>
        <v>0</v>
      </c>
      <c r="I160" s="956">
        <f t="shared" si="11"/>
        <v>0</v>
      </c>
      <c r="J160" s="956">
        <f t="shared" si="11"/>
        <v>0</v>
      </c>
      <c r="K160" s="956">
        <f t="shared" si="11"/>
        <v>0</v>
      </c>
      <c r="L160" s="956">
        <f t="shared" si="11"/>
        <v>46208.912477938989</v>
      </c>
      <c r="M160" s="956">
        <f t="shared" si="11"/>
        <v>191.04265511471684</v>
      </c>
      <c r="N160" s="956">
        <f t="shared" si="11"/>
        <v>11918.641030048819</v>
      </c>
      <c r="O160" s="956">
        <f t="shared" si="11"/>
        <v>35753.442896531946</v>
      </c>
      <c r="P160" s="956">
        <f t="shared" si="11"/>
        <v>6701.2805375234884</v>
      </c>
      <c r="Q160" s="956">
        <f t="shared" si="11"/>
        <v>3798.5930343336927</v>
      </c>
      <c r="R160" s="957">
        <f t="shared" si="11"/>
        <v>9047.2408088973316</v>
      </c>
    </row>
    <row r="161" spans="1:18">
      <c r="A161" s="1582" t="s">
        <v>802</v>
      </c>
      <c r="B161" s="1583"/>
      <c r="C161" s="1597">
        <f>C160*$B$83</f>
        <v>3348.4753912697556</v>
      </c>
      <c r="D161" s="1598"/>
      <c r="E161" s="1597">
        <f>E160*$B$83</f>
        <v>86267.055517204994</v>
      </c>
      <c r="F161" s="1599"/>
      <c r="G161" s="958">
        <f>SUM(G103:G159)</f>
        <v>0</v>
      </c>
      <c r="H161" s="958">
        <f t="shared" ref="H161:R161" si="12">SUM(H103:H159)</f>
        <v>0</v>
      </c>
      <c r="I161" s="958">
        <f t="shared" si="12"/>
        <v>0</v>
      </c>
      <c r="J161" s="958">
        <f t="shared" si="12"/>
        <v>0</v>
      </c>
      <c r="K161" s="958">
        <f t="shared" si="12"/>
        <v>0</v>
      </c>
      <c r="L161" s="958">
        <f t="shared" si="12"/>
        <v>40320.972850000006</v>
      </c>
      <c r="M161" s="958">
        <f t="shared" si="12"/>
        <v>166.69999999999962</v>
      </c>
      <c r="N161" s="958">
        <f t="shared" si="12"/>
        <v>10399.967789999999</v>
      </c>
      <c r="O161" s="958">
        <f t="shared" si="12"/>
        <v>31197.739202655848</v>
      </c>
      <c r="P161" s="958">
        <f t="shared" si="12"/>
        <v>5847.4033714322459</v>
      </c>
      <c r="Q161" s="958">
        <f t="shared" si="12"/>
        <v>3314.5763098988937</v>
      </c>
      <c r="R161" s="959">
        <f t="shared" si="12"/>
        <v>7894.4413850276333</v>
      </c>
    </row>
    <row r="162" spans="1:18">
      <c r="A162" s="1371"/>
      <c r="B162" s="1371"/>
      <c r="C162" s="1372"/>
      <c r="D162" s="1372"/>
      <c r="E162" s="1372"/>
      <c r="F162" s="1372"/>
      <c r="G162" s="1373"/>
      <c r="H162" s="1373"/>
      <c r="I162" s="1373"/>
      <c r="J162" s="1373"/>
      <c r="K162" s="1373"/>
      <c r="L162" s="1373"/>
      <c r="M162" s="1373"/>
      <c r="N162" s="1373"/>
      <c r="O162" s="1373"/>
      <c r="P162" s="1373"/>
      <c r="Q162" s="1373"/>
      <c r="R162" s="1373"/>
    </row>
    <row r="163" spans="1:18" ht="14.4">
      <c r="A163" s="1"/>
      <c r="B163" s="1360" t="s">
        <v>865</v>
      </c>
      <c r="C163" s="1360" t="s">
        <v>866</v>
      </c>
      <c r="I163"/>
      <c r="J163"/>
      <c r="M163" s="1382">
        <f>M88</f>
        <v>2020</v>
      </c>
      <c r="N163" s="1382">
        <v>2021</v>
      </c>
      <c r="O163" s="1382">
        <v>2022</v>
      </c>
      <c r="P163" s="1382">
        <v>2023</v>
      </c>
      <c r="Q163" s="1382">
        <v>2024</v>
      </c>
      <c r="R163" s="1382">
        <v>2025</v>
      </c>
    </row>
    <row r="164" spans="1:18" ht="14.4">
      <c r="A164" s="1" t="s">
        <v>867</v>
      </c>
      <c r="B164" s="1" t="s">
        <v>869</v>
      </c>
      <c r="C164" s="1" t="s">
        <v>860</v>
      </c>
      <c r="I164"/>
      <c r="J164"/>
      <c r="M164" s="1379">
        <v>1</v>
      </c>
      <c r="N164" s="1379">
        <v>1.02227</v>
      </c>
      <c r="O164" s="1379">
        <v>1.05023</v>
      </c>
      <c r="P164" s="1379">
        <v>1.07046</v>
      </c>
      <c r="Q164" s="1379">
        <v>1.0900300000000001</v>
      </c>
      <c r="R164" s="1380">
        <v>1.1101399999999999</v>
      </c>
    </row>
    <row r="165" spans="1:18" ht="14.4">
      <c r="A165" s="1" t="s">
        <v>868</v>
      </c>
      <c r="B165" s="1" t="s">
        <v>870</v>
      </c>
      <c r="C165" s="1" t="s">
        <v>860</v>
      </c>
      <c r="I165"/>
      <c r="J165"/>
      <c r="M165" s="1379">
        <v>1</v>
      </c>
      <c r="N165" s="1379">
        <v>1.0258822195007182</v>
      </c>
      <c r="O165" s="1379">
        <v>1.1022478848883697</v>
      </c>
      <c r="P165" s="1379">
        <v>1.1468002271149551</v>
      </c>
      <c r="Q165" s="1379">
        <v>1.1644046132259911</v>
      </c>
      <c r="R165" s="1380">
        <v>1.1862948685838548</v>
      </c>
    </row>
    <row r="166" spans="1:18" ht="14.4">
      <c r="I166"/>
      <c r="J166"/>
      <c r="K166" s="1"/>
      <c r="L166" s="1"/>
      <c r="N166" s="1374"/>
      <c r="O166" s="1374"/>
      <c r="P166" s="1374"/>
      <c r="Q166" s="1374"/>
      <c r="R166" s="1374"/>
    </row>
    <row r="167" spans="1:18" ht="14.4">
      <c r="A167" s="515" t="s">
        <v>802</v>
      </c>
      <c r="B167" s="1381" t="s">
        <v>380</v>
      </c>
      <c r="C167" s="1" t="s">
        <v>861</v>
      </c>
      <c r="I167"/>
      <c r="J167"/>
      <c r="K167" s="1"/>
      <c r="N167" s="1374"/>
      <c r="O167" s="1374"/>
      <c r="P167" s="850">
        <f>P161</f>
        <v>5847.4033714322459</v>
      </c>
      <c r="Q167" s="850">
        <f>Q161</f>
        <v>3314.5763098988937</v>
      </c>
      <c r="R167" s="850">
        <f>R161</f>
        <v>7894.4413850276333</v>
      </c>
    </row>
    <row r="168" spans="1:18" ht="14.4">
      <c r="A168" s="515" t="s">
        <v>802</v>
      </c>
      <c r="B168" s="1" t="s">
        <v>862</v>
      </c>
      <c r="C168" s="1" t="s">
        <v>863</v>
      </c>
      <c r="I168"/>
      <c r="J168"/>
      <c r="K168" s="1"/>
      <c r="N168" s="1374"/>
      <c r="O168" s="1374"/>
      <c r="P168" s="1376">
        <f>P167*($M$164/P164)</f>
        <v>5462.5145931956786</v>
      </c>
      <c r="Q168" s="1376">
        <f>Q167*($M$164/Q164)</f>
        <v>3040.8120050814141</v>
      </c>
      <c r="R168" s="1376">
        <f>R167*($M$164/R164)</f>
        <v>7111.2124462028523</v>
      </c>
    </row>
    <row r="169" spans="1:18" ht="14.4">
      <c r="A169" s="515" t="s">
        <v>802</v>
      </c>
      <c r="B169" s="1359" t="s">
        <v>864</v>
      </c>
      <c r="C169" s="1359" t="s">
        <v>861</v>
      </c>
      <c r="I169"/>
      <c r="J169"/>
      <c r="K169" s="1"/>
      <c r="N169" s="1374"/>
      <c r="O169" s="1374"/>
      <c r="P169" s="1383">
        <f>P168*(P165/$M$165)</f>
        <v>6264.4129760955611</v>
      </c>
      <c r="Q169" s="1383">
        <f>Q168*(Q165/$M$165)</f>
        <v>3540.7355266697746</v>
      </c>
      <c r="R169" s="1383">
        <f>R168*(R165/$M$165)</f>
        <v>8435.9948343400847</v>
      </c>
    </row>
    <row r="170" spans="1:18" ht="14.4">
      <c r="A170" s="515" t="s">
        <v>877</v>
      </c>
      <c r="B170" s="515" t="s">
        <v>878</v>
      </c>
      <c r="C170" s="1374" t="s">
        <v>876</v>
      </c>
      <c r="I170"/>
      <c r="J170"/>
      <c r="K170" s="1"/>
      <c r="N170" s="1374"/>
      <c r="P170" s="1375">
        <f>-'T2 ANSP'!F69</f>
        <v>5462.5367855259528</v>
      </c>
      <c r="Q170" s="1375">
        <f>-'T2 ANSP'!G69</f>
        <v>3040.8225124284572</v>
      </c>
      <c r="R170" s="1375">
        <f>-'T2 ANSP'!H69</f>
        <v>7111.2418160925463</v>
      </c>
    </row>
    <row r="171" spans="1:18" ht="14.4">
      <c r="I171"/>
      <c r="J171"/>
      <c r="K171" s="1"/>
    </row>
    <row r="172" spans="1:18" ht="14.4">
      <c r="A172" s="851" t="s">
        <v>818</v>
      </c>
      <c r="B172"/>
      <c r="C172"/>
      <c r="D172"/>
      <c r="E172"/>
      <c r="F172"/>
      <c r="G172"/>
      <c r="H172"/>
      <c r="I172"/>
      <c r="J172"/>
      <c r="K172"/>
      <c r="L172"/>
      <c r="M172" s="850"/>
      <c r="N172" s="850"/>
      <c r="O172" s="850"/>
      <c r="P172" s="850"/>
      <c r="Q172" s="850"/>
      <c r="R172"/>
    </row>
    <row r="173" spans="1:18" ht="14.4">
      <c r="A173" s="515" t="s">
        <v>819</v>
      </c>
      <c r="B173"/>
      <c r="C173"/>
      <c r="D173"/>
      <c r="E173"/>
      <c r="F173"/>
      <c r="G173"/>
      <c r="H173"/>
      <c r="I173"/>
      <c r="J173"/>
      <c r="K173"/>
      <c r="L173"/>
      <c r="M173" s="850"/>
      <c r="N173" s="850"/>
      <c r="O173" s="850"/>
      <c r="P173" s="850"/>
      <c r="Q173" s="850"/>
      <c r="R173"/>
    </row>
    <row r="174" spans="1:18" ht="14.4">
      <c r="A174" s="851"/>
      <c r="B174"/>
      <c r="C174"/>
      <c r="D174"/>
      <c r="E174"/>
      <c r="F174"/>
      <c r="G174"/>
      <c r="H174"/>
      <c r="I174"/>
      <c r="J174"/>
      <c r="K174"/>
      <c r="L174"/>
      <c r="M174" s="850"/>
      <c r="N174" s="850"/>
      <c r="O174" s="850"/>
      <c r="P174" s="850"/>
      <c r="Q174" s="850"/>
      <c r="R174"/>
    </row>
    <row r="175" spans="1:18" ht="14.4">
      <c r="A175" s="851" t="s">
        <v>820</v>
      </c>
      <c r="B175"/>
      <c r="C175"/>
      <c r="D175"/>
      <c r="E175"/>
      <c r="F175"/>
      <c r="G175"/>
      <c r="H175"/>
      <c r="I175"/>
      <c r="J175"/>
      <c r="K175"/>
      <c r="L175"/>
      <c r="M175" s="850"/>
      <c r="N175" s="850"/>
      <c r="O175" s="850"/>
      <c r="P175" s="850"/>
      <c r="Q175" s="850"/>
      <c r="R175"/>
    </row>
    <row r="176" spans="1:18" ht="14.4">
      <c r="A176" s="515" t="s">
        <v>821</v>
      </c>
      <c r="B176"/>
      <c r="C176"/>
      <c r="D176"/>
      <c r="E176"/>
      <c r="F176"/>
      <c r="G176"/>
      <c r="H176"/>
      <c r="I176"/>
      <c r="J176"/>
      <c r="K176"/>
      <c r="L176"/>
      <c r="M176" s="850"/>
      <c r="N176" s="850"/>
      <c r="O176" s="850"/>
      <c r="P176" s="850"/>
      <c r="Q176" s="850"/>
      <c r="R176"/>
    </row>
    <row r="177" spans="1:18" ht="14.4">
      <c r="A177" s="960" t="s">
        <v>822</v>
      </c>
      <c r="B177"/>
      <c r="C177"/>
      <c r="D177"/>
      <c r="E177"/>
      <c r="F177"/>
      <c r="G177"/>
      <c r="H177"/>
      <c r="I177"/>
      <c r="J177"/>
      <c r="K177"/>
      <c r="L177"/>
      <c r="M177" s="850"/>
      <c r="N177" s="850"/>
      <c r="O177" s="850"/>
      <c r="P177" s="850"/>
      <c r="Q177" s="850"/>
      <c r="R177"/>
    </row>
    <row r="178" spans="1:18" ht="14.4">
      <c r="A178" s="515" t="s">
        <v>823</v>
      </c>
      <c r="B178"/>
      <c r="C178"/>
      <c r="D178"/>
      <c r="E178"/>
      <c r="F178"/>
      <c r="G178"/>
      <c r="H178"/>
      <c r="I178"/>
      <c r="J178"/>
      <c r="K178"/>
      <c r="L178"/>
      <c r="M178"/>
      <c r="N178"/>
      <c r="O178"/>
      <c r="P178"/>
      <c r="Q178"/>
      <c r="R178"/>
    </row>
    <row r="179" spans="1:18" ht="14.4">
      <c r="A179" s="515" t="s">
        <v>824</v>
      </c>
      <c r="B179" s="852"/>
      <c r="C179"/>
      <c r="D179"/>
      <c r="E179"/>
      <c r="F179" s="833"/>
      <c r="G179" s="833"/>
      <c r="H179" s="834"/>
      <c r="I179" s="833"/>
      <c r="J179" s="833"/>
      <c r="K179" s="835"/>
      <c r="L179" s="836"/>
      <c r="M179" s="836"/>
      <c r="N179" s="836"/>
      <c r="O179" s="836"/>
      <c r="P179" s="836"/>
      <c r="Q179" s="836"/>
      <c r="R179" s="837"/>
    </row>
    <row r="180" spans="1:18" ht="14.4">
      <c r="A180" s="515" t="s">
        <v>825</v>
      </c>
      <c r="B180"/>
      <c r="C180"/>
      <c r="D180"/>
      <c r="E180"/>
      <c r="F180"/>
      <c r="G180"/>
      <c r="H180"/>
      <c r="I180"/>
      <c r="J180"/>
      <c r="K180"/>
      <c r="L180"/>
      <c r="M180"/>
      <c r="N180"/>
      <c r="O180"/>
      <c r="P180"/>
      <c r="Q180"/>
      <c r="R180"/>
    </row>
    <row r="181" spans="1:18" ht="14.4">
      <c r="A181" s="960" t="s">
        <v>826</v>
      </c>
      <c r="B181"/>
      <c r="C181"/>
      <c r="D181"/>
      <c r="E181"/>
      <c r="F181"/>
      <c r="G181"/>
      <c r="H181"/>
      <c r="I181"/>
      <c r="J181"/>
      <c r="K181"/>
      <c r="L181"/>
      <c r="M181"/>
      <c r="N181"/>
      <c r="O181"/>
      <c r="P181"/>
      <c r="Q181"/>
      <c r="R181"/>
    </row>
    <row r="182" spans="1:18" ht="14.4">
      <c r="A182" s="515" t="s">
        <v>827</v>
      </c>
      <c r="B182"/>
      <c r="C182"/>
      <c r="D182"/>
      <c r="E182"/>
      <c r="F182"/>
      <c r="G182"/>
      <c r="H182"/>
      <c r="I182"/>
      <c r="J182"/>
      <c r="K182"/>
      <c r="L182"/>
      <c r="M182"/>
      <c r="N182"/>
      <c r="O182"/>
      <c r="P182"/>
      <c r="Q182"/>
      <c r="R182"/>
    </row>
    <row r="183" spans="1:18" ht="14.4">
      <c r="A183" s="515" t="s">
        <v>828</v>
      </c>
      <c r="B183"/>
      <c r="C183"/>
      <c r="D183"/>
      <c r="E183"/>
      <c r="F183"/>
      <c r="G183"/>
      <c r="H183"/>
      <c r="I183"/>
      <c r="J183"/>
      <c r="K183"/>
      <c r="L183"/>
      <c r="M183"/>
      <c r="N183"/>
      <c r="O183"/>
      <c r="P183"/>
      <c r="Q183"/>
      <c r="R183"/>
    </row>
    <row r="184" spans="1:18" ht="14.4">
      <c r="A184" s="515" t="s">
        <v>829</v>
      </c>
      <c r="B184"/>
      <c r="C184"/>
      <c r="D184"/>
      <c r="E184"/>
      <c r="F184"/>
      <c r="G184"/>
      <c r="H184"/>
      <c r="I184"/>
      <c r="J184"/>
      <c r="K184"/>
      <c r="L184"/>
      <c r="M184"/>
      <c r="N184"/>
      <c r="O184"/>
      <c r="P184"/>
      <c r="Q184"/>
      <c r="R184"/>
    </row>
    <row r="185" spans="1:18" ht="14.4">
      <c r="A185" s="515" t="s">
        <v>830</v>
      </c>
      <c r="B185"/>
      <c r="C185"/>
      <c r="D185"/>
      <c r="E185"/>
      <c r="F185"/>
      <c r="G185"/>
      <c r="H185"/>
      <c r="I185"/>
      <c r="J185"/>
      <c r="K185"/>
      <c r="L185"/>
      <c r="M185"/>
      <c r="N185"/>
      <c r="O185"/>
      <c r="P185"/>
      <c r="Q185"/>
      <c r="R185"/>
    </row>
    <row r="186" spans="1:18" ht="14.4">
      <c r="B186"/>
      <c r="C186"/>
      <c r="D186"/>
      <c r="E186"/>
      <c r="F186"/>
      <c r="G186"/>
      <c r="H186"/>
      <c r="I186"/>
      <c r="J186"/>
      <c r="K186"/>
      <c r="L186"/>
      <c r="M186"/>
      <c r="N186"/>
      <c r="O186"/>
      <c r="P186"/>
      <c r="Q186"/>
      <c r="R186"/>
    </row>
    <row r="187" spans="1:18" ht="14.4">
      <c r="B187"/>
      <c r="C187"/>
      <c r="D187"/>
      <c r="E187"/>
      <c r="F187"/>
      <c r="G187"/>
      <c r="H187"/>
      <c r="I187"/>
      <c r="J187"/>
      <c r="K187"/>
      <c r="L187"/>
      <c r="M187"/>
      <c r="N187"/>
      <c r="O187"/>
      <c r="P187"/>
      <c r="Q187"/>
      <c r="R187"/>
    </row>
    <row r="188" spans="1:18" ht="14.4">
      <c r="B188"/>
      <c r="C188"/>
      <c r="D188"/>
      <c r="E188"/>
      <c r="F188"/>
      <c r="G188"/>
      <c r="H188"/>
      <c r="I188"/>
      <c r="J188"/>
      <c r="K188"/>
      <c r="L188"/>
      <c r="M188"/>
      <c r="N188"/>
      <c r="O188"/>
      <c r="P188"/>
      <c r="Q188"/>
      <c r="R188"/>
    </row>
  </sheetData>
  <mergeCells count="92">
    <mergeCell ref="A160:B160"/>
    <mergeCell ref="C160:D160"/>
    <mergeCell ref="E160:F160"/>
    <mergeCell ref="A161:B161"/>
    <mergeCell ref="C161:D161"/>
    <mergeCell ref="E161:F161"/>
    <mergeCell ref="C130:D130"/>
    <mergeCell ref="E130:F130"/>
    <mergeCell ref="C134:D134"/>
    <mergeCell ref="E134:F134"/>
    <mergeCell ref="C138:D138"/>
    <mergeCell ref="E138:F138"/>
    <mergeCell ref="C127:D127"/>
    <mergeCell ref="E127:F127"/>
    <mergeCell ref="C128:D128"/>
    <mergeCell ref="E128:F128"/>
    <mergeCell ref="C129:D129"/>
    <mergeCell ref="E129:F129"/>
    <mergeCell ref="C121:D121"/>
    <mergeCell ref="E121:F121"/>
    <mergeCell ref="C122:D122"/>
    <mergeCell ref="E122:F122"/>
    <mergeCell ref="C123:D123"/>
    <mergeCell ref="E123:F123"/>
    <mergeCell ref="C118:D118"/>
    <mergeCell ref="E118:F118"/>
    <mergeCell ref="C119:D119"/>
    <mergeCell ref="E119:F119"/>
    <mergeCell ref="C120:D120"/>
    <mergeCell ref="E120:F120"/>
    <mergeCell ref="C115:D115"/>
    <mergeCell ref="E115:F115"/>
    <mergeCell ref="C116:D116"/>
    <mergeCell ref="E116:F116"/>
    <mergeCell ref="C117:D117"/>
    <mergeCell ref="E117:F117"/>
    <mergeCell ref="C112:D112"/>
    <mergeCell ref="E112:F112"/>
    <mergeCell ref="C113:D113"/>
    <mergeCell ref="E113:F113"/>
    <mergeCell ref="C114:D114"/>
    <mergeCell ref="E114:F114"/>
    <mergeCell ref="C109:D109"/>
    <mergeCell ref="E109:F109"/>
    <mergeCell ref="C110:D110"/>
    <mergeCell ref="E110:F110"/>
    <mergeCell ref="C111:D111"/>
    <mergeCell ref="E111:F111"/>
    <mergeCell ref="C101:D101"/>
    <mergeCell ref="E101:F101"/>
    <mergeCell ref="C107:D107"/>
    <mergeCell ref="E107:F107"/>
    <mergeCell ref="C108:D108"/>
    <mergeCell ref="E108:F108"/>
    <mergeCell ref="C98:D98"/>
    <mergeCell ref="E98:F98"/>
    <mergeCell ref="C99:D99"/>
    <mergeCell ref="E99:F99"/>
    <mergeCell ref="C100:D100"/>
    <mergeCell ref="E100:F100"/>
    <mergeCell ref="C95:D95"/>
    <mergeCell ref="E95:F95"/>
    <mergeCell ref="C96:D96"/>
    <mergeCell ref="E96:F96"/>
    <mergeCell ref="C97:D97"/>
    <mergeCell ref="E97:F97"/>
    <mergeCell ref="C92:D92"/>
    <mergeCell ref="E92:F92"/>
    <mergeCell ref="C93:D93"/>
    <mergeCell ref="E93:F93"/>
    <mergeCell ref="C94:D94"/>
    <mergeCell ref="E94:F94"/>
    <mergeCell ref="G87:R87"/>
    <mergeCell ref="C89:D89"/>
    <mergeCell ref="E89:F89"/>
    <mergeCell ref="C90:D90"/>
    <mergeCell ref="E90:F90"/>
    <mergeCell ref="C91:D91"/>
    <mergeCell ref="E91:F91"/>
    <mergeCell ref="A80:B80"/>
    <mergeCell ref="A81:B81"/>
    <mergeCell ref="A87:A88"/>
    <mergeCell ref="B87:B88"/>
    <mergeCell ref="C87:D88"/>
    <mergeCell ref="E87:F88"/>
    <mergeCell ref="A1:R1"/>
    <mergeCell ref="A6:A7"/>
    <mergeCell ref="B6:B7"/>
    <mergeCell ref="C6:D6"/>
    <mergeCell ref="E6:F6"/>
    <mergeCell ref="G6:G7"/>
    <mergeCell ref="H6:R6"/>
  </mergeCells>
  <pageMargins left="0.7" right="0.7" top="0.75" bottom="0.75" header="0.3" footer="0.3"/>
  <pageSetup paperSize="9" scale="21" orientation="landscape" r:id="rId1"/>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Y178"/>
  <sheetViews>
    <sheetView workbookViewId="0">
      <pane xSplit="3" ySplit="7" topLeftCell="D145" activePane="bottomRight" state="frozen"/>
      <selection pane="topRight" activeCell="D1" sqref="D1"/>
      <selection pane="bottomLeft" activeCell="A8" sqref="A8"/>
      <selection pane="bottomRight" activeCell="D121" sqref="D121"/>
    </sheetView>
  </sheetViews>
  <sheetFormatPr defaultColWidth="12.5546875" defaultRowHeight="14.4"/>
  <cols>
    <col min="1" max="1" width="12.5546875" style="454" customWidth="1"/>
    <col min="2" max="2" width="2.33203125" style="385" customWidth="1"/>
    <col min="3" max="3" width="52.5546875" style="385" customWidth="1"/>
    <col min="4" max="4" width="7.6640625" style="385" customWidth="1"/>
    <col min="5" max="5" width="10" style="385" customWidth="1"/>
    <col min="6" max="6" width="10" style="218" customWidth="1"/>
    <col min="7" max="9" width="10" style="385" customWidth="1"/>
    <col min="10" max="10" width="10.6640625" style="385" customWidth="1"/>
    <col min="11" max="11" width="3.44140625" style="385" customWidth="1"/>
    <col min="12" max="12" width="13.5546875" style="385" customWidth="1"/>
    <col min="13" max="14" width="9" style="385" customWidth="1"/>
    <col min="15" max="15" width="7.6640625" style="385" customWidth="1"/>
    <col min="16" max="16" width="8.44140625" style="385" bestFit="1" customWidth="1"/>
    <col min="17" max="17" width="7.6640625" style="385" customWidth="1"/>
    <col min="18" max="18" width="16.44140625" style="385" customWidth="1"/>
    <col min="19" max="26" width="7.6640625" style="385" customWidth="1"/>
    <col min="27" max="16384" width="12.5546875" style="385"/>
  </cols>
  <sheetData>
    <row r="1" spans="1:25" ht="12" customHeight="1">
      <c r="C1" s="1568" t="s">
        <v>456</v>
      </c>
      <c r="D1" s="1568"/>
      <c r="E1" s="1568"/>
      <c r="F1" s="1568"/>
      <c r="G1" s="1568"/>
      <c r="H1" s="1568"/>
      <c r="I1" s="1568"/>
      <c r="J1" s="1568"/>
      <c r="K1" s="386"/>
      <c r="L1" s="386"/>
      <c r="M1" s="386"/>
      <c r="N1" s="386"/>
      <c r="O1" s="386"/>
      <c r="P1" s="386"/>
      <c r="Q1" s="386"/>
      <c r="R1" s="386"/>
      <c r="S1" s="386"/>
      <c r="T1" s="386"/>
      <c r="U1" s="386"/>
      <c r="V1" s="386"/>
      <c r="W1" s="386"/>
      <c r="X1" s="386"/>
      <c r="Y1" s="386"/>
    </row>
    <row r="2" spans="1:25" ht="12" customHeight="1">
      <c r="C2" s="781" t="s">
        <v>714</v>
      </c>
      <c r="D2" s="387"/>
      <c r="E2" s="387"/>
      <c r="G2" s="387"/>
      <c r="H2" s="387"/>
      <c r="I2" s="387"/>
      <c r="J2" s="387"/>
      <c r="K2" s="387"/>
    </row>
    <row r="3" spans="1:25" ht="12" customHeight="1">
      <c r="C3" s="674" t="str">
        <f>'T2 NSA'!A3</f>
        <v>United Kingdom</v>
      </c>
      <c r="D3" s="387"/>
      <c r="E3" s="387"/>
      <c r="G3" s="387"/>
      <c r="H3" s="387"/>
      <c r="I3" s="387"/>
      <c r="J3" s="387"/>
      <c r="K3" s="387"/>
    </row>
    <row r="4" spans="1:25" ht="12" customHeight="1">
      <c r="C4" s="83" t="str">
        <f>'T2 NSA'!A4</f>
        <v>Currency : GBP £</v>
      </c>
      <c r="D4" s="387"/>
      <c r="E4" s="387"/>
      <c r="G4" s="387"/>
      <c r="H4" s="387"/>
      <c r="I4" s="387"/>
      <c r="J4" s="387"/>
      <c r="K4" s="387"/>
    </row>
    <row r="5" spans="1:25" ht="12" customHeight="1">
      <c r="C5" s="146" t="str">
        <f>'T2 NSA'!A5</f>
        <v>UK CAA + DfT Eurocontrol</v>
      </c>
      <c r="D5" s="387"/>
      <c r="E5" s="389"/>
      <c r="G5" s="389"/>
      <c r="H5" s="387"/>
      <c r="I5" s="387"/>
      <c r="J5" s="387"/>
      <c r="K5" s="387"/>
    </row>
    <row r="6" spans="1:25" ht="12" customHeight="1">
      <c r="C6" s="389"/>
      <c r="D6" s="389"/>
      <c r="E6" s="389"/>
      <c r="F6" s="389"/>
      <c r="G6" s="389"/>
      <c r="H6" s="389"/>
      <c r="I6" s="389"/>
      <c r="J6" s="389"/>
      <c r="K6" s="389"/>
    </row>
    <row r="7" spans="1:25" ht="12" customHeight="1">
      <c r="A7" s="454" t="s">
        <v>457</v>
      </c>
      <c r="C7" s="390" t="s">
        <v>458</v>
      </c>
      <c r="D7" s="391" t="s">
        <v>459</v>
      </c>
      <c r="E7" s="392">
        <v>2020</v>
      </c>
      <c r="F7" s="393">
        <v>2021</v>
      </c>
      <c r="G7" s="393">
        <v>2022</v>
      </c>
      <c r="H7" s="393">
        <v>2023</v>
      </c>
      <c r="I7" s="394">
        <v>2024</v>
      </c>
      <c r="J7" s="390" t="s">
        <v>460</v>
      </c>
      <c r="K7" s="387"/>
    </row>
    <row r="8" spans="1:25" ht="11.7" customHeight="1">
      <c r="C8" s="396"/>
      <c r="D8" s="396"/>
      <c r="E8" s="396"/>
      <c r="F8" s="396"/>
      <c r="G8" s="396"/>
      <c r="H8" s="396"/>
      <c r="I8" s="396"/>
      <c r="J8" s="396"/>
      <c r="K8" s="387"/>
    </row>
    <row r="9" spans="1:25" ht="12" customHeight="1">
      <c r="A9" s="454">
        <v>2018</v>
      </c>
      <c r="C9" s="397" t="s">
        <v>461</v>
      </c>
      <c r="D9" s="501">
        <v>-1452.8342198263231</v>
      </c>
      <c r="E9" s="399">
        <v>-1453</v>
      </c>
      <c r="F9" s="400"/>
      <c r="G9" s="401"/>
      <c r="H9" s="401"/>
      <c r="I9" s="475"/>
      <c r="J9" s="403"/>
      <c r="L9" s="385" t="s">
        <v>719</v>
      </c>
    </row>
    <row r="10" spans="1:25" ht="12" customHeight="1">
      <c r="A10" s="454">
        <v>2019</v>
      </c>
      <c r="C10" s="405" t="s">
        <v>462</v>
      </c>
      <c r="D10" s="476">
        <v>-1608.5000588783619</v>
      </c>
      <c r="E10" s="407"/>
      <c r="F10" s="408">
        <f>D10</f>
        <v>-1608.5000588783619</v>
      </c>
      <c r="G10" s="409"/>
      <c r="H10" s="409"/>
      <c r="I10" s="410"/>
      <c r="J10" s="411"/>
      <c r="L10" s="385" t="s">
        <v>720</v>
      </c>
    </row>
    <row r="11" spans="1:25" ht="12" customHeight="1">
      <c r="A11" s="454" t="s">
        <v>463</v>
      </c>
      <c r="C11" s="412" t="s">
        <v>464</v>
      </c>
      <c r="D11" s="413">
        <f>SUM(D9:D10)</f>
        <v>-3061.3342787046849</v>
      </c>
      <c r="E11" s="413">
        <f t="shared" ref="E11:F11" si="0">SUM(E9:E10)</f>
        <v>-1453</v>
      </c>
      <c r="F11" s="413">
        <f t="shared" si="0"/>
        <v>-1608.5000588783619</v>
      </c>
      <c r="G11" s="538"/>
      <c r="H11" s="538"/>
      <c r="I11" s="538"/>
      <c r="J11" s="538"/>
    </row>
    <row r="12" spans="1:25" ht="12" customHeight="1">
      <c r="A12" s="454">
        <v>2020</v>
      </c>
      <c r="C12" s="397" t="s">
        <v>465</v>
      </c>
      <c r="D12" s="403"/>
      <c r="E12" s="455"/>
      <c r="F12" s="401"/>
      <c r="G12" s="401"/>
      <c r="H12" s="401"/>
      <c r="I12" s="475"/>
      <c r="J12" s="403"/>
    </row>
    <row r="13" spans="1:25" ht="12" customHeight="1">
      <c r="A13" s="454">
        <v>2021</v>
      </c>
      <c r="C13" s="405" t="s">
        <v>466</v>
      </c>
      <c r="D13" s="411"/>
      <c r="E13" s="456"/>
      <c r="F13" s="409"/>
      <c r="G13" s="409"/>
      <c r="H13" s="409"/>
      <c r="I13" s="410"/>
      <c r="J13" s="411"/>
    </row>
    <row r="14" spans="1:25" ht="12" customHeight="1">
      <c r="A14" s="454">
        <v>2022</v>
      </c>
      <c r="C14" s="405" t="s">
        <v>467</v>
      </c>
      <c r="D14" s="411"/>
      <c r="E14" s="456"/>
      <c r="F14" s="409"/>
      <c r="G14" s="409"/>
      <c r="H14" s="409"/>
      <c r="I14" s="477"/>
      <c r="J14" s="411"/>
    </row>
    <row r="15" spans="1:25" ht="12" customHeight="1">
      <c r="A15" s="454">
        <v>2023</v>
      </c>
      <c r="C15" s="405" t="s">
        <v>470</v>
      </c>
      <c r="D15" s="411"/>
      <c r="E15" s="456"/>
      <c r="F15" s="409"/>
      <c r="G15" s="409"/>
      <c r="H15" s="409"/>
      <c r="I15" s="477"/>
      <c r="J15" s="411"/>
    </row>
    <row r="16" spans="1:25" ht="12" customHeight="1">
      <c r="A16" s="454">
        <v>2024</v>
      </c>
      <c r="C16" s="425" t="s">
        <v>471</v>
      </c>
      <c r="D16" s="411"/>
      <c r="E16" s="459"/>
      <c r="F16" s="460"/>
      <c r="G16" s="460"/>
      <c r="H16" s="460"/>
      <c r="I16" s="498"/>
      <c r="J16" s="467"/>
    </row>
    <row r="17" spans="1:10" ht="12" customHeight="1">
      <c r="A17" s="454" t="s">
        <v>475</v>
      </c>
      <c r="C17" s="430" t="s">
        <v>476</v>
      </c>
      <c r="D17" s="431">
        <f>SUM(D11:D16)</f>
        <v>-3061.3342787046849</v>
      </c>
      <c r="E17" s="479">
        <f t="shared" ref="E17:J17" si="1">SUM(E11:E16)</f>
        <v>-1453</v>
      </c>
      <c r="F17" s="433">
        <f t="shared" si="1"/>
        <v>-1608.5000588783619</v>
      </c>
      <c r="G17" s="433">
        <f t="shared" si="1"/>
        <v>0</v>
      </c>
      <c r="H17" s="433">
        <f t="shared" si="1"/>
        <v>0</v>
      </c>
      <c r="I17" s="480">
        <f t="shared" si="1"/>
        <v>0</v>
      </c>
      <c r="J17" s="431">
        <f t="shared" si="1"/>
        <v>0</v>
      </c>
    </row>
    <row r="18" spans="1:10" ht="4.2" customHeight="1">
      <c r="A18" s="748"/>
      <c r="C18" s="481"/>
      <c r="D18" s="482"/>
      <c r="E18" s="483"/>
      <c r="F18" s="483"/>
      <c r="G18" s="483"/>
      <c r="H18" s="483"/>
      <c r="I18" s="483"/>
      <c r="J18" s="483"/>
    </row>
    <row r="19" spans="1:10" ht="12.6" customHeight="1">
      <c r="A19" s="454">
        <v>2017</v>
      </c>
      <c r="C19" s="397" t="s">
        <v>477</v>
      </c>
      <c r="D19" s="530"/>
      <c r="E19" s="505"/>
      <c r="F19" s="506"/>
      <c r="G19" s="506"/>
      <c r="H19" s="506"/>
      <c r="I19" s="531"/>
      <c r="J19" s="403"/>
    </row>
    <row r="20" spans="1:10" ht="12" customHeight="1">
      <c r="A20" s="454">
        <v>2018</v>
      </c>
      <c r="C20" s="405" t="s">
        <v>478</v>
      </c>
      <c r="D20" s="532"/>
      <c r="E20" s="507"/>
      <c r="F20" s="508"/>
      <c r="G20" s="508"/>
      <c r="H20" s="508"/>
      <c r="I20" s="509"/>
      <c r="J20" s="411"/>
    </row>
    <row r="21" spans="1:10" ht="12" customHeight="1">
      <c r="A21" s="454">
        <v>2019</v>
      </c>
      <c r="C21" s="425" t="s">
        <v>479</v>
      </c>
      <c r="D21" s="532"/>
      <c r="E21" s="456"/>
      <c r="F21" s="508"/>
      <c r="G21" s="508"/>
      <c r="H21" s="508"/>
      <c r="I21" s="509"/>
      <c r="J21" s="411"/>
    </row>
    <row r="22" spans="1:10" s="539" customFormat="1" ht="12" customHeight="1">
      <c r="A22" s="454" t="s">
        <v>463</v>
      </c>
      <c r="C22" s="412" t="s">
        <v>480</v>
      </c>
      <c r="D22" s="418"/>
      <c r="E22" s="418"/>
      <c r="F22" s="418"/>
      <c r="G22" s="418"/>
      <c r="H22" s="418"/>
      <c r="I22" s="418"/>
      <c r="J22" s="418"/>
    </row>
    <row r="23" spans="1:10" ht="12" customHeight="1">
      <c r="A23" s="454">
        <v>2020</v>
      </c>
      <c r="C23" s="405" t="s">
        <v>481</v>
      </c>
      <c r="D23" s="403"/>
      <c r="E23" s="455"/>
      <c r="F23" s="401"/>
      <c r="G23" s="401"/>
      <c r="H23" s="401"/>
      <c r="I23" s="475"/>
      <c r="J23" s="403"/>
    </row>
    <row r="24" spans="1:10" ht="12" customHeight="1">
      <c r="A24" s="454">
        <v>2021</v>
      </c>
      <c r="C24" s="405" t="s">
        <v>482</v>
      </c>
      <c r="D24" s="411"/>
      <c r="E24" s="456"/>
      <c r="F24" s="409"/>
      <c r="G24" s="409"/>
      <c r="H24" s="409"/>
      <c r="I24" s="410"/>
      <c r="J24" s="411"/>
    </row>
    <row r="25" spans="1:10" ht="12" customHeight="1">
      <c r="A25" s="454">
        <v>2022</v>
      </c>
      <c r="C25" s="405" t="s">
        <v>483</v>
      </c>
      <c r="D25" s="411"/>
      <c r="E25" s="456"/>
      <c r="F25" s="409"/>
      <c r="G25" s="409"/>
      <c r="H25" s="409"/>
      <c r="I25" s="477"/>
      <c r="J25" s="411"/>
    </row>
    <row r="26" spans="1:10" ht="12" customHeight="1">
      <c r="A26" s="454">
        <v>2023</v>
      </c>
      <c r="C26" s="405" t="s">
        <v>485</v>
      </c>
      <c r="D26" s="411"/>
      <c r="E26" s="456"/>
      <c r="F26" s="409"/>
      <c r="G26" s="409"/>
      <c r="H26" s="409"/>
      <c r="I26" s="477"/>
      <c r="J26" s="411"/>
    </row>
    <row r="27" spans="1:10" ht="12" customHeight="1">
      <c r="A27" s="454">
        <v>2024</v>
      </c>
      <c r="C27" s="425" t="s">
        <v>486</v>
      </c>
      <c r="D27" s="411"/>
      <c r="E27" s="459"/>
      <c r="F27" s="460"/>
      <c r="G27" s="460"/>
      <c r="H27" s="460"/>
      <c r="I27" s="498"/>
      <c r="J27" s="467"/>
    </row>
    <row r="28" spans="1:10" ht="12" customHeight="1">
      <c r="A28" s="454" t="s">
        <v>475</v>
      </c>
      <c r="C28" s="430" t="s">
        <v>490</v>
      </c>
      <c r="D28" s="499"/>
      <c r="E28" s="493"/>
      <c r="F28" s="494"/>
      <c r="G28" s="494"/>
      <c r="H28" s="494"/>
      <c r="I28" s="500"/>
      <c r="J28" s="499"/>
    </row>
    <row r="29" spans="1:10" ht="4.2" customHeight="1">
      <c r="A29" s="748"/>
      <c r="C29" s="481"/>
      <c r="D29" s="481"/>
      <c r="E29" s="446"/>
      <c r="F29" s="446"/>
      <c r="G29" s="446"/>
      <c r="H29" s="446"/>
      <c r="I29" s="446"/>
      <c r="J29" s="446"/>
    </row>
    <row r="30" spans="1:10" ht="12" customHeight="1">
      <c r="A30" s="454">
        <v>2020</v>
      </c>
      <c r="C30" s="397" t="s">
        <v>491</v>
      </c>
      <c r="D30" s="495"/>
      <c r="E30" s="455"/>
      <c r="F30" s="401"/>
      <c r="G30" s="506"/>
      <c r="H30" s="401"/>
      <c r="I30" s="475"/>
      <c r="J30" s="403"/>
    </row>
    <row r="31" spans="1:10" ht="12" customHeight="1">
      <c r="A31" s="454">
        <v>2021</v>
      </c>
      <c r="C31" s="405" t="s">
        <v>492</v>
      </c>
      <c r="D31" s="496"/>
      <c r="E31" s="456"/>
      <c r="F31" s="409"/>
      <c r="G31" s="409"/>
      <c r="H31" s="508"/>
      <c r="I31" s="410"/>
      <c r="J31" s="411"/>
    </row>
    <row r="32" spans="1:10" ht="12" customHeight="1">
      <c r="A32" s="454">
        <v>2022</v>
      </c>
      <c r="C32" s="405" t="s">
        <v>493</v>
      </c>
      <c r="D32" s="496"/>
      <c r="E32" s="456"/>
      <c r="F32" s="409"/>
      <c r="G32" s="409"/>
      <c r="H32" s="409"/>
      <c r="I32" s="509"/>
      <c r="J32" s="411"/>
    </row>
    <row r="33" spans="1:12" ht="12" customHeight="1">
      <c r="A33" s="454">
        <v>2023</v>
      </c>
      <c r="C33" s="405" t="s">
        <v>495</v>
      </c>
      <c r="D33" s="496"/>
      <c r="E33" s="456"/>
      <c r="F33" s="409"/>
      <c r="G33" s="409"/>
      <c r="H33" s="409"/>
      <c r="I33" s="477"/>
      <c r="J33" s="411"/>
    </row>
    <row r="34" spans="1:12" ht="12" customHeight="1">
      <c r="A34" s="454">
        <v>2024</v>
      </c>
      <c r="C34" s="425" t="s">
        <v>496</v>
      </c>
      <c r="D34" s="497"/>
      <c r="E34" s="459"/>
      <c r="F34" s="460"/>
      <c r="G34" s="460"/>
      <c r="H34" s="460"/>
      <c r="I34" s="498"/>
      <c r="J34" s="467"/>
    </row>
    <row r="35" spans="1:12" ht="12" customHeight="1">
      <c r="A35" s="454" t="s">
        <v>475</v>
      </c>
      <c r="C35" s="430" t="s">
        <v>500</v>
      </c>
      <c r="D35" s="499"/>
      <c r="E35" s="493"/>
      <c r="F35" s="494"/>
      <c r="G35" s="494"/>
      <c r="H35" s="494"/>
      <c r="I35" s="500"/>
      <c r="J35" s="499"/>
    </row>
    <row r="36" spans="1:12" ht="4.2" customHeight="1">
      <c r="A36" s="748"/>
      <c r="C36" s="481"/>
      <c r="D36" s="481"/>
      <c r="E36" s="446"/>
      <c r="F36" s="446"/>
      <c r="G36" s="446"/>
      <c r="H36" s="446"/>
      <c r="I36" s="446"/>
      <c r="J36" s="446"/>
    </row>
    <row r="37" spans="1:12" ht="12" customHeight="1">
      <c r="A37" s="454">
        <v>2020</v>
      </c>
      <c r="C37" s="397" t="s">
        <v>501</v>
      </c>
      <c r="D37" s="442">
        <f>'T2 NSA'!C23</f>
        <v>-3711.3231999999698</v>
      </c>
      <c r="E37" s="419"/>
      <c r="F37" s="400"/>
      <c r="G37" s="420">
        <f>D37</f>
        <v>-3711.3231999999698</v>
      </c>
      <c r="H37" s="401"/>
      <c r="I37" s="475"/>
      <c r="J37" s="403"/>
    </row>
    <row r="38" spans="1:12" ht="12" customHeight="1">
      <c r="A38" s="454">
        <v>2021</v>
      </c>
      <c r="C38" s="405" t="s">
        <v>502</v>
      </c>
      <c r="D38" s="443">
        <f>'T2 NSA'!D23</f>
        <v>0.26560000000608852</v>
      </c>
      <c r="E38" s="407"/>
      <c r="F38" s="421"/>
      <c r="G38" s="409"/>
      <c r="H38" s="422">
        <f>D38</f>
        <v>0.26560000000608852</v>
      </c>
      <c r="I38" s="410"/>
      <c r="J38" s="411"/>
    </row>
    <row r="39" spans="1:12" ht="12" customHeight="1">
      <c r="A39" s="454">
        <v>2022</v>
      </c>
      <c r="C39" s="405" t="s">
        <v>503</v>
      </c>
      <c r="D39" s="443">
        <f>'T2 NSA'!E23</f>
        <v>-85.705767720006406</v>
      </c>
      <c r="E39" s="407"/>
      <c r="F39" s="421"/>
      <c r="G39" s="409"/>
      <c r="H39" s="409"/>
      <c r="I39" s="423">
        <f>D39</f>
        <v>-85.705767720006406</v>
      </c>
      <c r="J39" s="411"/>
    </row>
    <row r="40" spans="1:12" ht="12" customHeight="1">
      <c r="A40" s="454">
        <v>2023</v>
      </c>
      <c r="C40" s="405" t="s">
        <v>505</v>
      </c>
      <c r="D40" s="443">
        <f>'T2 NSA'!F23</f>
        <v>0</v>
      </c>
      <c r="E40" s="407"/>
      <c r="F40" s="421"/>
      <c r="G40" s="409"/>
      <c r="H40" s="409"/>
      <c r="I40" s="477"/>
      <c r="J40" s="424">
        <f>D40</f>
        <v>0</v>
      </c>
      <c r="L40" s="221"/>
    </row>
    <row r="41" spans="1:12" ht="12" customHeight="1">
      <c r="A41" s="454">
        <v>2024</v>
      </c>
      <c r="C41" s="425" t="s">
        <v>506</v>
      </c>
      <c r="D41" s="444">
        <f>'T2 NSA'!G23</f>
        <v>0</v>
      </c>
      <c r="E41" s="427"/>
      <c r="F41" s="428"/>
      <c r="G41" s="428"/>
      <c r="H41" s="428"/>
      <c r="I41" s="478"/>
      <c r="J41" s="429">
        <f>D41</f>
        <v>0</v>
      </c>
    </row>
    <row r="42" spans="1:12" ht="12" customHeight="1">
      <c r="A42" s="454" t="s">
        <v>475</v>
      </c>
      <c r="C42" s="430" t="s">
        <v>510</v>
      </c>
      <c r="D42" s="431">
        <f>SUM(D37:D41)</f>
        <v>-3796.7633677199701</v>
      </c>
      <c r="E42" s="493"/>
      <c r="F42" s="494"/>
      <c r="G42" s="433">
        <f t="shared" ref="G42:J42" si="2">SUM(G37:G41)</f>
        <v>-3711.3231999999698</v>
      </c>
      <c r="H42" s="433">
        <f t="shared" si="2"/>
        <v>0.26560000000608852</v>
      </c>
      <c r="I42" s="480">
        <f t="shared" si="2"/>
        <v>-85.705767720006406</v>
      </c>
      <c r="J42" s="431">
        <f t="shared" si="2"/>
        <v>0</v>
      </c>
    </row>
    <row r="43" spans="1:12" ht="4.95" customHeight="1">
      <c r="A43" s="748"/>
      <c r="C43" s="481"/>
      <c r="D43" s="481"/>
      <c r="E43" s="446"/>
      <c r="F43" s="446"/>
      <c r="G43" s="446"/>
      <c r="H43" s="446"/>
      <c r="I43" s="446"/>
      <c r="J43" s="446"/>
    </row>
    <row r="44" spans="1:12" ht="12" customHeight="1">
      <c r="A44" s="454">
        <v>2020</v>
      </c>
      <c r="C44" s="397" t="s">
        <v>511</v>
      </c>
      <c r="D44" s="442">
        <f>'T2 NSA'!C24</f>
        <v>-3808.3130923808203</v>
      </c>
      <c r="E44" s="419"/>
      <c r="F44" s="400"/>
      <c r="G44" s="420">
        <f>D44</f>
        <v>-3808.3130923808203</v>
      </c>
      <c r="H44" s="401"/>
      <c r="I44" s="475"/>
      <c r="J44" s="403"/>
    </row>
    <row r="45" spans="1:12" ht="12" customHeight="1">
      <c r="A45" s="454">
        <v>2021</v>
      </c>
      <c r="C45" s="405" t="s">
        <v>512</v>
      </c>
      <c r="D45" s="443">
        <f>'T2 NSA'!D24</f>
        <v>-6609.2647955020075</v>
      </c>
      <c r="E45" s="407"/>
      <c r="F45" s="421"/>
      <c r="G45" s="409"/>
      <c r="H45" s="422">
        <f>D45</f>
        <v>-6609.2647955020075</v>
      </c>
      <c r="I45" s="410"/>
      <c r="J45" s="411"/>
      <c r="L45" s="309"/>
    </row>
    <row r="46" spans="1:12" ht="12" customHeight="1">
      <c r="A46" s="454">
        <v>2022</v>
      </c>
      <c r="C46" s="405" t="s">
        <v>513</v>
      </c>
      <c r="D46" s="443">
        <f>'T2 NSA'!E24</f>
        <v>2137.4447000479995</v>
      </c>
      <c r="E46" s="407"/>
      <c r="F46" s="421"/>
      <c r="G46" s="409"/>
      <c r="H46" s="409"/>
      <c r="I46" s="529">
        <f>D46</f>
        <v>2137.4447000479995</v>
      </c>
      <c r="J46" s="411"/>
    </row>
    <row r="47" spans="1:12" ht="12" customHeight="1">
      <c r="A47" s="454">
        <v>2023</v>
      </c>
      <c r="C47" s="405" t="s">
        <v>515</v>
      </c>
      <c r="D47" s="443">
        <f>'T2 NSA'!F24</f>
        <v>0</v>
      </c>
      <c r="E47" s="407"/>
      <c r="F47" s="421"/>
      <c r="G47" s="409"/>
      <c r="H47" s="409"/>
      <c r="I47" s="477"/>
      <c r="J47" s="424">
        <f>D47</f>
        <v>0</v>
      </c>
    </row>
    <row r="48" spans="1:12" ht="12" customHeight="1">
      <c r="A48" s="454">
        <v>2024</v>
      </c>
      <c r="C48" s="425" t="s">
        <v>516</v>
      </c>
      <c r="D48" s="444">
        <f>'T2 NSA'!G24</f>
        <v>0</v>
      </c>
      <c r="E48" s="427"/>
      <c r="F48" s="428"/>
      <c r="G48" s="428"/>
      <c r="H48" s="428"/>
      <c r="I48" s="478"/>
      <c r="J48" s="429">
        <f>D48</f>
        <v>0</v>
      </c>
    </row>
    <row r="49" spans="1:10" ht="12" customHeight="1">
      <c r="A49" s="454" t="s">
        <v>475</v>
      </c>
      <c r="C49" s="430" t="s">
        <v>520</v>
      </c>
      <c r="D49" s="431">
        <f t="shared" ref="D49:J49" si="3">SUM(D44:D48)</f>
        <v>-8280.1331878348283</v>
      </c>
      <c r="E49" s="493"/>
      <c r="F49" s="494"/>
      <c r="G49" s="433">
        <f t="shared" si="3"/>
        <v>-3808.3130923808203</v>
      </c>
      <c r="H49" s="433">
        <f t="shared" si="3"/>
        <v>-6609.2647955020075</v>
      </c>
      <c r="I49" s="480">
        <f t="shared" si="3"/>
        <v>2137.4447000479995</v>
      </c>
      <c r="J49" s="431">
        <f t="shared" si="3"/>
        <v>0</v>
      </c>
    </row>
    <row r="50" spans="1:10" ht="4.95" customHeight="1">
      <c r="A50" s="748"/>
      <c r="C50" s="481"/>
      <c r="D50" s="481"/>
      <c r="E50" s="446"/>
      <c r="F50" s="446"/>
      <c r="G50" s="446"/>
      <c r="H50" s="446"/>
      <c r="I50" s="446"/>
      <c r="J50" s="446"/>
    </row>
    <row r="51" spans="1:10" ht="12" customHeight="1">
      <c r="A51" s="454">
        <v>2020</v>
      </c>
      <c r="C51" s="397" t="s">
        <v>521</v>
      </c>
      <c r="D51" s="495"/>
      <c r="E51" s="455"/>
      <c r="F51" s="401"/>
      <c r="G51" s="506"/>
      <c r="H51" s="401"/>
      <c r="I51" s="475"/>
      <c r="J51" s="403"/>
    </row>
    <row r="52" spans="1:10" ht="12" customHeight="1">
      <c r="A52" s="454">
        <v>2021</v>
      </c>
      <c r="C52" s="405" t="s">
        <v>522</v>
      </c>
      <c r="D52" s="496"/>
      <c r="E52" s="456"/>
      <c r="F52" s="409"/>
      <c r="G52" s="409"/>
      <c r="H52" s="508"/>
      <c r="I52" s="410"/>
      <c r="J52" s="411"/>
    </row>
    <row r="53" spans="1:10" ht="12" customHeight="1">
      <c r="A53" s="454">
        <v>2022</v>
      </c>
      <c r="C53" s="405" t="s">
        <v>523</v>
      </c>
      <c r="D53" s="496"/>
      <c r="E53" s="456"/>
      <c r="F53" s="409"/>
      <c r="G53" s="409"/>
      <c r="H53" s="409"/>
      <c r="I53" s="509"/>
      <c r="J53" s="411"/>
    </row>
    <row r="54" spans="1:10" ht="12" customHeight="1">
      <c r="A54" s="454">
        <v>2023</v>
      </c>
      <c r="C54" s="405" t="s">
        <v>525</v>
      </c>
      <c r="D54" s="496"/>
      <c r="E54" s="456"/>
      <c r="F54" s="409"/>
      <c r="G54" s="409"/>
      <c r="H54" s="409"/>
      <c r="I54" s="477"/>
      <c r="J54" s="411"/>
    </row>
    <row r="55" spans="1:10" ht="12" customHeight="1">
      <c r="A55" s="454">
        <v>2024</v>
      </c>
      <c r="C55" s="425" t="s">
        <v>526</v>
      </c>
      <c r="D55" s="497"/>
      <c r="E55" s="459"/>
      <c r="F55" s="460"/>
      <c r="G55" s="460"/>
      <c r="H55" s="460"/>
      <c r="I55" s="498"/>
      <c r="J55" s="467"/>
    </row>
    <row r="56" spans="1:10" ht="12" customHeight="1">
      <c r="A56" s="454" t="s">
        <v>475</v>
      </c>
      <c r="C56" s="430" t="s">
        <v>530</v>
      </c>
      <c r="D56" s="499"/>
      <c r="E56" s="493"/>
      <c r="F56" s="494"/>
      <c r="G56" s="494"/>
      <c r="H56" s="494"/>
      <c r="I56" s="500"/>
      <c r="J56" s="499"/>
    </row>
    <row r="57" spans="1:10" ht="3.6" customHeight="1">
      <c r="A57" s="748"/>
      <c r="C57" s="481"/>
      <c r="D57" s="481"/>
      <c r="E57" s="446"/>
      <c r="F57" s="446"/>
      <c r="G57" s="446"/>
      <c r="H57" s="446"/>
      <c r="I57" s="446"/>
      <c r="J57" s="446"/>
    </row>
    <row r="58" spans="1:10" ht="12" customHeight="1">
      <c r="A58" s="454">
        <v>2020</v>
      </c>
      <c r="C58" s="397" t="s">
        <v>531</v>
      </c>
      <c r="D58" s="495"/>
      <c r="E58" s="455"/>
      <c r="F58" s="401"/>
      <c r="G58" s="506"/>
      <c r="H58" s="401"/>
      <c r="I58" s="475"/>
      <c r="J58" s="403"/>
    </row>
    <row r="59" spans="1:10" ht="12" customHeight="1">
      <c r="A59" s="454">
        <v>2021</v>
      </c>
      <c r="C59" s="405" t="s">
        <v>532</v>
      </c>
      <c r="D59" s="496"/>
      <c r="E59" s="456"/>
      <c r="F59" s="409"/>
      <c r="G59" s="409"/>
      <c r="H59" s="508"/>
      <c r="I59" s="410"/>
      <c r="J59" s="411"/>
    </row>
    <row r="60" spans="1:10" ht="12" customHeight="1">
      <c r="A60" s="454">
        <v>2022</v>
      </c>
      <c r="C60" s="405" t="s">
        <v>533</v>
      </c>
      <c r="D60" s="496"/>
      <c r="E60" s="456"/>
      <c r="F60" s="409"/>
      <c r="G60" s="409"/>
      <c r="H60" s="409"/>
      <c r="I60" s="509"/>
      <c r="J60" s="411"/>
    </row>
    <row r="61" spans="1:10" ht="12" customHeight="1">
      <c r="A61" s="454">
        <v>2023</v>
      </c>
      <c r="C61" s="405" t="s">
        <v>535</v>
      </c>
      <c r="D61" s="496"/>
      <c r="E61" s="456"/>
      <c r="F61" s="409"/>
      <c r="G61" s="409"/>
      <c r="H61" s="409"/>
      <c r="I61" s="477"/>
      <c r="J61" s="411"/>
    </row>
    <row r="62" spans="1:10" ht="12" customHeight="1">
      <c r="A62" s="454">
        <v>2024</v>
      </c>
      <c r="C62" s="425" t="s">
        <v>536</v>
      </c>
      <c r="D62" s="497"/>
      <c r="E62" s="459"/>
      <c r="F62" s="460"/>
      <c r="G62" s="460"/>
      <c r="H62" s="460"/>
      <c r="I62" s="498"/>
      <c r="J62" s="467"/>
    </row>
    <row r="63" spans="1:10" ht="12" customHeight="1">
      <c r="A63" s="454" t="s">
        <v>475</v>
      </c>
      <c r="C63" s="430" t="s">
        <v>540</v>
      </c>
      <c r="D63" s="499"/>
      <c r="E63" s="493"/>
      <c r="F63" s="494"/>
      <c r="G63" s="494"/>
      <c r="H63" s="494"/>
      <c r="I63" s="500"/>
      <c r="J63" s="499"/>
    </row>
    <row r="64" spans="1:10" ht="3.6" customHeight="1">
      <c r="A64" s="748"/>
      <c r="C64" s="481"/>
      <c r="D64" s="481"/>
      <c r="E64" s="446"/>
      <c r="F64" s="446"/>
      <c r="G64" s="446"/>
      <c r="H64" s="446"/>
      <c r="I64" s="446"/>
      <c r="J64" s="446"/>
    </row>
    <row r="65" spans="1:13" ht="12" customHeight="1">
      <c r="A65" s="454">
        <v>2020</v>
      </c>
      <c r="C65" s="397" t="s">
        <v>541</v>
      </c>
      <c r="D65" s="495"/>
      <c r="E65" s="455"/>
      <c r="F65" s="401"/>
      <c r="G65" s="506"/>
      <c r="H65" s="401"/>
      <c r="I65" s="475"/>
      <c r="J65" s="403"/>
    </row>
    <row r="66" spans="1:13" ht="12" customHeight="1">
      <c r="A66" s="454">
        <v>2021</v>
      </c>
      <c r="C66" s="405" t="s">
        <v>542</v>
      </c>
      <c r="D66" s="496"/>
      <c r="E66" s="456"/>
      <c r="F66" s="409"/>
      <c r="G66" s="409"/>
      <c r="H66" s="508"/>
      <c r="I66" s="410"/>
      <c r="J66" s="411"/>
    </row>
    <row r="67" spans="1:13" ht="12" customHeight="1">
      <c r="A67" s="454">
        <v>2022</v>
      </c>
      <c r="C67" s="405" t="s">
        <v>543</v>
      </c>
      <c r="D67" s="496"/>
      <c r="E67" s="456"/>
      <c r="F67" s="409"/>
      <c r="G67" s="409"/>
      <c r="H67" s="409"/>
      <c r="I67" s="509"/>
      <c r="J67" s="411"/>
    </row>
    <row r="68" spans="1:13" ht="12" customHeight="1">
      <c r="A68" s="454">
        <v>2023</v>
      </c>
      <c r="C68" s="405" t="s">
        <v>544</v>
      </c>
      <c r="D68" s="496"/>
      <c r="E68" s="456"/>
      <c r="F68" s="409"/>
      <c r="G68" s="409"/>
      <c r="H68" s="409"/>
      <c r="I68" s="477"/>
      <c r="J68" s="411"/>
    </row>
    <row r="69" spans="1:13" ht="12" customHeight="1">
      <c r="A69" s="454">
        <v>2024</v>
      </c>
      <c r="C69" s="425" t="s">
        <v>545</v>
      </c>
      <c r="D69" s="497"/>
      <c r="E69" s="459"/>
      <c r="F69" s="460"/>
      <c r="G69" s="460"/>
      <c r="H69" s="460"/>
      <c r="I69" s="498"/>
      <c r="J69" s="467"/>
    </row>
    <row r="70" spans="1:13" ht="12" customHeight="1">
      <c r="A70" s="454" t="s">
        <v>475</v>
      </c>
      <c r="C70" s="430" t="s">
        <v>549</v>
      </c>
      <c r="D70" s="499"/>
      <c r="E70" s="493"/>
      <c r="F70" s="494"/>
      <c r="G70" s="494"/>
      <c r="H70" s="494"/>
      <c r="I70" s="500"/>
      <c r="J70" s="499"/>
    </row>
    <row r="71" spans="1:13" ht="3.6" customHeight="1">
      <c r="A71" s="748"/>
      <c r="C71" s="481"/>
      <c r="D71" s="481"/>
      <c r="E71" s="446"/>
      <c r="F71" s="446"/>
      <c r="G71" s="446"/>
      <c r="H71" s="446"/>
      <c r="I71" s="446"/>
      <c r="J71" s="446"/>
    </row>
    <row r="72" spans="1:13" ht="12" customHeight="1">
      <c r="A72" s="454">
        <v>2017</v>
      </c>
      <c r="C72" s="435" t="s">
        <v>550</v>
      </c>
      <c r="D72" s="501">
        <v>-1152.8989713724077</v>
      </c>
      <c r="E72" s="485">
        <v>0</v>
      </c>
      <c r="F72" s="486">
        <f>+D72</f>
        <v>-1152.8989713724077</v>
      </c>
      <c r="G72" s="486">
        <v>0</v>
      </c>
      <c r="H72" s="486">
        <v>0</v>
      </c>
      <c r="I72" s="487">
        <v>0</v>
      </c>
      <c r="J72" s="398">
        <f t="shared" ref="J72:J74" si="4">D72-SUM(E72:I72)</f>
        <v>0</v>
      </c>
      <c r="L72" s="385" t="s">
        <v>721</v>
      </c>
    </row>
    <row r="73" spans="1:13" ht="12" customHeight="1">
      <c r="A73" s="454">
        <v>2018</v>
      </c>
      <c r="C73" s="438" t="s">
        <v>551</v>
      </c>
      <c r="D73" s="502">
        <v>-369.83508810512302</v>
      </c>
      <c r="E73" s="489"/>
      <c r="F73" s="490">
        <f>+D73</f>
        <v>-369.83508810512302</v>
      </c>
      <c r="G73" s="490">
        <v>0</v>
      </c>
      <c r="H73" s="490">
        <v>0</v>
      </c>
      <c r="I73" s="491">
        <v>0</v>
      </c>
      <c r="J73" s="406">
        <f t="shared" si="4"/>
        <v>0</v>
      </c>
      <c r="L73" s="385" t="s">
        <v>722</v>
      </c>
    </row>
    <row r="74" spans="1:13" ht="12" customHeight="1">
      <c r="A74" s="454">
        <v>2019</v>
      </c>
      <c r="C74" s="438" t="s">
        <v>717</v>
      </c>
      <c r="D74" s="502">
        <v>-4006.19</v>
      </c>
      <c r="E74" s="503"/>
      <c r="F74" s="490">
        <f>+D74</f>
        <v>-4006.19</v>
      </c>
      <c r="G74" s="490">
        <v>0</v>
      </c>
      <c r="H74" s="490">
        <v>0</v>
      </c>
      <c r="I74" s="491">
        <v>0</v>
      </c>
      <c r="J74" s="406">
        <f t="shared" si="4"/>
        <v>0</v>
      </c>
      <c r="L74" s="385" t="s">
        <v>723</v>
      </c>
    </row>
    <row r="75" spans="1:13" ht="12" customHeight="1">
      <c r="A75" s="454" t="s">
        <v>475</v>
      </c>
      <c r="C75" s="430" t="s">
        <v>557</v>
      </c>
      <c r="D75" s="431">
        <f>SUM(D72:D74)</f>
        <v>-5528.924059477531</v>
      </c>
      <c r="E75" s="479">
        <f t="shared" ref="E75:J75" si="5">SUM(E72:E74)</f>
        <v>0</v>
      </c>
      <c r="F75" s="433">
        <f t="shared" si="5"/>
        <v>-5528.924059477531</v>
      </c>
      <c r="G75" s="433">
        <f t="shared" si="5"/>
        <v>0</v>
      </c>
      <c r="H75" s="433">
        <f t="shared" si="5"/>
        <v>0</v>
      </c>
      <c r="I75" s="480">
        <f t="shared" si="5"/>
        <v>0</v>
      </c>
      <c r="J75" s="431">
        <f t="shared" si="5"/>
        <v>0</v>
      </c>
      <c r="L75" s="1600"/>
      <c r="M75" s="1600"/>
    </row>
    <row r="76" spans="1:13" ht="3.6" customHeight="1">
      <c r="A76" s="748"/>
      <c r="C76" s="481"/>
      <c r="D76" s="481"/>
      <c r="E76" s="446"/>
      <c r="F76" s="446"/>
      <c r="G76" s="446"/>
      <c r="H76" s="446"/>
      <c r="I76" s="446"/>
      <c r="J76" s="446"/>
    </row>
    <row r="77" spans="1:13" ht="12" customHeight="1">
      <c r="A77" s="454">
        <v>2017</v>
      </c>
      <c r="C77" s="435" t="s">
        <v>558</v>
      </c>
      <c r="D77" s="535"/>
      <c r="E77" s="505"/>
      <c r="F77" s="506"/>
      <c r="G77" s="506"/>
      <c r="H77" s="506"/>
      <c r="I77" s="531"/>
      <c r="J77" s="403"/>
    </row>
    <row r="78" spans="1:13" ht="12" customHeight="1">
      <c r="A78" s="454">
        <v>2018</v>
      </c>
      <c r="C78" s="438" t="s">
        <v>559</v>
      </c>
      <c r="D78" s="536"/>
      <c r="E78" s="456"/>
      <c r="F78" s="409"/>
      <c r="G78" s="409"/>
      <c r="H78" s="409"/>
      <c r="I78" s="477"/>
      <c r="J78" s="411"/>
    </row>
    <row r="79" spans="1:13" ht="12" customHeight="1">
      <c r="A79" s="454">
        <v>2019</v>
      </c>
      <c r="C79" s="438" t="s">
        <v>560</v>
      </c>
      <c r="D79" s="536"/>
      <c r="E79" s="456"/>
      <c r="F79" s="409"/>
      <c r="G79" s="409"/>
      <c r="H79" s="409"/>
      <c r="I79" s="410"/>
      <c r="J79" s="411"/>
    </row>
    <row r="80" spans="1:13" ht="12" customHeight="1">
      <c r="A80" s="454" t="s">
        <v>463</v>
      </c>
      <c r="C80" s="412" t="s">
        <v>561</v>
      </c>
      <c r="D80" s="418"/>
      <c r="E80" s="418"/>
      <c r="F80" s="418"/>
      <c r="G80" s="418"/>
      <c r="H80" s="418"/>
      <c r="I80" s="418"/>
      <c r="J80" s="418"/>
    </row>
    <row r="81" spans="1:10" ht="12" customHeight="1">
      <c r="A81" s="454">
        <v>2020</v>
      </c>
      <c r="C81" s="397" t="s">
        <v>562</v>
      </c>
      <c r="D81" s="540"/>
      <c r="E81" s="455"/>
      <c r="F81" s="401"/>
      <c r="G81" s="401"/>
      <c r="H81" s="401"/>
      <c r="I81" s="475"/>
      <c r="J81" s="403"/>
    </row>
    <row r="82" spans="1:10" ht="12" customHeight="1">
      <c r="A82" s="454">
        <v>2021</v>
      </c>
      <c r="C82" s="405" t="s">
        <v>563</v>
      </c>
      <c r="D82" s="541"/>
      <c r="E82" s="456"/>
      <c r="F82" s="409"/>
      <c r="G82" s="409"/>
      <c r="H82" s="409"/>
      <c r="I82" s="410"/>
      <c r="J82" s="411"/>
    </row>
    <row r="83" spans="1:10" ht="12" customHeight="1">
      <c r="A83" s="454">
        <v>2022</v>
      </c>
      <c r="C83" s="405" t="s">
        <v>564</v>
      </c>
      <c r="D83" s="541"/>
      <c r="E83" s="456"/>
      <c r="F83" s="409"/>
      <c r="G83" s="409"/>
      <c r="H83" s="409"/>
      <c r="I83" s="410"/>
      <c r="J83" s="411"/>
    </row>
    <row r="84" spans="1:10" ht="12" customHeight="1">
      <c r="A84" s="454">
        <v>2023</v>
      </c>
      <c r="C84" s="405" t="s">
        <v>566</v>
      </c>
      <c r="D84" s="541"/>
      <c r="E84" s="456"/>
      <c r="F84" s="409"/>
      <c r="G84" s="409"/>
      <c r="H84" s="409"/>
      <c r="I84" s="477"/>
      <c r="J84" s="411"/>
    </row>
    <row r="85" spans="1:10" ht="12" customHeight="1">
      <c r="A85" s="454">
        <v>2024</v>
      </c>
      <c r="C85" s="425" t="s">
        <v>567</v>
      </c>
      <c r="D85" s="542"/>
      <c r="E85" s="459"/>
      <c r="F85" s="460"/>
      <c r="G85" s="460"/>
      <c r="H85" s="460"/>
      <c r="I85" s="498"/>
      <c r="J85" s="467"/>
    </row>
    <row r="86" spans="1:10" ht="12" customHeight="1">
      <c r="A86" s="454" t="s">
        <v>475</v>
      </c>
      <c r="C86" s="430" t="s">
        <v>571</v>
      </c>
      <c r="D86" s="499"/>
      <c r="E86" s="493"/>
      <c r="F86" s="494"/>
      <c r="G86" s="494"/>
      <c r="H86" s="494"/>
      <c r="I86" s="500"/>
      <c r="J86" s="499"/>
    </row>
    <row r="87" spans="1:10" ht="4.2" customHeight="1">
      <c r="A87" s="748"/>
      <c r="C87" s="481"/>
      <c r="D87" s="481"/>
      <c r="E87" s="481"/>
      <c r="F87" s="481"/>
      <c r="G87" s="481"/>
      <c r="H87" s="481"/>
      <c r="I87" s="504"/>
      <c r="J87" s="481"/>
    </row>
    <row r="88" spans="1:10" ht="12" customHeight="1">
      <c r="A88" s="454">
        <v>2017</v>
      </c>
      <c r="C88" s="397" t="s">
        <v>572</v>
      </c>
      <c r="D88" s="474">
        <v>0</v>
      </c>
      <c r="E88" s="485">
        <v>0</v>
      </c>
      <c r="F88" s="486">
        <v>0</v>
      </c>
      <c r="G88" s="486">
        <v>0</v>
      </c>
      <c r="H88" s="486">
        <v>0</v>
      </c>
      <c r="I88" s="487">
        <v>0</v>
      </c>
      <c r="J88" s="403"/>
    </row>
    <row r="89" spans="1:10" ht="12" customHeight="1">
      <c r="A89" s="454">
        <v>2018</v>
      </c>
      <c r="C89" s="405" t="s">
        <v>573</v>
      </c>
      <c r="D89" s="476">
        <v>0</v>
      </c>
      <c r="E89" s="489">
        <v>0</v>
      </c>
      <c r="F89" s="490">
        <v>0</v>
      </c>
      <c r="G89" s="490">
        <v>0</v>
      </c>
      <c r="H89" s="490">
        <v>0</v>
      </c>
      <c r="I89" s="491">
        <v>0</v>
      </c>
      <c r="J89" s="411"/>
    </row>
    <row r="90" spans="1:10" ht="12" customHeight="1">
      <c r="A90" s="454">
        <v>2019</v>
      </c>
      <c r="C90" s="405" t="s">
        <v>574</v>
      </c>
      <c r="D90" s="476"/>
      <c r="E90" s="503"/>
      <c r="F90" s="490">
        <v>0</v>
      </c>
      <c r="G90" s="490">
        <v>0</v>
      </c>
      <c r="H90" s="490">
        <v>0</v>
      </c>
      <c r="I90" s="491">
        <v>0</v>
      </c>
      <c r="J90" s="411"/>
    </row>
    <row r="91" spans="1:10" ht="14.7" customHeight="1">
      <c r="A91" s="454" t="s">
        <v>463</v>
      </c>
      <c r="C91" s="412" t="s">
        <v>575</v>
      </c>
      <c r="D91" s="415">
        <f>SUM(D88:D90)</f>
        <v>0</v>
      </c>
      <c r="E91" s="415">
        <f t="shared" ref="E91:I91" si="6">SUM(E88:E90)</f>
        <v>0</v>
      </c>
      <c r="F91" s="415">
        <f t="shared" si="6"/>
        <v>0</v>
      </c>
      <c r="G91" s="415">
        <f t="shared" si="6"/>
        <v>0</v>
      </c>
      <c r="H91" s="415">
        <f t="shared" si="6"/>
        <v>0</v>
      </c>
      <c r="I91" s="450">
        <f t="shared" si="6"/>
        <v>0</v>
      </c>
      <c r="J91" s="418"/>
    </row>
    <row r="92" spans="1:10" ht="12" customHeight="1">
      <c r="A92" s="454">
        <v>2020</v>
      </c>
      <c r="C92" s="397" t="s">
        <v>576</v>
      </c>
      <c r="D92" s="451">
        <f>'T2 NSA'!C59</f>
        <v>0</v>
      </c>
      <c r="E92" s="419"/>
      <c r="F92" s="400"/>
      <c r="G92" s="420">
        <f>+D92</f>
        <v>0</v>
      </c>
      <c r="H92" s="401"/>
      <c r="I92" s="475"/>
      <c r="J92" s="403"/>
    </row>
    <row r="93" spans="1:10" ht="12" customHeight="1">
      <c r="A93" s="454">
        <v>2021</v>
      </c>
      <c r="C93" s="405" t="s">
        <v>577</v>
      </c>
      <c r="D93" s="452">
        <f>'T2 NSA'!D59</f>
        <v>0</v>
      </c>
      <c r="E93" s="407"/>
      <c r="F93" s="421"/>
      <c r="G93" s="409"/>
      <c r="H93" s="422">
        <f>+D93</f>
        <v>0</v>
      </c>
      <c r="I93" s="410"/>
      <c r="J93" s="411"/>
    </row>
    <row r="94" spans="1:10" ht="12" customHeight="1">
      <c r="A94" s="454">
        <v>2022</v>
      </c>
      <c r="C94" s="405" t="s">
        <v>578</v>
      </c>
      <c r="D94" s="452">
        <f>'T2 NSA'!E59</f>
        <v>0</v>
      </c>
      <c r="E94" s="407"/>
      <c r="F94" s="421"/>
      <c r="G94" s="409"/>
      <c r="H94" s="409"/>
      <c r="I94" s="529">
        <f>+D94</f>
        <v>0</v>
      </c>
      <c r="J94" s="411"/>
    </row>
    <row r="95" spans="1:10" ht="12" customHeight="1">
      <c r="A95" s="454">
        <v>2023</v>
      </c>
      <c r="C95" s="405" t="s">
        <v>580</v>
      </c>
      <c r="D95" s="452">
        <f>'T2 NSA'!F59</f>
        <v>0</v>
      </c>
      <c r="E95" s="407"/>
      <c r="F95" s="421"/>
      <c r="G95" s="409"/>
      <c r="H95" s="409"/>
      <c r="I95" s="477"/>
      <c r="J95" s="406">
        <f>+D95</f>
        <v>0</v>
      </c>
    </row>
    <row r="96" spans="1:10" ht="12" customHeight="1">
      <c r="A96" s="454">
        <v>2024</v>
      </c>
      <c r="C96" s="425" t="s">
        <v>581</v>
      </c>
      <c r="D96" s="453">
        <f>'T2 NSA'!G59</f>
        <v>0</v>
      </c>
      <c r="E96" s="427"/>
      <c r="F96" s="428"/>
      <c r="G96" s="428"/>
      <c r="H96" s="428"/>
      <c r="I96" s="478"/>
      <c r="J96" s="426">
        <f>+D96</f>
        <v>0</v>
      </c>
    </row>
    <row r="97" spans="1:12" ht="12" customHeight="1">
      <c r="A97" s="454" t="s">
        <v>475</v>
      </c>
      <c r="C97" s="430" t="s">
        <v>585</v>
      </c>
      <c r="D97" s="431">
        <f>SUM(D91:D96)</f>
        <v>0</v>
      </c>
      <c r="E97" s="479">
        <f t="shared" ref="E97:J97" si="7">SUM(E91:E96)</f>
        <v>0</v>
      </c>
      <c r="F97" s="433">
        <f t="shared" si="7"/>
        <v>0</v>
      </c>
      <c r="G97" s="433">
        <f t="shared" si="7"/>
        <v>0</v>
      </c>
      <c r="H97" s="433">
        <f t="shared" si="7"/>
        <v>0</v>
      </c>
      <c r="I97" s="480">
        <f t="shared" si="7"/>
        <v>0</v>
      </c>
      <c r="J97" s="431">
        <f t="shared" si="7"/>
        <v>0</v>
      </c>
    </row>
    <row r="98" spans="1:12" ht="4.95" customHeight="1">
      <c r="A98" s="748"/>
      <c r="C98" s="481"/>
      <c r="D98" s="481"/>
      <c r="E98" s="446"/>
      <c r="F98" s="446"/>
      <c r="G98" s="446"/>
      <c r="H98" s="446"/>
      <c r="I98" s="446"/>
      <c r="J98" s="446"/>
    </row>
    <row r="99" spans="1:12" ht="12" customHeight="1">
      <c r="A99" s="454">
        <v>2017</v>
      </c>
      <c r="C99" s="397" t="s">
        <v>586</v>
      </c>
      <c r="D99" s="474">
        <v>0</v>
      </c>
      <c r="E99" s="485">
        <v>0</v>
      </c>
      <c r="F99" s="486">
        <v>0</v>
      </c>
      <c r="G99" s="486">
        <v>0</v>
      </c>
      <c r="H99" s="486">
        <v>0</v>
      </c>
      <c r="I99" s="487">
        <v>0</v>
      </c>
      <c r="J99" s="398">
        <f t="shared" ref="J99:J107" si="8">D99-SUM(E99:I99)</f>
        <v>0</v>
      </c>
    </row>
    <row r="100" spans="1:12" ht="12" customHeight="1">
      <c r="A100" s="454">
        <v>2018</v>
      </c>
      <c r="C100" s="405" t="s">
        <v>587</v>
      </c>
      <c r="D100" s="898">
        <v>-8107.9232333506698</v>
      </c>
      <c r="E100" s="489">
        <f>D100</f>
        <v>-8107.9232333506698</v>
      </c>
      <c r="F100" s="490">
        <v>0</v>
      </c>
      <c r="G100" s="490">
        <v>0</v>
      </c>
      <c r="H100" s="490">
        <v>0</v>
      </c>
      <c r="I100" s="491">
        <v>0</v>
      </c>
      <c r="J100" s="406">
        <f t="shared" si="8"/>
        <v>0</v>
      </c>
      <c r="L100" s="385" t="s">
        <v>724</v>
      </c>
    </row>
    <row r="101" spans="1:12" ht="12" customHeight="1">
      <c r="A101" s="454">
        <v>2019</v>
      </c>
      <c r="C101" s="405" t="s">
        <v>588</v>
      </c>
      <c r="D101" s="502">
        <v>-8764.7680110260899</v>
      </c>
      <c r="E101" s="503"/>
      <c r="F101" s="490">
        <f>+D101</f>
        <v>-8764.7680110260899</v>
      </c>
      <c r="G101" s="490">
        <v>0</v>
      </c>
      <c r="H101" s="490">
        <v>0</v>
      </c>
      <c r="I101" s="491">
        <v>0</v>
      </c>
      <c r="J101" s="406">
        <f t="shared" si="8"/>
        <v>0</v>
      </c>
      <c r="L101" s="385" t="s">
        <v>725</v>
      </c>
    </row>
    <row r="102" spans="1:12" ht="12" customHeight="1">
      <c r="A102" s="454" t="s">
        <v>463</v>
      </c>
      <c r="C102" s="412" t="s">
        <v>589</v>
      </c>
      <c r="D102" s="413">
        <f t="shared" ref="D102:J102" si="9">SUM(D99:D101)</f>
        <v>-16872.691244376758</v>
      </c>
      <c r="E102" s="413">
        <f t="shared" si="9"/>
        <v>-8107.9232333506698</v>
      </c>
      <c r="F102" s="413">
        <f t="shared" si="9"/>
        <v>-8764.7680110260899</v>
      </c>
      <c r="G102" s="413">
        <f t="shared" si="9"/>
        <v>0</v>
      </c>
      <c r="H102" s="413">
        <f t="shared" si="9"/>
        <v>0</v>
      </c>
      <c r="I102" s="413">
        <f t="shared" si="9"/>
        <v>0</v>
      </c>
      <c r="J102" s="413">
        <f t="shared" si="9"/>
        <v>0</v>
      </c>
      <c r="L102" s="539"/>
    </row>
    <row r="103" spans="1:12" ht="12" customHeight="1">
      <c r="A103" s="454">
        <v>2020</v>
      </c>
      <c r="C103" s="397" t="s">
        <v>590</v>
      </c>
      <c r="D103" s="398">
        <f>(E11+E22+E75+E80+E91+E102+E108)*-'T2 NSA'!C40</f>
        <v>-5706.3161037249602</v>
      </c>
      <c r="E103" s="505"/>
      <c r="F103" s="506"/>
      <c r="G103" s="486">
        <f>D103</f>
        <v>-5706.3161037249602</v>
      </c>
      <c r="H103" s="486"/>
      <c r="I103" s="487"/>
      <c r="J103" s="398">
        <f t="shared" si="8"/>
        <v>0</v>
      </c>
    </row>
    <row r="104" spans="1:12" ht="12" customHeight="1">
      <c r="A104" s="454">
        <v>2021</v>
      </c>
      <c r="C104" s="405" t="s">
        <v>591</v>
      </c>
      <c r="D104" s="406">
        <f>(F11+F22+F75+F80+F91+F102+F108)*-'T2 NSA'!D40</f>
        <v>-9078.656596354127</v>
      </c>
      <c r="E104" s="507"/>
      <c r="F104" s="508"/>
      <c r="G104" s="508"/>
      <c r="H104" s="490">
        <f>+D104</f>
        <v>-9078.656596354127</v>
      </c>
      <c r="I104" s="491"/>
      <c r="J104" s="406">
        <f t="shared" si="8"/>
        <v>0</v>
      </c>
    </row>
    <row r="105" spans="1:12" ht="12" customHeight="1">
      <c r="A105" s="454">
        <v>2022</v>
      </c>
      <c r="C105" s="405" t="s">
        <v>592</v>
      </c>
      <c r="D105" s="406">
        <f>(G11+G22+G75+G80+G91+G102+G108)*-'T2 NSA'!E40</f>
        <v>-1039.2563816856032</v>
      </c>
      <c r="E105" s="507"/>
      <c r="F105" s="508"/>
      <c r="G105" s="508"/>
      <c r="H105" s="508"/>
      <c r="I105" s="491">
        <f>+D105</f>
        <v>-1039.2563816856032</v>
      </c>
      <c r="J105" s="406">
        <f t="shared" si="8"/>
        <v>0</v>
      </c>
    </row>
    <row r="106" spans="1:12" ht="12" customHeight="1">
      <c r="A106" s="454">
        <v>2023</v>
      </c>
      <c r="C106" s="405" t="s">
        <v>594</v>
      </c>
      <c r="D106" s="406">
        <f>(H11+H22+H75+H80+H91+H102+H108)*-'T2 NSA'!F40</f>
        <v>0</v>
      </c>
      <c r="E106" s="507"/>
      <c r="F106" s="508"/>
      <c r="G106" s="508"/>
      <c r="H106" s="508"/>
      <c r="I106" s="509"/>
      <c r="J106" s="406">
        <f t="shared" si="8"/>
        <v>0</v>
      </c>
    </row>
    <row r="107" spans="1:12" ht="12" customHeight="1">
      <c r="A107" s="454">
        <v>2024</v>
      </c>
      <c r="C107" s="425" t="s">
        <v>595</v>
      </c>
      <c r="D107" s="406">
        <f>(I11+I22+I75+I80+I91+I102+I108)*-'T2 NSA'!G40</f>
        <v>0</v>
      </c>
      <c r="E107" s="507"/>
      <c r="F107" s="508"/>
      <c r="G107" s="508"/>
      <c r="H107" s="508"/>
      <c r="I107" s="509"/>
      <c r="J107" s="406">
        <f t="shared" si="8"/>
        <v>0</v>
      </c>
    </row>
    <row r="108" spans="1:12" ht="12" customHeight="1">
      <c r="A108" s="454" t="s">
        <v>463</v>
      </c>
      <c r="C108" s="543" t="s">
        <v>599</v>
      </c>
      <c r="D108" s="398">
        <f>SUM(D103:D107)</f>
        <v>-15824.229081764692</v>
      </c>
      <c r="E108" s="442">
        <f>SUM(E103:E107)</f>
        <v>0</v>
      </c>
      <c r="F108" s="442">
        <f t="shared" ref="F108:I108" si="10">SUM(F103:F107)</f>
        <v>0</v>
      </c>
      <c r="G108" s="442">
        <f t="shared" si="10"/>
        <v>-5706.3161037249602</v>
      </c>
      <c r="H108" s="442">
        <f t="shared" si="10"/>
        <v>-9078.656596354127</v>
      </c>
      <c r="I108" s="442">
        <f t="shared" si="10"/>
        <v>-1039.2563816856032</v>
      </c>
      <c r="J108" s="398">
        <f>SUM(J103:J107)</f>
        <v>0</v>
      </c>
    </row>
    <row r="109" spans="1:12" ht="12" customHeight="1">
      <c r="A109" s="454">
        <v>2020</v>
      </c>
      <c r="C109" s="397" t="s">
        <v>600</v>
      </c>
      <c r="D109" s="451">
        <f>'T2 NSA'!C46</f>
        <v>41495.455190986162</v>
      </c>
      <c r="E109" s="419"/>
      <c r="F109" s="400"/>
      <c r="G109" s="457">
        <f>D109</f>
        <v>41495.455190986162</v>
      </c>
      <c r="H109" s="401"/>
      <c r="I109" s="475"/>
      <c r="J109" s="403"/>
    </row>
    <row r="110" spans="1:12" ht="12" customHeight="1">
      <c r="A110" s="454">
        <v>2021</v>
      </c>
      <c r="C110" s="405" t="s">
        <v>601</v>
      </c>
      <c r="D110" s="452">
        <f>'T2 NSA'!D46</f>
        <v>40284.426354239622</v>
      </c>
      <c r="E110" s="407"/>
      <c r="F110" s="421"/>
      <c r="G110" s="421"/>
      <c r="H110" s="408">
        <f>D110</f>
        <v>40284.426354239622</v>
      </c>
      <c r="I110" s="477"/>
      <c r="J110" s="411"/>
    </row>
    <row r="111" spans="1:12" ht="12" customHeight="1">
      <c r="A111" s="454">
        <v>2022</v>
      </c>
      <c r="C111" s="405" t="s">
        <v>602</v>
      </c>
      <c r="D111" s="452">
        <f>'T2 NSA'!E46</f>
        <v>19039.263158462836</v>
      </c>
      <c r="E111" s="407"/>
      <c r="F111" s="421"/>
      <c r="G111" s="421"/>
      <c r="H111" s="421"/>
      <c r="I111" s="458">
        <f>D111</f>
        <v>19039.263158462836</v>
      </c>
      <c r="J111" s="411"/>
    </row>
    <row r="112" spans="1:12" ht="12" customHeight="1">
      <c r="A112" s="454">
        <v>2023</v>
      </c>
      <c r="C112" s="405" t="s">
        <v>604</v>
      </c>
      <c r="D112" s="452">
        <f>'T2 NSA'!F46</f>
        <v>0</v>
      </c>
      <c r="E112" s="407"/>
      <c r="F112" s="421"/>
      <c r="G112" s="421"/>
      <c r="H112" s="421"/>
      <c r="I112" s="510"/>
      <c r="J112" s="406">
        <f>D112</f>
        <v>0</v>
      </c>
    </row>
    <row r="113" spans="1:10" ht="12" customHeight="1">
      <c r="A113" s="454">
        <v>2024</v>
      </c>
      <c r="C113" s="425" t="s">
        <v>605</v>
      </c>
      <c r="D113" s="453">
        <f>'T2 NSA'!G46</f>
        <v>0</v>
      </c>
      <c r="E113" s="427"/>
      <c r="F113" s="428"/>
      <c r="G113" s="428"/>
      <c r="H113" s="428"/>
      <c r="I113" s="478"/>
      <c r="J113" s="426">
        <f>D113</f>
        <v>0</v>
      </c>
    </row>
    <row r="114" spans="1:10" ht="12" customHeight="1">
      <c r="A114" s="454" t="s">
        <v>475</v>
      </c>
      <c r="C114" s="430" t="s">
        <v>609</v>
      </c>
      <c r="D114" s="431">
        <f>D102+SUM(D108:D113)</f>
        <v>68122.224377547187</v>
      </c>
      <c r="E114" s="479">
        <f>E102+SUM(E108:E113)</f>
        <v>-8107.9232333506698</v>
      </c>
      <c r="F114" s="433">
        <f t="shared" ref="F114:J114" si="11">F102+SUM(F108:F113)</f>
        <v>-8764.7680110260899</v>
      </c>
      <c r="G114" s="433">
        <f t="shared" si="11"/>
        <v>35789.139087261203</v>
      </c>
      <c r="H114" s="433">
        <f t="shared" si="11"/>
        <v>31205.769757885493</v>
      </c>
      <c r="I114" s="480">
        <f t="shared" si="11"/>
        <v>18000.006776777234</v>
      </c>
      <c r="J114" s="431">
        <f t="shared" si="11"/>
        <v>0</v>
      </c>
    </row>
    <row r="115" spans="1:10" ht="4.2" customHeight="1">
      <c r="A115" s="748"/>
    </row>
    <row r="116" spans="1:10" ht="12" customHeight="1">
      <c r="A116" s="454">
        <v>2017</v>
      </c>
      <c r="C116" s="397" t="s">
        <v>610</v>
      </c>
      <c r="D116" s="474">
        <v>0</v>
      </c>
      <c r="E116" s="485">
        <v>0</v>
      </c>
      <c r="F116" s="486">
        <v>0</v>
      </c>
      <c r="G116" s="486">
        <v>0</v>
      </c>
      <c r="H116" s="486">
        <v>0</v>
      </c>
      <c r="I116" s="487">
        <v>0</v>
      </c>
      <c r="J116" s="398">
        <f t="shared" ref="J116:J124" si="12">D116-SUM(E116:I116)</f>
        <v>0</v>
      </c>
    </row>
    <row r="117" spans="1:10" ht="12" customHeight="1">
      <c r="A117" s="454">
        <v>2018</v>
      </c>
      <c r="C117" s="405" t="s">
        <v>611</v>
      </c>
      <c r="D117" s="476">
        <v>0</v>
      </c>
      <c r="E117" s="489">
        <f>+D117</f>
        <v>0</v>
      </c>
      <c r="F117" s="490">
        <v>0</v>
      </c>
      <c r="G117" s="490">
        <v>0</v>
      </c>
      <c r="H117" s="490">
        <v>0</v>
      </c>
      <c r="I117" s="491">
        <v>0</v>
      </c>
      <c r="J117" s="406">
        <f t="shared" si="12"/>
        <v>0</v>
      </c>
    </row>
    <row r="118" spans="1:10" ht="12" customHeight="1">
      <c r="A118" s="454">
        <v>2019</v>
      </c>
      <c r="C118" s="405" t="s">
        <v>612</v>
      </c>
      <c r="D118" s="476"/>
      <c r="E118" s="489">
        <v>0</v>
      </c>
      <c r="F118" s="490">
        <f>D118</f>
        <v>0</v>
      </c>
      <c r="G118" s="490">
        <v>0</v>
      </c>
      <c r="H118" s="490">
        <v>0</v>
      </c>
      <c r="I118" s="491">
        <v>0</v>
      </c>
      <c r="J118" s="406">
        <f t="shared" si="12"/>
        <v>0</v>
      </c>
    </row>
    <row r="119" spans="1:10" ht="12" customHeight="1">
      <c r="A119" s="454" t="s">
        <v>463</v>
      </c>
      <c r="C119" s="412" t="s">
        <v>613</v>
      </c>
      <c r="D119" s="413">
        <f>SUM(D116:D118)</f>
        <v>0</v>
      </c>
      <c r="E119" s="413">
        <f t="shared" ref="E119:J119" si="13">SUM(E116:E118)</f>
        <v>0</v>
      </c>
      <c r="F119" s="413">
        <f t="shared" si="13"/>
        <v>0</v>
      </c>
      <c r="G119" s="413">
        <f t="shared" si="13"/>
        <v>0</v>
      </c>
      <c r="H119" s="413">
        <f t="shared" si="13"/>
        <v>0</v>
      </c>
      <c r="I119" s="413">
        <f t="shared" si="13"/>
        <v>0</v>
      </c>
      <c r="J119" s="413">
        <f t="shared" si="13"/>
        <v>0</v>
      </c>
    </row>
    <row r="120" spans="1:10" ht="12" customHeight="1">
      <c r="A120" s="454">
        <v>2020</v>
      </c>
      <c r="C120" s="397" t="s">
        <v>614</v>
      </c>
      <c r="D120" s="451">
        <f>'T2 NSA'!C69</f>
        <v>0</v>
      </c>
      <c r="E120" s="485">
        <f>D120</f>
        <v>0</v>
      </c>
      <c r="F120" s="486">
        <v>0</v>
      </c>
      <c r="G120" s="486">
        <v>0</v>
      </c>
      <c r="H120" s="486">
        <v>0</v>
      </c>
      <c r="I120" s="487">
        <v>0</v>
      </c>
      <c r="J120" s="398">
        <f t="shared" si="12"/>
        <v>0</v>
      </c>
    </row>
    <row r="121" spans="1:10" ht="12" customHeight="1">
      <c r="A121" s="454">
        <v>2021</v>
      </c>
      <c r="C121" s="405" t="s">
        <v>615</v>
      </c>
      <c r="D121" s="452">
        <f>'T2 NSA'!D69</f>
        <v>0</v>
      </c>
      <c r="E121" s="507"/>
      <c r="F121" s="490">
        <v>0</v>
      </c>
      <c r="G121" s="490">
        <v>0</v>
      </c>
      <c r="H121" s="490">
        <f>D121</f>
        <v>0</v>
      </c>
      <c r="I121" s="491">
        <v>0</v>
      </c>
      <c r="J121" s="406">
        <f t="shared" si="12"/>
        <v>0</v>
      </c>
    </row>
    <row r="122" spans="1:10" ht="12" customHeight="1">
      <c r="A122" s="454">
        <v>2022</v>
      </c>
      <c r="C122" s="405" t="s">
        <v>616</v>
      </c>
      <c r="D122" s="452">
        <f>'T2 NSA'!E69</f>
        <v>0</v>
      </c>
      <c r="E122" s="507"/>
      <c r="F122" s="508"/>
      <c r="G122" s="544">
        <v>0</v>
      </c>
      <c r="H122" s="544">
        <v>0</v>
      </c>
      <c r="I122" s="545">
        <f>D122</f>
        <v>0</v>
      </c>
      <c r="J122" s="406">
        <f t="shared" si="12"/>
        <v>0</v>
      </c>
    </row>
    <row r="123" spans="1:10" ht="12" customHeight="1">
      <c r="A123" s="454">
        <v>2023</v>
      </c>
      <c r="C123" s="405" t="s">
        <v>618</v>
      </c>
      <c r="D123" s="452">
        <f>'T2 NSA'!F69</f>
        <v>0</v>
      </c>
      <c r="E123" s="507"/>
      <c r="F123" s="508"/>
      <c r="G123" s="508"/>
      <c r="H123" s="490">
        <v>0</v>
      </c>
      <c r="I123" s="491">
        <v>0</v>
      </c>
      <c r="J123" s="406">
        <f t="shared" si="12"/>
        <v>0</v>
      </c>
    </row>
    <row r="124" spans="1:10" ht="12" customHeight="1">
      <c r="A124" s="454">
        <v>2024</v>
      </c>
      <c r="C124" s="425" t="s">
        <v>619</v>
      </c>
      <c r="D124" s="453">
        <f>'T2 NSA'!G69</f>
        <v>0</v>
      </c>
      <c r="E124" s="512"/>
      <c r="F124" s="513"/>
      <c r="G124" s="513"/>
      <c r="H124" s="513"/>
      <c r="I124" s="514">
        <v>0</v>
      </c>
      <c r="J124" s="426">
        <f t="shared" si="12"/>
        <v>0</v>
      </c>
    </row>
    <row r="125" spans="1:10" ht="12" customHeight="1">
      <c r="A125" s="454" t="s">
        <v>475</v>
      </c>
      <c r="C125" s="430" t="s">
        <v>623</v>
      </c>
      <c r="D125" s="431">
        <f>SUM(D119:D124)</f>
        <v>0</v>
      </c>
      <c r="E125" s="479">
        <f t="shared" ref="E125:J125" si="14">SUM(E119:E124)</f>
        <v>0</v>
      </c>
      <c r="F125" s="433">
        <f t="shared" si="14"/>
        <v>0</v>
      </c>
      <c r="G125" s="433">
        <f t="shared" si="14"/>
        <v>0</v>
      </c>
      <c r="H125" s="433">
        <f t="shared" si="14"/>
        <v>0</v>
      </c>
      <c r="I125" s="480">
        <f t="shared" si="14"/>
        <v>0</v>
      </c>
      <c r="J125" s="431">
        <f t="shared" si="14"/>
        <v>0</v>
      </c>
    </row>
    <row r="126" spans="1:10" ht="4.2" customHeight="1">
      <c r="A126" s="748"/>
    </row>
    <row r="127" spans="1:10" ht="12" customHeight="1">
      <c r="A127" s="454">
        <v>2017</v>
      </c>
      <c r="C127" s="397" t="s">
        <v>624</v>
      </c>
      <c r="D127" s="474">
        <v>0</v>
      </c>
      <c r="E127" s="485">
        <v>0</v>
      </c>
      <c r="F127" s="486">
        <v>0</v>
      </c>
      <c r="G127" s="486">
        <v>0</v>
      </c>
      <c r="H127" s="486">
        <v>0</v>
      </c>
      <c r="I127" s="487">
        <v>0</v>
      </c>
      <c r="J127" s="398">
        <f t="shared" ref="J127:J129" si="15">D127-SUM(E127:I127)</f>
        <v>0</v>
      </c>
    </row>
    <row r="128" spans="1:10" ht="12" customHeight="1">
      <c r="A128" s="454">
        <v>2018</v>
      </c>
      <c r="C128" s="405" t="s">
        <v>625</v>
      </c>
      <c r="D128" s="476">
        <v>0</v>
      </c>
      <c r="E128" s="489">
        <v>0</v>
      </c>
      <c r="F128" s="490">
        <v>0</v>
      </c>
      <c r="G128" s="490">
        <v>0</v>
      </c>
      <c r="H128" s="490">
        <v>0</v>
      </c>
      <c r="I128" s="491">
        <v>0</v>
      </c>
      <c r="J128" s="406">
        <f t="shared" si="15"/>
        <v>0</v>
      </c>
    </row>
    <row r="129" spans="1:10" ht="12" customHeight="1">
      <c r="A129" s="454">
        <v>2019</v>
      </c>
      <c r="C129" s="405" t="s">
        <v>626</v>
      </c>
      <c r="D129" s="476"/>
      <c r="E129" s="489">
        <v>0</v>
      </c>
      <c r="F129" s="490">
        <v>0</v>
      </c>
      <c r="G129" s="490">
        <v>0</v>
      </c>
      <c r="H129" s="490">
        <v>0</v>
      </c>
      <c r="I129" s="491">
        <v>0</v>
      </c>
      <c r="J129" s="406">
        <f t="shared" si="15"/>
        <v>0</v>
      </c>
    </row>
    <row r="130" spans="1:10" ht="12" customHeight="1">
      <c r="A130" s="454" t="s">
        <v>463</v>
      </c>
      <c r="C130" s="412" t="s">
        <v>718</v>
      </c>
      <c r="D130" s="413">
        <f>SUM(D127:D129)</f>
        <v>0</v>
      </c>
      <c r="E130" s="413">
        <f t="shared" ref="E130:J130" si="16">SUM(E127:E129)</f>
        <v>0</v>
      </c>
      <c r="F130" s="413">
        <f t="shared" si="16"/>
        <v>0</v>
      </c>
      <c r="G130" s="413">
        <f t="shared" si="16"/>
        <v>0</v>
      </c>
      <c r="H130" s="413">
        <f t="shared" si="16"/>
        <v>0</v>
      </c>
      <c r="I130" s="413">
        <f t="shared" si="16"/>
        <v>0</v>
      </c>
      <c r="J130" s="413">
        <f t="shared" si="16"/>
        <v>0</v>
      </c>
    </row>
    <row r="131" spans="1:10" s="515" customFormat="1">
      <c r="A131" s="454">
        <v>2020</v>
      </c>
      <c r="B131" s="385"/>
      <c r="C131" s="397" t="s">
        <v>628</v>
      </c>
      <c r="D131" s="451">
        <f>'T2 NSA'!C70</f>
        <v>0</v>
      </c>
      <c r="E131" s="485">
        <v>0</v>
      </c>
      <c r="F131" s="486">
        <v>0</v>
      </c>
      <c r="G131" s="486">
        <v>0</v>
      </c>
      <c r="H131" s="486">
        <v>0</v>
      </c>
      <c r="I131" s="487">
        <v>0</v>
      </c>
      <c r="J131" s="398">
        <f t="shared" ref="J131:J135" si="17">D131-SUM(E131:I131)</f>
        <v>0</v>
      </c>
    </row>
    <row r="132" spans="1:10" ht="12" customHeight="1">
      <c r="A132" s="454">
        <v>2021</v>
      </c>
      <c r="C132" s="405" t="s">
        <v>629</v>
      </c>
      <c r="D132" s="452">
        <f>'T2 NSA'!D70</f>
        <v>0</v>
      </c>
      <c r="E132" s="507"/>
      <c r="F132" s="490">
        <v>0</v>
      </c>
      <c r="G132" s="490">
        <v>0</v>
      </c>
      <c r="H132" s="490">
        <v>0</v>
      </c>
      <c r="I132" s="491">
        <v>0</v>
      </c>
      <c r="J132" s="406">
        <f t="shared" si="17"/>
        <v>0</v>
      </c>
    </row>
    <row r="133" spans="1:10" ht="12" customHeight="1">
      <c r="A133" s="454">
        <v>2022</v>
      </c>
      <c r="C133" s="405" t="s">
        <v>630</v>
      </c>
      <c r="D133" s="452">
        <f>'T2 NSA'!E70</f>
        <v>0</v>
      </c>
      <c r="E133" s="507"/>
      <c r="F133" s="508"/>
      <c r="G133" s="544">
        <v>0</v>
      </c>
      <c r="H133" s="544">
        <v>0</v>
      </c>
      <c r="I133" s="545">
        <v>0</v>
      </c>
      <c r="J133" s="406">
        <f t="shared" si="17"/>
        <v>0</v>
      </c>
    </row>
    <row r="134" spans="1:10" ht="12" customHeight="1">
      <c r="A134" s="454">
        <v>2023</v>
      </c>
      <c r="C134" s="405" t="s">
        <v>632</v>
      </c>
      <c r="D134" s="452">
        <f>'T2 NSA'!F70</f>
        <v>0</v>
      </c>
      <c r="E134" s="507"/>
      <c r="F134" s="508"/>
      <c r="G134" s="508"/>
      <c r="H134" s="490">
        <v>0</v>
      </c>
      <c r="I134" s="491">
        <v>0</v>
      </c>
      <c r="J134" s="406">
        <f t="shared" si="17"/>
        <v>0</v>
      </c>
    </row>
    <row r="135" spans="1:10" ht="12" customHeight="1">
      <c r="A135" s="454">
        <v>2024</v>
      </c>
      <c r="C135" s="425" t="s">
        <v>633</v>
      </c>
      <c r="D135" s="453">
        <f>'T2 NSA'!G70</f>
        <v>0</v>
      </c>
      <c r="E135" s="512"/>
      <c r="F135" s="513"/>
      <c r="G135" s="513"/>
      <c r="H135" s="513"/>
      <c r="I135" s="514">
        <v>0</v>
      </c>
      <c r="J135" s="426">
        <f t="shared" si="17"/>
        <v>0</v>
      </c>
    </row>
    <row r="136" spans="1:10" ht="12" customHeight="1">
      <c r="A136" s="454" t="s">
        <v>475</v>
      </c>
      <c r="C136" s="430" t="s">
        <v>637</v>
      </c>
      <c r="D136" s="431">
        <f>SUM(D130:D135)</f>
        <v>0</v>
      </c>
      <c r="E136" s="479">
        <f t="shared" ref="E136:J136" si="18">SUM(E130:E135)</f>
        <v>0</v>
      </c>
      <c r="F136" s="433">
        <f t="shared" si="18"/>
        <v>0</v>
      </c>
      <c r="G136" s="433">
        <f t="shared" si="18"/>
        <v>0</v>
      </c>
      <c r="H136" s="433">
        <f t="shared" si="18"/>
        <v>0</v>
      </c>
      <c r="I136" s="480">
        <f t="shared" si="18"/>
        <v>0</v>
      </c>
      <c r="J136" s="431">
        <f t="shared" si="18"/>
        <v>0</v>
      </c>
    </row>
    <row r="137" spans="1:10" ht="4.2" customHeight="1">
      <c r="A137" s="748"/>
    </row>
    <row r="138" spans="1:10" ht="12" customHeight="1">
      <c r="A138" s="454">
        <v>2017</v>
      </c>
      <c r="C138" s="397" t="s">
        <v>638</v>
      </c>
      <c r="D138" s="398">
        <v>0</v>
      </c>
      <c r="E138" s="485">
        <v>0</v>
      </c>
      <c r="F138" s="486">
        <v>0</v>
      </c>
      <c r="G138" s="486">
        <v>0</v>
      </c>
      <c r="H138" s="486">
        <v>0</v>
      </c>
      <c r="I138" s="487">
        <v>0</v>
      </c>
      <c r="J138" s="398">
        <f t="shared" ref="J138:J140" si="19">D138-SUM(E138:I138)</f>
        <v>0</v>
      </c>
    </row>
    <row r="139" spans="1:10" ht="12" customHeight="1">
      <c r="A139" s="454">
        <v>2018</v>
      </c>
      <c r="C139" s="405" t="s">
        <v>639</v>
      </c>
      <c r="D139" s="517">
        <v>0</v>
      </c>
      <c r="E139" s="489">
        <v>0</v>
      </c>
      <c r="F139" s="490">
        <v>0</v>
      </c>
      <c r="G139" s="490">
        <v>0</v>
      </c>
      <c r="H139" s="490">
        <v>0</v>
      </c>
      <c r="I139" s="491">
        <v>0</v>
      </c>
      <c r="J139" s="406">
        <f t="shared" si="19"/>
        <v>0</v>
      </c>
    </row>
    <row r="140" spans="1:10" ht="12" customHeight="1">
      <c r="A140" s="454">
        <v>2019</v>
      </c>
      <c r="C140" s="405" t="s">
        <v>640</v>
      </c>
      <c r="D140" s="406"/>
      <c r="E140" s="489">
        <v>0</v>
      </c>
      <c r="F140" s="490">
        <v>0</v>
      </c>
      <c r="G140" s="490">
        <v>0</v>
      </c>
      <c r="H140" s="490">
        <v>0</v>
      </c>
      <c r="I140" s="491">
        <v>0</v>
      </c>
      <c r="J140" s="406">
        <f t="shared" si="19"/>
        <v>0</v>
      </c>
    </row>
    <row r="141" spans="1:10" ht="12" customHeight="1">
      <c r="A141" s="454" t="s">
        <v>463</v>
      </c>
      <c r="C141" s="412" t="s">
        <v>641</v>
      </c>
      <c r="D141" s="413">
        <f>SUM(D138:D140)</f>
        <v>0</v>
      </c>
      <c r="E141" s="413">
        <f t="shared" ref="E141:J141" si="20">SUM(E138:E140)</f>
        <v>0</v>
      </c>
      <c r="F141" s="413">
        <f t="shared" si="20"/>
        <v>0</v>
      </c>
      <c r="G141" s="413">
        <f t="shared" si="20"/>
        <v>0</v>
      </c>
      <c r="H141" s="413">
        <f t="shared" si="20"/>
        <v>0</v>
      </c>
      <c r="I141" s="413">
        <f t="shared" si="20"/>
        <v>0</v>
      </c>
      <c r="J141" s="413">
        <f t="shared" si="20"/>
        <v>0</v>
      </c>
    </row>
    <row r="142" spans="1:10" s="515" customFormat="1">
      <c r="A142" s="454">
        <v>2020</v>
      </c>
      <c r="B142" s="385"/>
      <c r="C142" s="397" t="s">
        <v>642</v>
      </c>
      <c r="D142" s="451">
        <f>'T2 NSA'!C71</f>
        <v>0</v>
      </c>
      <c r="E142" s="485">
        <f>+D142</f>
        <v>0</v>
      </c>
      <c r="F142" s="486">
        <v>0</v>
      </c>
      <c r="G142" s="486">
        <v>0</v>
      </c>
      <c r="H142" s="506"/>
      <c r="I142" s="518"/>
      <c r="J142" s="403"/>
    </row>
    <row r="143" spans="1:10" ht="12" customHeight="1">
      <c r="A143" s="454">
        <v>2021</v>
      </c>
      <c r="C143" s="405" t="s">
        <v>643</v>
      </c>
      <c r="D143" s="452">
        <f>'T2 NSA'!D71</f>
        <v>0</v>
      </c>
      <c r="E143" s="507"/>
      <c r="F143" s="490">
        <v>0</v>
      </c>
      <c r="G143" s="490">
        <v>0</v>
      </c>
      <c r="H143" s="519">
        <f>D143</f>
        <v>0</v>
      </c>
      <c r="I143" s="520"/>
      <c r="J143" s="411"/>
    </row>
    <row r="144" spans="1:10" ht="12" customHeight="1">
      <c r="A144" s="454">
        <v>2022</v>
      </c>
      <c r="C144" s="405" t="s">
        <v>644</v>
      </c>
      <c r="D144" s="452">
        <f>'T2 NSA'!E71</f>
        <v>0</v>
      </c>
      <c r="E144" s="507"/>
      <c r="F144" s="508"/>
      <c r="G144" s="544">
        <v>0</v>
      </c>
      <c r="H144" s="544">
        <v>0</v>
      </c>
      <c r="I144" s="544">
        <f>D144</f>
        <v>0</v>
      </c>
      <c r="J144" s="411"/>
    </row>
    <row r="145" spans="1:10" ht="12" customHeight="1">
      <c r="A145" s="454">
        <v>2023</v>
      </c>
      <c r="C145" s="405" t="s">
        <v>646</v>
      </c>
      <c r="D145" s="452">
        <f>'T2 NSA'!F71</f>
        <v>0</v>
      </c>
      <c r="E145" s="507"/>
      <c r="F145" s="508"/>
      <c r="G145" s="508"/>
      <c r="H145" s="490">
        <v>0</v>
      </c>
      <c r="I145" s="490">
        <v>0</v>
      </c>
      <c r="J145" s="406">
        <f>D145</f>
        <v>0</v>
      </c>
    </row>
    <row r="146" spans="1:10" ht="12" customHeight="1">
      <c r="A146" s="454">
        <v>2024</v>
      </c>
      <c r="C146" s="425" t="s">
        <v>647</v>
      </c>
      <c r="D146" s="453">
        <f>'T2 NSA'!G71</f>
        <v>0</v>
      </c>
      <c r="E146" s="512"/>
      <c r="F146" s="513"/>
      <c r="G146" s="513"/>
      <c r="H146" s="513"/>
      <c r="I146" s="521">
        <v>0</v>
      </c>
      <c r="J146" s="426">
        <f>D146</f>
        <v>0</v>
      </c>
    </row>
    <row r="147" spans="1:10" ht="12" customHeight="1">
      <c r="A147" s="454" t="s">
        <v>475</v>
      </c>
      <c r="C147" s="430" t="s">
        <v>651</v>
      </c>
      <c r="D147" s="431">
        <f>SUM(D141:D146)</f>
        <v>0</v>
      </c>
      <c r="E147" s="479">
        <f t="shared" ref="E147:J147" si="21">SUM(E141:E146)</f>
        <v>0</v>
      </c>
      <c r="F147" s="433">
        <f t="shared" si="21"/>
        <v>0</v>
      </c>
      <c r="G147" s="433">
        <f t="shared" si="21"/>
        <v>0</v>
      </c>
      <c r="H147" s="433">
        <f t="shared" si="21"/>
        <v>0</v>
      </c>
      <c r="I147" s="480">
        <f t="shared" si="21"/>
        <v>0</v>
      </c>
      <c r="J147" s="431">
        <f t="shared" si="21"/>
        <v>0</v>
      </c>
    </row>
    <row r="148" spans="1:10" ht="4.2" customHeight="1">
      <c r="A148" s="748"/>
    </row>
    <row r="149" spans="1:10" ht="12" customHeight="1">
      <c r="A149" s="454">
        <v>2017</v>
      </c>
      <c r="C149" s="397" t="s">
        <v>652</v>
      </c>
      <c r="D149" s="403"/>
      <c r="E149" s="455"/>
      <c r="F149" s="401"/>
      <c r="G149" s="401"/>
      <c r="H149" s="401"/>
      <c r="I149" s="475"/>
      <c r="J149" s="403"/>
    </row>
    <row r="150" spans="1:10" ht="12" customHeight="1">
      <c r="A150" s="454">
        <v>2018</v>
      </c>
      <c r="C150" s="405" t="s">
        <v>653</v>
      </c>
      <c r="D150" s="411"/>
      <c r="E150" s="456"/>
      <c r="F150" s="409"/>
      <c r="G150" s="409"/>
      <c r="H150" s="409"/>
      <c r="I150" s="477"/>
      <c r="J150" s="411"/>
    </row>
    <row r="151" spans="1:10" ht="12" customHeight="1">
      <c r="A151" s="454">
        <v>2019</v>
      </c>
      <c r="C151" s="405" t="s">
        <v>654</v>
      </c>
      <c r="D151" s="411"/>
      <c r="E151" s="456"/>
      <c r="F151" s="409"/>
      <c r="G151" s="409"/>
      <c r="H151" s="409"/>
      <c r="I151" s="410"/>
      <c r="J151" s="411"/>
    </row>
    <row r="152" spans="1:10" ht="12" customHeight="1">
      <c r="A152" s="454" t="s">
        <v>463</v>
      </c>
      <c r="C152" s="412" t="s">
        <v>655</v>
      </c>
      <c r="D152" s="418"/>
      <c r="E152" s="418"/>
      <c r="F152" s="418"/>
      <c r="G152" s="418"/>
      <c r="H152" s="418"/>
      <c r="I152" s="418"/>
      <c r="J152" s="418"/>
    </row>
    <row r="153" spans="1:10" s="515" customFormat="1">
      <c r="A153" s="454">
        <v>2020</v>
      </c>
      <c r="B153" s="385"/>
      <c r="C153" s="397" t="s">
        <v>656</v>
      </c>
      <c r="D153" s="464"/>
      <c r="E153" s="455"/>
      <c r="F153" s="401"/>
      <c r="G153" s="401"/>
      <c r="H153" s="401"/>
      <c r="I153" s="475"/>
      <c r="J153" s="403"/>
    </row>
    <row r="154" spans="1:10" ht="12" customHeight="1">
      <c r="A154" s="454">
        <v>2021</v>
      </c>
      <c r="C154" s="405" t="s">
        <v>657</v>
      </c>
      <c r="D154" s="465"/>
      <c r="E154" s="456"/>
      <c r="F154" s="409"/>
      <c r="G154" s="409"/>
      <c r="H154" s="409"/>
      <c r="I154" s="477"/>
      <c r="J154" s="411"/>
    </row>
    <row r="155" spans="1:10" ht="12" customHeight="1">
      <c r="A155" s="454">
        <v>2022</v>
      </c>
      <c r="C155" s="405" t="s">
        <v>658</v>
      </c>
      <c r="D155" s="465"/>
      <c r="E155" s="456"/>
      <c r="F155" s="409"/>
      <c r="G155" s="409"/>
      <c r="H155" s="409"/>
      <c r="I155" s="409"/>
      <c r="J155" s="411"/>
    </row>
    <row r="156" spans="1:10" ht="12" customHeight="1">
      <c r="A156" s="454">
        <v>2023</v>
      </c>
      <c r="C156" s="405" t="s">
        <v>660</v>
      </c>
      <c r="D156" s="465"/>
      <c r="E156" s="456"/>
      <c r="F156" s="409"/>
      <c r="G156" s="409"/>
      <c r="H156" s="409"/>
      <c r="I156" s="409"/>
      <c r="J156" s="411"/>
    </row>
    <row r="157" spans="1:10" ht="12" customHeight="1">
      <c r="A157" s="454">
        <v>2024</v>
      </c>
      <c r="C157" s="425" t="s">
        <v>661</v>
      </c>
      <c r="D157" s="466"/>
      <c r="E157" s="459"/>
      <c r="F157" s="460"/>
      <c r="G157" s="460"/>
      <c r="H157" s="460"/>
      <c r="I157" s="460"/>
      <c r="J157" s="467"/>
    </row>
    <row r="158" spans="1:10" ht="12" customHeight="1">
      <c r="A158" s="454" t="s">
        <v>475</v>
      </c>
      <c r="C158" s="430" t="s">
        <v>665</v>
      </c>
      <c r="D158" s="499"/>
      <c r="E158" s="493"/>
      <c r="F158" s="494"/>
      <c r="G158" s="494"/>
      <c r="H158" s="494"/>
      <c r="I158" s="500"/>
      <c r="J158" s="499"/>
    </row>
    <row r="159" spans="1:10" ht="4.2" customHeight="1">
      <c r="A159" s="748"/>
    </row>
    <row r="160" spans="1:10" ht="12" customHeight="1">
      <c r="A160" s="454">
        <v>2020</v>
      </c>
      <c r="C160" s="468" t="s">
        <v>666</v>
      </c>
      <c r="D160" s="447">
        <f>'T2 NSA'!C63</f>
        <v>0</v>
      </c>
      <c r="E160" s="485">
        <v>0</v>
      </c>
      <c r="F160" s="486">
        <v>0</v>
      </c>
      <c r="G160" s="486">
        <v>0</v>
      </c>
      <c r="H160" s="486">
        <v>0</v>
      </c>
      <c r="I160" s="487">
        <v>0</v>
      </c>
      <c r="J160" s="398">
        <f t="shared" ref="J160:J164" si="22">D160-SUM(E160:I160)</f>
        <v>0</v>
      </c>
    </row>
    <row r="161" spans="1:12" ht="12" customHeight="1">
      <c r="A161" s="454">
        <v>2021</v>
      </c>
      <c r="C161" s="469" t="s">
        <v>667</v>
      </c>
      <c r="D161" s="448">
        <f>'T2 NSA'!D63</f>
        <v>0</v>
      </c>
      <c r="E161" s="503"/>
      <c r="F161" s="490">
        <v>0</v>
      </c>
      <c r="G161" s="490">
        <v>0</v>
      </c>
      <c r="H161" s="490">
        <v>0</v>
      </c>
      <c r="I161" s="491">
        <v>0</v>
      </c>
      <c r="J161" s="406">
        <f t="shared" si="22"/>
        <v>0</v>
      </c>
    </row>
    <row r="162" spans="1:12" ht="12" customHeight="1">
      <c r="A162" s="454">
        <v>2022</v>
      </c>
      <c r="C162" s="469" t="s">
        <v>668</v>
      </c>
      <c r="D162" s="448">
        <f>'T2 NSA'!E63</f>
        <v>0</v>
      </c>
      <c r="E162" s="503"/>
      <c r="F162" s="522"/>
      <c r="G162" s="490">
        <v>0</v>
      </c>
      <c r="H162" s="490">
        <v>0</v>
      </c>
      <c r="I162" s="491">
        <v>0</v>
      </c>
      <c r="J162" s="406">
        <f t="shared" si="22"/>
        <v>0</v>
      </c>
    </row>
    <row r="163" spans="1:12" ht="12" customHeight="1">
      <c r="A163" s="454">
        <v>2023</v>
      </c>
      <c r="C163" s="469" t="s">
        <v>670</v>
      </c>
      <c r="D163" s="448">
        <f>'T2 NSA'!F63</f>
        <v>0</v>
      </c>
      <c r="E163" s="503"/>
      <c r="F163" s="522"/>
      <c r="G163" s="522"/>
      <c r="H163" s="490">
        <v>0</v>
      </c>
      <c r="I163" s="491">
        <v>0</v>
      </c>
      <c r="J163" s="406">
        <f t="shared" si="22"/>
        <v>0</v>
      </c>
    </row>
    <row r="164" spans="1:12" ht="12" customHeight="1">
      <c r="A164" s="454">
        <v>2024</v>
      </c>
      <c r="C164" s="470" t="s">
        <v>671</v>
      </c>
      <c r="D164" s="449">
        <f>'T2 NSA'!G63</f>
        <v>0</v>
      </c>
      <c r="E164" s="523"/>
      <c r="F164" s="524"/>
      <c r="G164" s="524"/>
      <c r="H164" s="524"/>
      <c r="I164" s="514">
        <v>0</v>
      </c>
      <c r="J164" s="426">
        <f t="shared" si="22"/>
        <v>0</v>
      </c>
    </row>
    <row r="165" spans="1:12" ht="12" customHeight="1">
      <c r="A165" s="454" t="s">
        <v>475</v>
      </c>
      <c r="C165" s="430" t="s">
        <v>675</v>
      </c>
      <c r="D165" s="431">
        <f>SUM(D160:D164)</f>
        <v>0</v>
      </c>
      <c r="E165" s="479">
        <f t="shared" ref="E165:J165" si="23">SUM(E160:E164)</f>
        <v>0</v>
      </c>
      <c r="F165" s="433">
        <f t="shared" si="23"/>
        <v>0</v>
      </c>
      <c r="G165" s="433">
        <f t="shared" si="23"/>
        <v>0</v>
      </c>
      <c r="H165" s="433">
        <f t="shared" si="23"/>
        <v>0</v>
      </c>
      <c r="I165" s="480">
        <f t="shared" si="23"/>
        <v>0</v>
      </c>
      <c r="J165" s="431">
        <f t="shared" si="23"/>
        <v>0</v>
      </c>
    </row>
    <row r="166" spans="1:12" ht="3" customHeight="1"/>
    <row r="167" spans="1:12" ht="12" customHeight="1">
      <c r="A167" s="454">
        <v>2020</v>
      </c>
      <c r="B167" s="395"/>
      <c r="C167" s="468" t="s">
        <v>676</v>
      </c>
      <c r="D167" s="540"/>
      <c r="E167" s="455"/>
      <c r="F167" s="401"/>
      <c r="G167" s="401"/>
      <c r="H167" s="401"/>
      <c r="I167" s="402"/>
      <c r="J167" s="403"/>
      <c r="L167" s="768"/>
    </row>
    <row r="168" spans="1:12" ht="12" customHeight="1">
      <c r="A168" s="454">
        <v>2021</v>
      </c>
      <c r="B168" s="395"/>
      <c r="C168" s="469" t="s">
        <v>677</v>
      </c>
      <c r="D168" s="541"/>
      <c r="E168" s="456"/>
      <c r="F168" s="409"/>
      <c r="G168" s="409"/>
      <c r="H168" s="409"/>
      <c r="I168" s="410"/>
      <c r="J168" s="411"/>
      <c r="L168" s="768"/>
    </row>
    <row r="169" spans="1:12" ht="12" customHeight="1">
      <c r="A169" s="454">
        <v>2022</v>
      </c>
      <c r="B169" s="395"/>
      <c r="C169" s="469" t="s">
        <v>678</v>
      </c>
      <c r="D169" s="541"/>
      <c r="E169" s="456"/>
      <c r="F169" s="409"/>
      <c r="G169" s="409"/>
      <c r="H169" s="409"/>
      <c r="I169" s="410"/>
      <c r="J169" s="411"/>
      <c r="L169" s="768"/>
    </row>
    <row r="170" spans="1:12" ht="12" customHeight="1">
      <c r="A170" s="454">
        <v>2023</v>
      </c>
      <c r="B170" s="395"/>
      <c r="C170" s="469" t="s">
        <v>680</v>
      </c>
      <c r="D170" s="541"/>
      <c r="E170" s="456"/>
      <c r="F170" s="409"/>
      <c r="G170" s="409"/>
      <c r="H170" s="409"/>
      <c r="I170" s="410"/>
      <c r="J170" s="411"/>
      <c r="L170" s="768"/>
    </row>
    <row r="171" spans="1:12" ht="12" customHeight="1">
      <c r="A171" s="454">
        <v>2024</v>
      </c>
      <c r="B171" s="395"/>
      <c r="C171" s="470" t="s">
        <v>681</v>
      </c>
      <c r="D171" s="542"/>
      <c r="E171" s="459"/>
      <c r="F171" s="460"/>
      <c r="G171" s="460"/>
      <c r="H171" s="460"/>
      <c r="I171" s="769"/>
      <c r="J171" s="467"/>
      <c r="L171" s="768"/>
    </row>
    <row r="172" spans="1:12" ht="12" customHeight="1">
      <c r="A172" s="454" t="s">
        <v>475</v>
      </c>
      <c r="B172" s="395"/>
      <c r="C172" s="430" t="s">
        <v>685</v>
      </c>
      <c r="D172" s="499"/>
      <c r="E172" s="533"/>
      <c r="F172" s="494"/>
      <c r="G172" s="494"/>
      <c r="H172" s="494"/>
      <c r="I172" s="534"/>
      <c r="J172" s="499"/>
      <c r="L172" s="768"/>
    </row>
    <row r="173" spans="1:12" ht="4.2" customHeight="1">
      <c r="C173" s="471"/>
      <c r="D173" s="471"/>
      <c r="E173" s="471"/>
      <c r="F173" s="472"/>
      <c r="G173" s="471"/>
      <c r="H173" s="471"/>
      <c r="I173" s="471"/>
      <c r="J173" s="471"/>
    </row>
    <row r="174" spans="1:12" ht="3" customHeight="1"/>
    <row r="175" spans="1:12" ht="12" customHeight="1">
      <c r="B175" s="395"/>
      <c r="C175" s="430" t="s">
        <v>686</v>
      </c>
      <c r="D175" s="431">
        <f t="shared" ref="D175:J175" si="24">D17+D28+D35+D42+D49+D56+D63+D70+D75+D86+D97+D114+D125+D136+D147+D158+D165+D172</f>
        <v>47455.06948381017</v>
      </c>
      <c r="E175" s="431">
        <f t="shared" si="24"/>
        <v>-9560.9232333506698</v>
      </c>
      <c r="F175" s="431">
        <f t="shared" si="24"/>
        <v>-15902.192129381983</v>
      </c>
      <c r="G175" s="431">
        <f t="shared" si="24"/>
        <v>28269.502794880413</v>
      </c>
      <c r="H175" s="431">
        <f t="shared" si="24"/>
        <v>24596.770562383492</v>
      </c>
      <c r="I175" s="431">
        <f t="shared" si="24"/>
        <v>20051.745709105227</v>
      </c>
      <c r="J175" s="431">
        <f t="shared" si="24"/>
        <v>0</v>
      </c>
      <c r="L175" s="404"/>
    </row>
    <row r="176" spans="1:12" ht="3" customHeight="1"/>
    <row r="177" spans="3:10" ht="12" customHeight="1">
      <c r="C177" s="1" t="s">
        <v>705</v>
      </c>
    </row>
    <row r="178" spans="3:10" ht="12" customHeight="1">
      <c r="C178" s="1" t="s">
        <v>706</v>
      </c>
      <c r="D178" s="143"/>
      <c r="E178" s="473"/>
      <c r="F178" s="473"/>
      <c r="G178" s="473"/>
      <c r="H178" s="473"/>
      <c r="I178" s="473"/>
      <c r="J178" s="473"/>
    </row>
  </sheetData>
  <mergeCells count="2">
    <mergeCell ref="C1:J1"/>
    <mergeCell ref="L75:M75"/>
  </mergeCells>
  <pageMargins left="0.7" right="0.7" top="0.75" bottom="0.75" header="0.3" footer="0.3"/>
  <pageSetup paperSize="9" scale="38"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pageSetUpPr fitToPage="1"/>
  </sheetPr>
  <dimension ref="B1:N28"/>
  <sheetViews>
    <sheetView showGridLines="0" zoomScale="80" zoomScaleNormal="80" workbookViewId="0">
      <selection activeCell="G19" sqref="G19"/>
    </sheetView>
  </sheetViews>
  <sheetFormatPr defaultColWidth="8.6640625" defaultRowHeight="13.8"/>
  <cols>
    <col min="1" max="1" width="1.44140625" style="219" customWidth="1"/>
    <col min="2" max="2" width="1.5546875" style="219" customWidth="1"/>
    <col min="3" max="3" width="52.6640625" style="219" customWidth="1"/>
    <col min="4" max="10" width="14" style="219" customWidth="1"/>
    <col min="11" max="11" width="2.6640625" style="219" customWidth="1"/>
    <col min="12" max="13" width="14" style="219" customWidth="1"/>
    <col min="14" max="14" width="1.44140625" style="219" customWidth="1"/>
    <col min="15" max="15" width="1.33203125" style="219" customWidth="1"/>
    <col min="16" max="16384" width="8.6640625" style="219"/>
  </cols>
  <sheetData>
    <row r="1" spans="2:14">
      <c r="D1" s="547"/>
      <c r="E1" s="547"/>
      <c r="F1" s="547"/>
      <c r="G1" s="547"/>
      <c r="H1" s="547"/>
      <c r="I1" s="547"/>
      <c r="J1" s="547"/>
      <c r="K1" s="547"/>
      <c r="L1" s="547"/>
      <c r="M1" s="547"/>
    </row>
    <row r="2" spans="2:14">
      <c r="D2" s="547"/>
      <c r="E2" s="547"/>
      <c r="F2" s="548" t="s">
        <v>831</v>
      </c>
      <c r="G2" s="547"/>
      <c r="H2" s="547"/>
      <c r="I2" s="547"/>
      <c r="J2" s="547"/>
      <c r="K2" s="547"/>
      <c r="L2" s="547"/>
      <c r="M2" s="547"/>
    </row>
    <row r="3" spans="2:14" ht="14.4" thickBot="1">
      <c r="D3" s="547"/>
      <c r="E3" s="547"/>
      <c r="F3" s="547"/>
      <c r="G3" s="547"/>
      <c r="H3" s="547"/>
      <c r="I3" s="547"/>
      <c r="J3" s="547"/>
      <c r="K3" s="547"/>
      <c r="L3" s="547"/>
      <c r="M3" s="547"/>
    </row>
    <row r="4" spans="2:14" ht="18.600000000000001" customHeight="1">
      <c r="B4" s="749"/>
      <c r="C4" s="750"/>
      <c r="D4" s="750"/>
      <c r="E4" s="750"/>
      <c r="F4" s="750"/>
      <c r="G4" s="750"/>
      <c r="H4" s="750"/>
      <c r="I4" s="750"/>
      <c r="J4" s="750"/>
      <c r="K4" s="750"/>
      <c r="L4" s="750"/>
      <c r="M4" s="750"/>
      <c r="N4" s="751"/>
    </row>
    <row r="5" spans="2:14" ht="18.600000000000001" customHeight="1">
      <c r="B5" s="752"/>
      <c r="C5" s="293" t="s">
        <v>832</v>
      </c>
      <c r="N5" s="753"/>
    </row>
    <row r="6" spans="2:14" ht="18.600000000000001" customHeight="1">
      <c r="B6" s="752"/>
      <c r="F6" s="755"/>
      <c r="G6" s="747"/>
      <c r="H6" s="747"/>
      <c r="I6" s="747"/>
      <c r="J6" s="747"/>
      <c r="K6" s="745"/>
      <c r="L6" s="755"/>
      <c r="N6" s="753"/>
    </row>
    <row r="7" spans="2:14" ht="18.600000000000001" customHeight="1">
      <c r="B7" s="752"/>
      <c r="C7" s="550" t="s">
        <v>833</v>
      </c>
      <c r="D7" s="551"/>
      <c r="E7" s="551"/>
      <c r="F7" s="551"/>
      <c r="G7" s="551"/>
      <c r="H7" s="551"/>
      <c r="I7" s="551"/>
      <c r="J7" s="551"/>
      <c r="K7" s="551"/>
      <c r="L7" s="762">
        <f>+'T1'!J66*1000</f>
        <v>679949894.99476302</v>
      </c>
      <c r="N7" s="753"/>
    </row>
    <row r="8" spans="2:14" ht="18.600000000000001" customHeight="1">
      <c r="B8" s="754"/>
      <c r="C8" s="550" t="s">
        <v>834</v>
      </c>
      <c r="D8" s="551"/>
      <c r="E8" s="551"/>
      <c r="F8" s="551"/>
      <c r="G8" s="551"/>
      <c r="H8" s="551"/>
      <c r="I8" s="551"/>
      <c r="J8" s="551"/>
      <c r="K8" s="551"/>
      <c r="L8" s="553">
        <f>'T1 ANSP'!J68*1000</f>
        <v>12593898.8214</v>
      </c>
      <c r="N8" s="753"/>
    </row>
    <row r="9" spans="2:14" ht="18.600000000000001" customHeight="1">
      <c r="B9" s="754"/>
      <c r="C9" s="550" t="s">
        <v>835</v>
      </c>
      <c r="D9" s="551"/>
      <c r="E9" s="551"/>
      <c r="F9" s="551"/>
      <c r="G9" s="551"/>
      <c r="H9" s="551"/>
      <c r="I9" s="551"/>
      <c r="J9" s="551"/>
      <c r="K9" s="551"/>
      <c r="L9" s="554">
        <f>L7/L8</f>
        <v>53.990420650304735</v>
      </c>
      <c r="N9" s="753"/>
    </row>
    <row r="10" spans="2:14" ht="18.600000000000001" customHeight="1">
      <c r="B10" s="754"/>
      <c r="C10" s="552"/>
      <c r="D10" s="552"/>
      <c r="E10" s="552"/>
      <c r="F10" s="552"/>
      <c r="G10" s="552"/>
      <c r="H10" s="552"/>
      <c r="I10" s="552"/>
      <c r="J10" s="552"/>
      <c r="K10" s="552"/>
      <c r="L10" s="552"/>
      <c r="N10" s="753"/>
    </row>
    <row r="11" spans="2:14" ht="18.600000000000001" customHeight="1">
      <c r="B11" s="752"/>
      <c r="N11" s="753"/>
    </row>
    <row r="12" spans="2:14" ht="18.600000000000001" customHeight="1">
      <c r="B12" s="752"/>
      <c r="C12" s="293" t="s">
        <v>836</v>
      </c>
      <c r="D12" s="755"/>
      <c r="E12" s="755"/>
      <c r="F12" s="756"/>
      <c r="G12" s="756"/>
      <c r="H12" s="756"/>
      <c r="I12" s="756"/>
      <c r="J12" s="756"/>
      <c r="K12" s="756"/>
      <c r="L12" s="756"/>
      <c r="N12" s="753"/>
    </row>
    <row r="13" spans="2:14" ht="18.600000000000001" customHeight="1">
      <c r="B13" s="752"/>
      <c r="N13" s="753"/>
    </row>
    <row r="14" spans="2:14" ht="18.600000000000001" customHeight="1">
      <c r="B14" s="752"/>
      <c r="C14" s="555" t="s">
        <v>837</v>
      </c>
      <c r="D14" s="556" t="s">
        <v>838</v>
      </c>
      <c r="E14" s="556" t="s">
        <v>839</v>
      </c>
      <c r="F14" s="550"/>
      <c r="G14" s="557" t="s">
        <v>840</v>
      </c>
      <c r="H14" s="557"/>
      <c r="I14" s="557"/>
      <c r="J14" s="558"/>
      <c r="K14" s="559"/>
      <c r="L14" s="556" t="s">
        <v>841</v>
      </c>
      <c r="M14" s="560" t="s">
        <v>841</v>
      </c>
      <c r="N14" s="753"/>
    </row>
    <row r="15" spans="2:14" ht="18.600000000000001" customHeight="1">
      <c r="B15" s="752"/>
      <c r="C15" s="561" t="str">
        <f>'T1'!A3</f>
        <v>United Kingdom</v>
      </c>
      <c r="D15" s="562" t="s">
        <v>842</v>
      </c>
      <c r="E15" s="562" t="s">
        <v>843</v>
      </c>
      <c r="F15" s="562" t="s">
        <v>844</v>
      </c>
      <c r="G15" s="562" t="s">
        <v>845</v>
      </c>
      <c r="H15" s="562" t="s">
        <v>846</v>
      </c>
      <c r="I15" s="562" t="s">
        <v>847</v>
      </c>
      <c r="J15" s="562" t="s">
        <v>848</v>
      </c>
      <c r="K15" s="559"/>
      <c r="L15" s="562" t="s">
        <v>849</v>
      </c>
      <c r="M15" s="562" t="s">
        <v>850</v>
      </c>
      <c r="N15" s="753"/>
    </row>
    <row r="16" spans="2:14" ht="18.600000000000001" customHeight="1">
      <c r="B16" s="752"/>
      <c r="C16" s="563" t="s">
        <v>851</v>
      </c>
      <c r="D16" s="564"/>
      <c r="E16" s="564"/>
      <c r="F16" s="549">
        <f>'T1'!K61*1000</f>
        <v>790418899.53814805</v>
      </c>
      <c r="G16" s="549">
        <f>'T1'!L61*1000</f>
        <v>775027034.15828109</v>
      </c>
      <c r="H16" s="549">
        <f>'T1'!M61*1000</f>
        <v>790935592.9711231</v>
      </c>
      <c r="I16" s="549">
        <f>'T1'!N61*1000</f>
        <v>873485108.74478841</v>
      </c>
      <c r="J16" s="549">
        <f>'T1'!O61*1000</f>
        <v>889282987.39770949</v>
      </c>
      <c r="K16" s="559"/>
      <c r="L16" s="564"/>
      <c r="M16" s="564"/>
      <c r="N16" s="753"/>
    </row>
    <row r="17" spans="2:14" ht="18.600000000000001" customHeight="1">
      <c r="B17" s="752"/>
      <c r="C17" s="550" t="s">
        <v>852</v>
      </c>
      <c r="D17" s="569">
        <f>'T1'!E66*1000</f>
        <v>692804406.17809629</v>
      </c>
      <c r="E17" s="569">
        <f>L7</f>
        <v>679949894.99476302</v>
      </c>
      <c r="F17" s="570">
        <f>'T1'!K66*1000</f>
        <v>742574476.92388189</v>
      </c>
      <c r="G17" s="570">
        <f>'T1'!L66*1000</f>
        <v>713837537.54389095</v>
      </c>
      <c r="H17" s="570">
        <f>'T1'!M66*1000</f>
        <v>714205973.34073186</v>
      </c>
      <c r="I17" s="570">
        <f>'T1'!N66*1000</f>
        <v>735665554.23552382</v>
      </c>
      <c r="J17" s="570">
        <f>'T1'!O66*1000</f>
        <v>742608546.6437242</v>
      </c>
      <c r="K17" s="559"/>
      <c r="L17" s="571">
        <f>(J17/('T1'!E66*1000))^(1/10)-1</f>
        <v>6.9662858226204882E-3</v>
      </c>
      <c r="M17" s="571">
        <f>(J17/E17)^(1/5)-1</f>
        <v>1.7786313383443497E-2</v>
      </c>
      <c r="N17" s="753"/>
    </row>
    <row r="18" spans="2:14" ht="18.600000000000001" customHeight="1">
      <c r="B18" s="752"/>
      <c r="C18" s="563" t="s">
        <v>853</v>
      </c>
      <c r="D18" s="564"/>
      <c r="E18" s="564"/>
      <c r="F18" s="566">
        <f>+F17/E17-1</f>
        <v>9.2101759835702568E-2</v>
      </c>
      <c r="G18" s="566">
        <f t="shared" ref="G18:J18" si="0">+G17/F17-1</f>
        <v>-3.8699066925965253E-2</v>
      </c>
      <c r="H18" s="566">
        <f t="shared" si="0"/>
        <v>5.1613396250993482E-4</v>
      </c>
      <c r="I18" s="566">
        <f t="shared" si="0"/>
        <v>3.0046767593406853E-2</v>
      </c>
      <c r="J18" s="566">
        <f t="shared" si="0"/>
        <v>9.4377021844054276E-3</v>
      </c>
      <c r="K18" s="559"/>
      <c r="L18" s="564"/>
      <c r="M18" s="564"/>
      <c r="N18" s="753"/>
    </row>
    <row r="19" spans="2:14" ht="18.600000000000001" customHeight="1">
      <c r="B19" s="752"/>
      <c r="C19" s="563" t="s">
        <v>854</v>
      </c>
      <c r="D19" s="572">
        <f>(('T1'!E68*1000)*(L8/('T1'!J68*1000)))</f>
        <v>9979403</v>
      </c>
      <c r="E19" s="572">
        <f>L8</f>
        <v>12593898.8214</v>
      </c>
      <c r="F19" s="549">
        <f>'T1'!K68*1000</f>
        <v>12647945</v>
      </c>
      <c r="G19" s="549">
        <f>'T1'!L68*1000</f>
        <v>12891000</v>
      </c>
      <c r="H19" s="549">
        <f>'T1'!M68*1000</f>
        <v>13183000</v>
      </c>
      <c r="I19" s="549">
        <f>'T1'!N68*1000</f>
        <v>11956000</v>
      </c>
      <c r="J19" s="549">
        <f>'T1'!O68*1000</f>
        <v>12930000</v>
      </c>
      <c r="K19" s="559"/>
      <c r="L19" s="565">
        <f>(J19/D19)^(1/10)-1</f>
        <v>2.6241082546501815E-2</v>
      </c>
      <c r="M19" s="565">
        <f>(J19/E19)^(1/5)-1</f>
        <v>5.2814412227681906E-3</v>
      </c>
      <c r="N19" s="753"/>
    </row>
    <row r="20" spans="2:14" s="568" customFormat="1" ht="18.600000000000001" customHeight="1">
      <c r="B20" s="757"/>
      <c r="C20" s="563" t="s">
        <v>853</v>
      </c>
      <c r="D20" s="564"/>
      <c r="E20" s="564"/>
      <c r="F20" s="566">
        <f t="shared" ref="F20:J20" si="1">+F19/E19-1</f>
        <v>4.2914572656533867E-3</v>
      </c>
      <c r="G20" s="566">
        <f t="shared" si="1"/>
        <v>1.9216955797957791E-2</v>
      </c>
      <c r="H20" s="566">
        <f t="shared" si="1"/>
        <v>2.2651462260491861E-2</v>
      </c>
      <c r="I20" s="566">
        <f t="shared" si="1"/>
        <v>-9.3074414018053608E-2</v>
      </c>
      <c r="J20" s="566">
        <f t="shared" si="1"/>
        <v>8.1465373034459665E-2</v>
      </c>
      <c r="K20" s="567"/>
      <c r="L20" s="564"/>
      <c r="M20" s="564"/>
      <c r="N20" s="758"/>
    </row>
    <row r="21" spans="2:14" ht="18.600000000000001" customHeight="1">
      <c r="B21" s="752"/>
      <c r="C21" s="550" t="s">
        <v>855</v>
      </c>
      <c r="D21" s="573">
        <f>D17/D19</f>
        <v>69.423432060825306</v>
      </c>
      <c r="E21" s="573">
        <f>E17/E19</f>
        <v>53.990420650304735</v>
      </c>
      <c r="F21" s="554">
        <f t="shared" ref="F21:J21" si="2">IF(F19=0,0,F17/F19)</f>
        <v>58.711077327097954</v>
      </c>
      <c r="G21" s="554">
        <f t="shared" si="2"/>
        <v>55.37487685547211</v>
      </c>
      <c r="H21" s="554">
        <f t="shared" si="2"/>
        <v>54.176285620930884</v>
      </c>
      <c r="I21" s="554">
        <f t="shared" si="2"/>
        <v>61.531076801231499</v>
      </c>
      <c r="J21" s="554">
        <f t="shared" si="2"/>
        <v>57.432988912894373</v>
      </c>
      <c r="K21" s="559"/>
      <c r="L21" s="571">
        <f>(J21/D21)^(1/10)-1</f>
        <v>-1.878193832978603E-2</v>
      </c>
      <c r="M21" s="571">
        <f>(J21/E21)^(1/5)-1</f>
        <v>1.2439175387009227E-2</v>
      </c>
      <c r="N21" s="753"/>
    </row>
    <row r="22" spans="2:14" s="568" customFormat="1" ht="18.600000000000001" customHeight="1">
      <c r="B22" s="757"/>
      <c r="C22" s="563" t="s">
        <v>853</v>
      </c>
      <c r="D22" s="564"/>
      <c r="E22" s="564"/>
      <c r="F22" s="566">
        <f t="shared" ref="F22:J22" si="3">+F21/E21-1</f>
        <v>8.7435078666433297E-2</v>
      </c>
      <c r="G22" s="566">
        <f t="shared" si="3"/>
        <v>-5.6824037703120611E-2</v>
      </c>
      <c r="H22" s="566">
        <f t="shared" si="3"/>
        <v>-2.1645036569011955E-2</v>
      </c>
      <c r="I22" s="566">
        <f t="shared" si="3"/>
        <v>0.13575665249112445</v>
      </c>
      <c r="J22" s="566">
        <f t="shared" si="3"/>
        <v>-6.6601920547814997E-2</v>
      </c>
      <c r="K22" s="567"/>
      <c r="L22" s="564"/>
      <c r="M22" s="564"/>
      <c r="N22" s="758"/>
    </row>
    <row r="23" spans="2:14" ht="18.600000000000001" customHeight="1">
      <c r="B23" s="752"/>
      <c r="C23" s="563" t="s">
        <v>856</v>
      </c>
      <c r="D23" s="573">
        <f t="shared" ref="D23:J23" si="4">D21/$E$27</f>
        <v>79.258545743603293</v>
      </c>
      <c r="E23" s="573">
        <f t="shared" si="4"/>
        <v>61.639162712084598</v>
      </c>
      <c r="F23" s="554">
        <f t="shared" si="4"/>
        <v>67.028587752748805</v>
      </c>
      <c r="G23" s="554">
        <f t="shared" si="4"/>
        <v>63.219752755099677</v>
      </c>
      <c r="H23" s="554">
        <f t="shared" si="4"/>
        <v>61.851358894831648</v>
      </c>
      <c r="I23" s="554">
        <f t="shared" si="4"/>
        <v>70.24809233042113</v>
      </c>
      <c r="J23" s="554">
        <f t="shared" si="4"/>
        <v>65.569434466394839</v>
      </c>
      <c r="K23" s="559"/>
      <c r="L23" s="571">
        <f>(J23/D23)^(1/10)-1</f>
        <v>-1.8781938329786141E-2</v>
      </c>
      <c r="M23" s="571">
        <f>(J23/E23)^(1/5)-1</f>
        <v>1.2439175387009227E-2</v>
      </c>
      <c r="N23" s="753"/>
    </row>
    <row r="24" spans="2:14" s="568" customFormat="1" ht="18.600000000000001" customHeight="1">
      <c r="B24" s="757"/>
      <c r="C24" s="563" t="s">
        <v>853</v>
      </c>
      <c r="D24" s="564"/>
      <c r="E24" s="564"/>
      <c r="F24" s="566">
        <f t="shared" ref="F24:J24" si="5">+F23/E23-1</f>
        <v>8.7435078666433519E-2</v>
      </c>
      <c r="G24" s="566">
        <f t="shared" si="5"/>
        <v>-5.6824037703120611E-2</v>
      </c>
      <c r="H24" s="566">
        <f t="shared" si="5"/>
        <v>-2.1645036569011955E-2</v>
      </c>
      <c r="I24" s="566">
        <f t="shared" si="5"/>
        <v>0.13575665249112445</v>
      </c>
      <c r="J24" s="566">
        <f t="shared" si="5"/>
        <v>-6.6601920547815108E-2</v>
      </c>
      <c r="K24" s="567"/>
      <c r="L24" s="564"/>
      <c r="M24" s="564"/>
      <c r="N24" s="758"/>
    </row>
    <row r="25" spans="2:14" ht="18.600000000000001" customHeight="1">
      <c r="B25" s="752"/>
      <c r="C25" s="574"/>
      <c r="D25" s="575"/>
      <c r="E25" s="575"/>
      <c r="N25" s="753"/>
    </row>
    <row r="26" spans="2:14" ht="18.600000000000001" customHeight="1">
      <c r="B26" s="752"/>
      <c r="C26" s="576" t="s">
        <v>857</v>
      </c>
      <c r="D26" s="766"/>
      <c r="E26" s="746" t="s">
        <v>858</v>
      </c>
      <c r="N26" s="753"/>
    </row>
    <row r="27" spans="2:14" ht="18.600000000000001" customHeight="1">
      <c r="B27" s="752"/>
      <c r="C27" s="563" t="s">
        <v>859</v>
      </c>
      <c r="D27" s="767"/>
      <c r="E27" s="746">
        <v>0.875911</v>
      </c>
      <c r="N27" s="753"/>
    </row>
    <row r="28" spans="2:14" ht="14.4" thickBot="1">
      <c r="B28" s="759"/>
      <c r="C28" s="760"/>
      <c r="D28" s="760"/>
      <c r="E28" s="760"/>
      <c r="F28" s="760"/>
      <c r="G28" s="760"/>
      <c r="H28" s="760"/>
      <c r="I28" s="760"/>
      <c r="J28" s="760"/>
      <c r="K28" s="760"/>
      <c r="L28" s="760"/>
      <c r="M28" s="760"/>
      <c r="N28" s="761"/>
    </row>
  </sheetData>
  <pageMargins left="0.7" right="0.7" top="0.75" bottom="0.75" header="0.3" footer="0.3"/>
  <pageSetup paperSize="9" scale="69" orientation="landscape"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pageSetUpPr fitToPage="1"/>
  </sheetPr>
  <dimension ref="A1:AJ78"/>
  <sheetViews>
    <sheetView showGridLines="0" workbookViewId="0">
      <pane xSplit="2" ySplit="9" topLeftCell="E42" activePane="bottomRight" state="frozen"/>
      <selection pane="topRight" activeCell="C1" sqref="C1"/>
      <selection pane="bottomLeft" activeCell="A10" sqref="A10"/>
      <selection pane="bottomRight" activeCell="N70" sqref="N70:R70"/>
    </sheetView>
  </sheetViews>
  <sheetFormatPr defaultColWidth="1.33203125" defaultRowHeight="12"/>
  <cols>
    <col min="1" max="1" width="30.6640625" style="2" customWidth="1"/>
    <col min="2" max="2" width="0.44140625" style="2" customWidth="1"/>
    <col min="3" max="9" width="7.5546875" style="2" customWidth="1"/>
    <col min="10" max="10" width="7.5546875" style="638" customWidth="1"/>
    <col min="11" max="18" width="7.5546875" style="2" customWidth="1"/>
    <col min="19" max="19" width="1.33203125" style="2" customWidth="1"/>
    <col min="20" max="27" width="7.5546875" style="1" customWidth="1"/>
    <col min="28" max="28" width="12.5546875" style="1" customWidth="1"/>
    <col min="29" max="31" width="1.33203125" style="1"/>
    <col min="32" max="32" width="15.6640625" style="1" customWidth="1"/>
    <col min="33" max="16384" width="1.33203125" style="1"/>
  </cols>
  <sheetData>
    <row r="1" spans="1:36" ht="12" customHeight="1">
      <c r="B1" s="84"/>
      <c r="C1" s="84"/>
      <c r="D1" s="84"/>
      <c r="E1" s="84"/>
      <c r="F1" s="84"/>
      <c r="G1" s="84"/>
      <c r="H1" s="84"/>
      <c r="I1" s="84"/>
      <c r="J1" s="684"/>
      <c r="K1" s="84" t="s">
        <v>315</v>
      </c>
      <c r="L1" s="84"/>
      <c r="M1" s="84"/>
      <c r="N1" s="84"/>
      <c r="O1" s="84"/>
      <c r="P1" s="84"/>
      <c r="Q1" s="84"/>
      <c r="R1" s="84"/>
      <c r="S1" s="84"/>
      <c r="T1" s="84"/>
      <c r="U1" s="84"/>
      <c r="V1" s="84"/>
      <c r="W1" s="84"/>
      <c r="X1" s="84"/>
    </row>
    <row r="2" spans="1:36" ht="12" customHeight="1">
      <c r="D2" s="1"/>
      <c r="E2" s="1"/>
      <c r="F2" s="1"/>
      <c r="G2" s="1"/>
      <c r="H2" s="1"/>
      <c r="I2" s="1"/>
      <c r="J2" s="1"/>
      <c r="K2" s="1"/>
      <c r="L2" s="1"/>
      <c r="M2" s="1"/>
      <c r="N2" s="1"/>
      <c r="O2" s="1"/>
      <c r="P2" s="1"/>
      <c r="Q2" s="1"/>
      <c r="R2" s="1"/>
      <c r="S2" s="1"/>
    </row>
    <row r="3" spans="1:36" ht="12" customHeight="1">
      <c r="A3" s="6" t="s">
        <v>316</v>
      </c>
      <c r="B3" s="1"/>
      <c r="C3" s="1"/>
      <c r="D3" s="1"/>
      <c r="E3" s="1"/>
      <c r="F3" s="1"/>
      <c r="G3" s="1"/>
      <c r="H3" s="1"/>
      <c r="I3" s="1"/>
      <c r="J3" s="1"/>
      <c r="K3" s="1"/>
      <c r="L3" s="1"/>
      <c r="M3" s="1"/>
      <c r="N3" s="1"/>
      <c r="O3" s="1"/>
      <c r="P3" s="1"/>
      <c r="Q3" s="1"/>
      <c r="R3" s="1"/>
      <c r="S3" s="1"/>
    </row>
    <row r="4" spans="1:36" ht="12" customHeight="1">
      <c r="A4" s="7" t="s">
        <v>317</v>
      </c>
      <c r="B4" s="1"/>
      <c r="C4" s="1"/>
      <c r="D4" s="1"/>
      <c r="E4" s="1"/>
      <c r="F4" s="1"/>
      <c r="G4" s="1"/>
      <c r="H4" s="1"/>
      <c r="I4" s="1"/>
      <c r="J4" s="1"/>
      <c r="K4" s="1"/>
      <c r="L4" s="1"/>
      <c r="M4" s="1"/>
      <c r="N4" s="1"/>
      <c r="O4" s="1"/>
      <c r="P4" s="1"/>
      <c r="Q4" s="1"/>
      <c r="R4" s="1"/>
      <c r="S4" s="1"/>
    </row>
    <row r="5" spans="1:36" ht="12" customHeight="1">
      <c r="A5" s="8" t="s">
        <v>318</v>
      </c>
      <c r="B5" s="1"/>
      <c r="C5" s="1"/>
      <c r="D5" s="1"/>
      <c r="E5" s="1"/>
      <c r="F5" s="1"/>
      <c r="G5" s="1"/>
      <c r="H5" s="1"/>
      <c r="I5" s="1"/>
      <c r="J5" s="1"/>
      <c r="K5" s="1"/>
      <c r="L5" s="1"/>
      <c r="M5" s="1"/>
      <c r="N5" s="1"/>
      <c r="O5" s="1"/>
      <c r="P5" s="1"/>
      <c r="Q5" s="1"/>
      <c r="R5" s="1"/>
      <c r="S5" s="1"/>
      <c r="AF5" s="1" t="s">
        <v>930</v>
      </c>
    </row>
    <row r="6" spans="1:36" ht="12" customHeight="1">
      <c r="D6" s="1"/>
      <c r="E6" s="1"/>
      <c r="F6" s="1"/>
      <c r="G6" s="1"/>
      <c r="H6" s="1"/>
      <c r="I6" s="1"/>
      <c r="J6" s="1"/>
      <c r="K6" s="1"/>
      <c r="L6" s="1"/>
      <c r="M6" s="1"/>
      <c r="N6" s="1"/>
      <c r="O6" s="1"/>
      <c r="P6" s="1"/>
      <c r="Q6" s="1"/>
      <c r="R6" s="1"/>
      <c r="S6" s="1"/>
    </row>
    <row r="7" spans="1:36" s="9" customFormat="1" ht="12" customHeight="1">
      <c r="C7" s="1550" t="s">
        <v>319</v>
      </c>
      <c r="D7" s="1551"/>
      <c r="E7" s="1551"/>
      <c r="F7" s="1551"/>
      <c r="G7" s="1551"/>
      <c r="H7" s="1551"/>
      <c r="I7" s="1551"/>
      <c r="J7" s="1552"/>
      <c r="K7" s="1553" t="s">
        <v>320</v>
      </c>
      <c r="L7" s="1554"/>
      <c r="M7" s="1555"/>
      <c r="N7" s="1553" t="s">
        <v>321</v>
      </c>
      <c r="O7" s="1554"/>
      <c r="P7" s="1554"/>
      <c r="Q7" s="1554"/>
      <c r="R7" s="1555"/>
      <c r="S7" s="10"/>
      <c r="T7" s="1550" t="s">
        <v>322</v>
      </c>
      <c r="U7" s="1551"/>
      <c r="V7" s="1552"/>
      <c r="W7" s="1550" t="s">
        <v>323</v>
      </c>
      <c r="X7" s="1551"/>
      <c r="Y7" s="1551"/>
      <c r="Z7" s="1551"/>
      <c r="AA7" s="1552"/>
    </row>
    <row r="8" spans="1:36" ht="12" customHeight="1">
      <c r="A8" s="1"/>
      <c r="B8" s="1"/>
      <c r="C8" s="1"/>
      <c r="D8" s="1"/>
      <c r="E8" s="1"/>
      <c r="F8" s="1"/>
      <c r="G8" s="1"/>
      <c r="H8" s="1"/>
      <c r="I8" s="1"/>
      <c r="J8" s="108"/>
      <c r="K8" s="1"/>
      <c r="L8" s="1"/>
      <c r="M8" s="1"/>
      <c r="N8" s="1"/>
      <c r="O8" s="1"/>
      <c r="P8" s="1"/>
      <c r="Q8" s="1"/>
      <c r="R8" s="1"/>
      <c r="S8" s="1"/>
    </row>
    <row r="9" spans="1:36" ht="12" customHeight="1">
      <c r="A9" s="11" t="s">
        <v>324</v>
      </c>
      <c r="C9" s="12">
        <v>2012</v>
      </c>
      <c r="D9" s="3">
        <v>2013</v>
      </c>
      <c r="E9" s="3">
        <v>2014</v>
      </c>
      <c r="F9" s="3">
        <v>2015</v>
      </c>
      <c r="G9" s="3">
        <v>2016</v>
      </c>
      <c r="H9" s="3">
        <v>2017</v>
      </c>
      <c r="I9" s="3">
        <v>2018</v>
      </c>
      <c r="J9" s="13">
        <v>2019</v>
      </c>
      <c r="K9" s="12">
        <v>2020</v>
      </c>
      <c r="L9" s="3">
        <v>2021</v>
      </c>
      <c r="M9" s="13">
        <v>2022</v>
      </c>
      <c r="N9" s="12">
        <v>2023</v>
      </c>
      <c r="O9" s="13">
        <v>2024</v>
      </c>
      <c r="P9" s="3">
        <v>2025</v>
      </c>
      <c r="Q9" s="13">
        <v>2026</v>
      </c>
      <c r="R9" s="13">
        <v>2027</v>
      </c>
      <c r="S9" s="14"/>
      <c r="T9" s="12">
        <v>2020</v>
      </c>
      <c r="U9" s="3">
        <v>2021</v>
      </c>
      <c r="V9" s="13">
        <v>2022</v>
      </c>
      <c r="W9" s="1086">
        <v>2023</v>
      </c>
      <c r="X9" s="13">
        <v>2024</v>
      </c>
      <c r="Y9" s="3">
        <v>2025</v>
      </c>
      <c r="Z9" s="13">
        <v>2026</v>
      </c>
      <c r="AA9" s="3">
        <v>2027</v>
      </c>
    </row>
    <row r="10" spans="1:36" ht="12" customHeight="1">
      <c r="T10" s="2"/>
      <c r="U10" s="2"/>
      <c r="V10" s="2"/>
      <c r="W10" s="2"/>
      <c r="X10" s="2"/>
    </row>
    <row r="11" spans="1:36" ht="15.6" customHeight="1">
      <c r="A11" s="15" t="s">
        <v>325</v>
      </c>
      <c r="B11" s="15"/>
      <c r="C11" s="15"/>
      <c r="D11" s="15"/>
      <c r="E11" s="15"/>
      <c r="F11" s="15"/>
      <c r="G11" s="15"/>
      <c r="H11" s="15"/>
      <c r="I11" s="15"/>
      <c r="J11" s="902"/>
      <c r="K11" s="17"/>
      <c r="L11" s="17"/>
      <c r="M11" s="17"/>
      <c r="N11" s="17"/>
      <c r="O11" s="18"/>
      <c r="P11" s="18"/>
      <c r="Q11" s="18"/>
      <c r="R11" s="18"/>
      <c r="S11" s="18"/>
      <c r="T11" s="17"/>
      <c r="U11" s="17"/>
      <c r="V11" s="19"/>
      <c r="W11" s="19"/>
      <c r="X11" s="19"/>
    </row>
    <row r="12" spans="1:36" ht="12" customHeight="1">
      <c r="A12" s="20" t="s">
        <v>326</v>
      </c>
      <c r="B12" s="135"/>
      <c r="C12" s="112">
        <f>'T1 ANSP'!C12+'T1 MET'!C12+'T1 NSA'!C12</f>
        <v>273294.02879998158</v>
      </c>
      <c r="D12" s="113">
        <f>'T1 ANSP'!D12+'T1 MET'!D12+'T1 NSA'!D12</f>
        <v>266644.33535887825</v>
      </c>
      <c r="E12" s="113">
        <f>'T1 ANSP'!E12+'T1 MET'!E12+'T1 NSA'!E12</f>
        <v>250903.61318902334</v>
      </c>
      <c r="F12" s="113">
        <f>'T1 ANSP'!F12+'T1 MET'!F12+'T1 NSA'!F12</f>
        <v>261862</v>
      </c>
      <c r="G12" s="113">
        <f>'T1 ANSP'!G12+'T1 MET'!G12+'T1 NSA'!G12</f>
        <v>274114.85901918181</v>
      </c>
      <c r="H12" s="113">
        <f>'T1 ANSP'!H12+'T1 MET'!H12+'T1 NSA'!H12</f>
        <v>265678.02233058412</v>
      </c>
      <c r="I12" s="113">
        <f>'T1 ANSP'!I12+'T1 MET'!I12+'T1 NSA'!I12</f>
        <v>300362.40697854268</v>
      </c>
      <c r="J12" s="686">
        <f>'T1 ANSP'!J12+'T1 MET'!J12+'T1 NSA'!J12</f>
        <v>311192.90384160704</v>
      </c>
      <c r="K12" s="112">
        <f>'T1 ANSP'!K12+'T1 MET'!K12+'T1 NSA'!K12</f>
        <v>340936.76070971269</v>
      </c>
      <c r="L12" s="113">
        <f>'T1 ANSP'!L12+'T1 MET'!L12+'T1 NSA'!L12</f>
        <v>346313.00785021635</v>
      </c>
      <c r="M12" s="1075">
        <f>'T1 ANSP'!M12+'T1 MET'!M12+'T1 NSA'!M12</f>
        <v>367549.60059141042</v>
      </c>
      <c r="N12" s="112">
        <f>'T1 ANSP'!N12+'T1 MET'!N12+'T1 NSA'!N12</f>
        <v>426875.79710570199</v>
      </c>
      <c r="O12" s="113">
        <f>'T1 ANSP'!O12+'T1 MET'!O12+'T1 NSA'!O12</f>
        <v>430591.74247329368</v>
      </c>
      <c r="P12" s="113">
        <f>'T1 ANSP'!P12+'T1 MET'!P12+'T1 NSA'!P12</f>
        <v>378779.48951755441</v>
      </c>
      <c r="Q12" s="113">
        <f>'T1 ANSP'!Q12+'T1 MET'!Q12+'T1 NSA'!Q12</f>
        <v>378927.31990890566</v>
      </c>
      <c r="R12" s="577">
        <f>'T1 ANSP'!R12+'T1 MET'!R12+'T1 NSA'!R12</f>
        <v>388089.54030565615</v>
      </c>
      <c r="S12" s="114"/>
      <c r="T12" s="112">
        <f>'T1 ANSP'!T12+'T1 MET'!T12+'T1 NSA'!T12</f>
        <v>333613.52181999962</v>
      </c>
      <c r="U12" s="113">
        <f>'T1 ANSP'!U12+'T1 MET'!U12+'T1 NSA'!U12</f>
        <v>298139.78112475149</v>
      </c>
      <c r="V12" s="113">
        <f>'T1 ANSP'!V12+'T1 MET'!V12+'T1 NSA'!V12</f>
        <v>337264.87634000002</v>
      </c>
      <c r="W12" s="157"/>
      <c r="X12" s="22"/>
      <c r="Y12" s="22"/>
      <c r="Z12" s="22"/>
      <c r="AA12" s="23"/>
    </row>
    <row r="13" spans="1:36" ht="12" customHeight="1">
      <c r="A13" s="24" t="s">
        <v>327</v>
      </c>
      <c r="B13" s="24"/>
      <c r="C13" s="37">
        <f>'T1 ANSP'!C13+'T1 MET'!C13+'T1 NSA'!C13</f>
        <v>0</v>
      </c>
      <c r="D13" s="5">
        <f>'T1 ANSP'!D13+'T1 MET'!D13+'T1 NSA'!D13</f>
        <v>0</v>
      </c>
      <c r="E13" s="5">
        <f>'T1 ANSP'!E13+'T1 MET'!E13+'T1 NSA'!E13</f>
        <v>0</v>
      </c>
      <c r="F13" s="5">
        <f>'T1 ANSP'!F13+'T1 MET'!F13+'T1 NSA'!F13</f>
        <v>0</v>
      </c>
      <c r="G13" s="5">
        <f>'T1 ANSP'!G13+'T1 MET'!G13+'T1 NSA'!G13</f>
        <v>0</v>
      </c>
      <c r="H13" s="5">
        <f>'T1 ANSP'!H13+'T1 MET'!H13+'T1 NSA'!H13</f>
        <v>0</v>
      </c>
      <c r="I13" s="5">
        <f>'T1 ANSP'!I13+'T1 MET'!I13+'T1 NSA'!I13</f>
        <v>0</v>
      </c>
      <c r="J13" s="687">
        <f>'T1 ANSP'!J13+'T1 MET'!J13+'T1 NSA'!J13</f>
        <v>0</v>
      </c>
      <c r="K13" s="115">
        <f>'T1 ANSP'!K13+'T1 MET'!K13+'T1 NSA'!K13</f>
        <v>86025.087413768648</v>
      </c>
      <c r="L13" s="116">
        <f>'T1 ANSP'!L13+'T1 MET'!L13+'T1 NSA'!L13</f>
        <v>87323.961595434375</v>
      </c>
      <c r="M13" s="1077">
        <f>'T1 ANSP'!M13+'T1 MET'!M13+'T1 NSA'!M13</f>
        <v>88054.769677553079</v>
      </c>
      <c r="N13" s="115">
        <f>'T1 ANSP'!N13+'T1 MET'!N13+'T1 NSA'!N13</f>
        <v>126092.48632168146</v>
      </c>
      <c r="O13" s="116">
        <f>'T1 ANSP'!O13+'T1 MET'!O13+'T1 NSA'!O13</f>
        <v>121633.01540993576</v>
      </c>
      <c r="P13" s="116">
        <f>'T1 ANSP'!P13+'T1 MET'!P13+'T1 NSA'!P13</f>
        <v>80665.562881479986</v>
      </c>
      <c r="Q13" s="116">
        <f>'T1 ANSP'!Q13+'T1 MET'!Q13+'T1 NSA'!Q13</f>
        <v>79090.669483095611</v>
      </c>
      <c r="R13" s="578">
        <f>'T1 ANSP'!R13+'T1 MET'!R13+'T1 NSA'!R13</f>
        <v>80937.311243649296</v>
      </c>
      <c r="S13" s="114"/>
      <c r="T13" s="115">
        <f>'T1 ANSP'!T13+'T1 MET'!T13+'T1 NSA'!T13</f>
        <v>84136.178556512226</v>
      </c>
      <c r="U13" s="116">
        <f>'T1 ANSP'!U13+'T1 MET'!U13+'T1 NSA'!U13</f>
        <v>81444.194100843626</v>
      </c>
      <c r="V13" s="116">
        <f>'T1 ANSP'!V13+'T1 MET'!V13+'T1 NSA'!V13</f>
        <v>85718.868457262681</v>
      </c>
      <c r="W13" s="156"/>
      <c r="X13" s="5"/>
      <c r="Y13" s="5"/>
      <c r="Z13" s="5"/>
      <c r="AA13" s="25"/>
    </row>
    <row r="14" spans="1:36" ht="12" customHeight="1">
      <c r="A14" s="24" t="s">
        <v>328</v>
      </c>
      <c r="B14" s="24"/>
      <c r="C14" s="115">
        <f>'T1 ANSP'!C14+'T1 MET'!C14+'T1 NSA'!C14</f>
        <v>166812.46123790042</v>
      </c>
      <c r="D14" s="116">
        <f>'T1 ANSP'!D14+'T1 MET'!D14+'T1 NSA'!D14</f>
        <v>176205.9575758393</v>
      </c>
      <c r="E14" s="116">
        <f>'T1 ANSP'!E14+'T1 MET'!E14+'T1 NSA'!E14</f>
        <v>172580.27287872822</v>
      </c>
      <c r="F14" s="116">
        <f>'T1 ANSP'!F14+'T1 MET'!F14+'T1 NSA'!F14</f>
        <v>157592.41216420001</v>
      </c>
      <c r="G14" s="116">
        <f>'T1 ANSP'!G14+'T1 MET'!G14+'T1 NSA'!G14</f>
        <v>157914.8733340491</v>
      </c>
      <c r="H14" s="116">
        <f>'T1 ANSP'!H14+'T1 MET'!H14+'T1 NSA'!H14</f>
        <v>164356.17029111888</v>
      </c>
      <c r="I14" s="116">
        <f>'T1 ANSP'!I14+'T1 MET'!I14+'T1 NSA'!I14</f>
        <v>171043.8307334242</v>
      </c>
      <c r="J14" s="688">
        <f>'T1 ANSP'!J14+'T1 MET'!J14+'T1 NSA'!J14</f>
        <v>176116.39309002421</v>
      </c>
      <c r="K14" s="115">
        <f>'T1 ANSP'!K14+'T1 MET'!K14+'T1 NSA'!K14</f>
        <v>226067.49410749247</v>
      </c>
      <c r="L14" s="116">
        <f>'T1 ANSP'!L14+'T1 MET'!L14+'T1 NSA'!L14</f>
        <v>230646.83240070936</v>
      </c>
      <c r="M14" s="1077">
        <f>'T1 ANSP'!M14+'T1 MET'!M14+'T1 NSA'!M14</f>
        <v>236031.9215436033</v>
      </c>
      <c r="N14" s="115">
        <f>'T1 ANSP'!N14+'T1 MET'!N14+'T1 NSA'!N14</f>
        <v>240874.43150757285</v>
      </c>
      <c r="O14" s="116">
        <f>'T1 ANSP'!O14+'T1 MET'!O14+'T1 NSA'!O14</f>
        <v>242087.95690599171</v>
      </c>
      <c r="P14" s="116">
        <f>'T1 ANSP'!P14+'T1 MET'!P14+'T1 NSA'!P14</f>
        <v>236944.06683376807</v>
      </c>
      <c r="Q14" s="116">
        <f>'T1 ANSP'!Q14+'T1 MET'!Q14+'T1 NSA'!Q14</f>
        <v>263456.52879973053</v>
      </c>
      <c r="R14" s="578">
        <f>'T1 ANSP'!R14+'T1 MET'!R14+'T1 NSA'!R14</f>
        <v>266437.75600616733</v>
      </c>
      <c r="S14" s="26"/>
      <c r="T14" s="115">
        <f>'T1 ANSP'!T14+'T1 MET'!T14+'T1 NSA'!T14</f>
        <v>181454.05118311854</v>
      </c>
      <c r="U14" s="116">
        <f>'T1 ANSP'!U14+'T1 MET'!U14+'T1 NSA'!U14</f>
        <v>146490.91960680787</v>
      </c>
      <c r="V14" s="116">
        <f>'T1 ANSP'!V14+'T1 MET'!V14+'T1 NSA'!V14</f>
        <v>183619.4474366685</v>
      </c>
      <c r="W14" s="156"/>
      <c r="X14" s="5"/>
      <c r="Y14" s="5"/>
      <c r="Z14" s="5"/>
      <c r="AA14" s="25"/>
      <c r="AC14" s="219"/>
      <c r="AD14" s="219"/>
      <c r="AE14" s="219"/>
      <c r="AF14" s="219"/>
      <c r="AG14" s="219"/>
      <c r="AH14" s="219"/>
      <c r="AI14" s="219"/>
      <c r="AJ14" s="219"/>
    </row>
    <row r="15" spans="1:36" ht="12" customHeight="1">
      <c r="A15" s="24" t="s">
        <v>329</v>
      </c>
      <c r="B15" s="24"/>
      <c r="C15" s="115">
        <f>'T1 ANSP'!C15+'T1 MET'!C15+'T1 NSA'!C15</f>
        <v>133258.86124342238</v>
      </c>
      <c r="D15" s="116">
        <f>'T1 ANSP'!D15+'T1 MET'!D15+'T1 NSA'!D15</f>
        <v>157111.24807496319</v>
      </c>
      <c r="E15" s="116">
        <f>'T1 ANSP'!E15+'T1 MET'!E15+'T1 NSA'!E15</f>
        <v>161810.11791998369</v>
      </c>
      <c r="F15" s="116">
        <f>'T1 ANSP'!F15+'T1 MET'!F15+'T1 NSA'!F15</f>
        <v>163484</v>
      </c>
      <c r="G15" s="116">
        <f>'T1 ANSP'!G15+'T1 MET'!G15+'T1 NSA'!G15</f>
        <v>163023.7456750859</v>
      </c>
      <c r="H15" s="116">
        <f>'T1 ANSP'!H15+'T1 MET'!H15+'T1 NSA'!H15</f>
        <v>162602.96257313347</v>
      </c>
      <c r="I15" s="116">
        <f>'T1 ANSP'!I15+'T1 MET'!I15+'T1 NSA'!I15</f>
        <v>156207.0683032485</v>
      </c>
      <c r="J15" s="688">
        <f>'T1 ANSP'!J15+'T1 MET'!J15+'T1 NSA'!J15</f>
        <v>151958.64615167578</v>
      </c>
      <c r="K15" s="115">
        <f>'T1 ANSP'!K15+'T1 MET'!K15+'T1 NSA'!K15</f>
        <v>174584.82190614694</v>
      </c>
      <c r="L15" s="116">
        <f>'T1 ANSP'!L15+'T1 MET'!L15+'T1 NSA'!L15</f>
        <v>146672.77851836776</v>
      </c>
      <c r="M15" s="1077">
        <f>'T1 ANSP'!M15+'T1 MET'!M15+'T1 NSA'!M15</f>
        <v>133212.64901803236</v>
      </c>
      <c r="N15" s="115">
        <f>'T1 ANSP'!N15+'T1 MET'!N15+'T1 NSA'!N15</f>
        <v>137132.83560356923</v>
      </c>
      <c r="O15" s="116">
        <f>'T1 ANSP'!O15+'T1 MET'!O15+'T1 NSA'!O15</f>
        <v>151120.58261354719</v>
      </c>
      <c r="P15" s="116">
        <f>'T1 ANSP'!P15+'T1 MET'!P15+'T1 NSA'!P15</f>
        <v>139917.69978003544</v>
      </c>
      <c r="Q15" s="116">
        <f>'T1 ANSP'!Q15+'T1 MET'!Q15+'T1 NSA'!Q15</f>
        <v>141797.63007591292</v>
      </c>
      <c r="R15" s="578">
        <f>'T1 ANSP'!R15+'T1 MET'!R15+'T1 NSA'!R15</f>
        <v>142687.62626470358</v>
      </c>
      <c r="S15" s="26"/>
      <c r="T15" s="115">
        <f>'T1 ANSP'!T15+'T1 MET'!T15+'T1 NSA'!T15</f>
        <v>174863.0157604987</v>
      </c>
      <c r="U15" s="116">
        <f>'T1 ANSP'!U15+'T1 MET'!U15+'T1 NSA'!U15</f>
        <v>145344.44349204941</v>
      </c>
      <c r="V15" s="116">
        <f>'T1 ANSP'!V15+'T1 MET'!V15+'T1 NSA'!V15</f>
        <v>142808.86496496465</v>
      </c>
      <c r="W15" s="156"/>
      <c r="X15" s="5"/>
      <c r="Y15" s="5"/>
      <c r="Z15" s="5"/>
      <c r="AA15" s="25"/>
      <c r="AC15" s="219"/>
      <c r="AD15" s="219"/>
      <c r="AE15" s="219"/>
      <c r="AF15" s="219"/>
      <c r="AG15" s="219"/>
      <c r="AH15" s="219"/>
      <c r="AI15" s="219"/>
      <c r="AJ15" s="219"/>
    </row>
    <row r="16" spans="1:36" ht="12" customHeight="1">
      <c r="A16" s="24" t="s">
        <v>330</v>
      </c>
      <c r="B16" s="24"/>
      <c r="C16" s="115">
        <f>'T1 ANSP'!C16+'T1 MET'!C16+'T1 NSA'!C16</f>
        <v>68586.333573926589</v>
      </c>
      <c r="D16" s="116">
        <f>'T1 ANSP'!D16+'T1 MET'!D16+'T1 NSA'!D16</f>
        <v>68484.105132903715</v>
      </c>
      <c r="E16" s="116">
        <f>'T1 ANSP'!E16+'T1 MET'!E16+'T1 NSA'!E16</f>
        <v>67470.260959165622</v>
      </c>
      <c r="F16" s="116">
        <f>'T1 ANSP'!F16+'T1 MET'!F16+'T1 NSA'!F16</f>
        <v>59072.10170120791</v>
      </c>
      <c r="G16" s="116">
        <f>'T1 ANSP'!G16+'T1 MET'!G16+'T1 NSA'!G16</f>
        <v>54881.084734055432</v>
      </c>
      <c r="H16" s="116">
        <f>'T1 ANSP'!H16+'T1 MET'!H16+'T1 NSA'!H16</f>
        <v>51587.262411978569</v>
      </c>
      <c r="I16" s="116">
        <f>'T1 ANSP'!I16+'T1 MET'!I16+'T1 NSA'!I16</f>
        <v>50812.521077072452</v>
      </c>
      <c r="J16" s="688">
        <f>'T1 ANSP'!J16+'T1 MET'!J16+'T1 NSA'!J16</f>
        <v>50338.378283160229</v>
      </c>
      <c r="K16" s="115">
        <f>'T1 ANSP'!K16+'T1 MET'!K16+'T1 NSA'!K16</f>
        <v>32345.328696393412</v>
      </c>
      <c r="L16" s="116">
        <f>'T1 ANSP'!L16+'T1 MET'!L16+'T1 NSA'!L16</f>
        <v>36222.588888658269</v>
      </c>
      <c r="M16" s="1077">
        <f>'T1 ANSP'!M16+'T1 MET'!M16+'T1 NSA'!M16</f>
        <v>38974.700150811055</v>
      </c>
      <c r="N16" s="115">
        <f>'T1 ANSP'!N16+'T1 MET'!N16+'T1 NSA'!N16</f>
        <v>61235.16880207786</v>
      </c>
      <c r="O16" s="116">
        <f>'T1 ANSP'!O16+'T1 MET'!O16+'T1 NSA'!O16</f>
        <v>58107.211021422125</v>
      </c>
      <c r="P16" s="116">
        <f>'T1 ANSP'!P16+'T1 MET'!P16+'T1 NSA'!P16</f>
        <v>54859.82093156375</v>
      </c>
      <c r="Q16" s="116">
        <f>'T1 ANSP'!Q16+'T1 MET'!Q16+'T1 NSA'!Q16</f>
        <v>52012.287543016413</v>
      </c>
      <c r="R16" s="578">
        <f>'T1 ANSP'!R16+'T1 MET'!R16+'T1 NSA'!R16</f>
        <v>49236.174631386748</v>
      </c>
      <c r="S16" s="26"/>
      <c r="T16" s="115">
        <f>'T1 ANSP'!T16+'T1 MET'!T16+'T1 NSA'!T16</f>
        <v>34509.074339402512</v>
      </c>
      <c r="U16" s="116">
        <f>'T1 ANSP'!U16+'T1 MET'!U16+'T1 NSA'!U16</f>
        <v>42224.769729306252</v>
      </c>
      <c r="V16" s="116">
        <f>'T1 ANSP'!V16+'T1 MET'!V16+'T1 NSA'!V16</f>
        <v>50015.094420954571</v>
      </c>
      <c r="W16" s="156"/>
      <c r="X16" s="5"/>
      <c r="Y16" s="5"/>
      <c r="Z16" s="5"/>
      <c r="AA16" s="25"/>
      <c r="AC16" s="219"/>
      <c r="AD16" s="219"/>
      <c r="AE16" s="219"/>
      <c r="AF16" s="219"/>
      <c r="AG16" s="219"/>
      <c r="AH16" s="219"/>
      <c r="AI16" s="219"/>
      <c r="AJ16" s="219"/>
    </row>
    <row r="17" spans="1:36" ht="12" customHeight="1">
      <c r="A17" s="24" t="s">
        <v>331</v>
      </c>
      <c r="B17" s="24"/>
      <c r="C17" s="115">
        <f>'T1 ANSP'!C17+'T1 MET'!C17+'T1 NSA'!C17</f>
        <v>16788.980599745271</v>
      </c>
      <c r="D17" s="116">
        <f>'T1 ANSP'!D17+'T1 MET'!D17+'T1 NSA'!D17</f>
        <v>56386.880571279791</v>
      </c>
      <c r="E17" s="116">
        <f>'T1 ANSP'!E17+'T1 MET'!E17+'T1 NSA'!E17</f>
        <v>17136.890623402516</v>
      </c>
      <c r="F17" s="116">
        <f>'T1 ANSP'!F17+'T1 MET'!F17+'T1 NSA'!F17</f>
        <v>15361</v>
      </c>
      <c r="G17" s="116">
        <f>'T1 ANSP'!G17+'T1 MET'!G17+'T1 NSA'!G17</f>
        <v>16430.435246915833</v>
      </c>
      <c r="H17" s="116">
        <f>'T1 ANSP'!H17+'T1 MET'!H17+'T1 NSA'!H17</f>
        <v>16371.162805851633</v>
      </c>
      <c r="I17" s="116">
        <f>'T1 ANSP'!I17+'T1 MET'!I17+'T1 NSA'!I17</f>
        <v>15933.251804973426</v>
      </c>
      <c r="J17" s="688">
        <f>'T1 ANSP'!J17+'T1 MET'!J17+'T1 NSA'!J17</f>
        <v>19887.396565818206</v>
      </c>
      <c r="K17" s="115">
        <f>'T1 ANSP'!K17+'T1 MET'!K17+'T1 NSA'!K17</f>
        <v>16484.494118402516</v>
      </c>
      <c r="L17" s="116">
        <f>'T1 ANSP'!L17+'T1 MET'!L17+'T1 NSA'!L17</f>
        <v>15171.826500329318</v>
      </c>
      <c r="M17" s="1077">
        <f>'T1 ANSP'!M17+'T1 MET'!M17+'T1 NSA'!M17</f>
        <v>15166.721667265729</v>
      </c>
      <c r="N17" s="115">
        <f>'T1 ANSP'!N17+'T1 MET'!N17+'T1 NSA'!N17</f>
        <v>7366.8757258666301</v>
      </c>
      <c r="O17" s="116">
        <f>'T1 ANSP'!O17+'T1 MET'!O17+'T1 NSA'!O17</f>
        <v>7375.4943834548085</v>
      </c>
      <c r="P17" s="116">
        <f>'T1 ANSP'!P17+'T1 MET'!P17+'T1 NSA'!P17</f>
        <v>7375.2848863755589</v>
      </c>
      <c r="Q17" s="116">
        <f>'T1 ANSP'!Q17+'T1 MET'!Q17+'T1 NSA'!Q17</f>
        <v>7379.2912063904068</v>
      </c>
      <c r="R17" s="578">
        <f>'T1 ANSP'!R17+'T1 MET'!R17+'T1 NSA'!R17</f>
        <v>7398.9380427239748</v>
      </c>
      <c r="S17" s="26"/>
      <c r="T17" s="115">
        <f>'T1 ANSP'!T17+'T1 MET'!T17+'T1 NSA'!T17</f>
        <v>47753.410205428823</v>
      </c>
      <c r="U17" s="116">
        <f>'T1 ANSP'!U17+'T1 MET'!U17+'T1 NSA'!U17</f>
        <v>12152.814771553432</v>
      </c>
      <c r="V17" s="116">
        <f>'T1 ANSP'!V17+'T1 MET'!V17+'T1 NSA'!V17</f>
        <v>15097</v>
      </c>
      <c r="W17" s="156"/>
      <c r="X17" s="5"/>
      <c r="Y17" s="5"/>
      <c r="Z17" s="5"/>
      <c r="AA17" s="25"/>
      <c r="AC17" s="219"/>
      <c r="AD17" s="219"/>
      <c r="AE17" s="219"/>
      <c r="AF17" s="219"/>
      <c r="AG17" s="219"/>
      <c r="AH17" s="219"/>
      <c r="AI17" s="219"/>
      <c r="AJ17" s="219"/>
    </row>
    <row r="18" spans="1:36" ht="12" customHeight="1">
      <c r="A18" s="134" t="s">
        <v>332</v>
      </c>
      <c r="B18" s="579"/>
      <c r="C18" s="85">
        <f>'T1 ANSP'!C18+'T1 MET'!C18+'T1 NSA'!C18</f>
        <v>658740.66545497626</v>
      </c>
      <c r="D18" s="86">
        <f>'T1 ANSP'!D18+'T1 MET'!D18+'T1 NSA'!D18</f>
        <v>724832.52671386418</v>
      </c>
      <c r="E18" s="86">
        <f>'T1 ANSP'!E18+'T1 MET'!E18+'T1 NSA'!E18</f>
        <v>669901.15557030332</v>
      </c>
      <c r="F18" s="86">
        <f>'T1 ANSP'!F18+'T1 MET'!F18+'T1 NSA'!F18</f>
        <v>657371.51386540791</v>
      </c>
      <c r="G18" s="86">
        <f>'T1 ANSP'!G18+'T1 MET'!G18+'T1 NSA'!G18</f>
        <v>666364.9980092881</v>
      </c>
      <c r="H18" s="86">
        <f>'T1 ANSP'!H18+'T1 MET'!H18+'T1 NSA'!H18</f>
        <v>660595.58041266666</v>
      </c>
      <c r="I18" s="86">
        <f>'T1 ANSP'!I18+'T1 MET'!I18+'T1 NSA'!I18</f>
        <v>694359.07889726129</v>
      </c>
      <c r="J18" s="689">
        <f>'T1 ANSP'!J18+'T1 MET'!J18+'T1 NSA'!J18</f>
        <v>709493.71793228539</v>
      </c>
      <c r="K18" s="85">
        <f>'T1 ANSP'!K18+'T1 MET'!K18+'T1 NSA'!K18</f>
        <v>790418.89953814808</v>
      </c>
      <c r="L18" s="86">
        <f>'T1 ANSP'!L18+'T1 MET'!L18+'T1 NSA'!L18</f>
        <v>775027.03415828105</v>
      </c>
      <c r="M18" s="789">
        <f>'T1 ANSP'!M18+'T1 MET'!M18+'T1 NSA'!M18</f>
        <v>790935.59297112306</v>
      </c>
      <c r="N18" s="85">
        <f>'T1 ANSP'!N18+'T1 MET'!N18+'T1 NSA'!N18</f>
        <v>873485.10874478845</v>
      </c>
      <c r="O18" s="86">
        <f>'T1 ANSP'!O18+'T1 MET'!O18+'T1 NSA'!O18</f>
        <v>889282.98739770951</v>
      </c>
      <c r="P18" s="86">
        <f>'T1 ANSP'!P18+'T1 MET'!P18+'T1 NSA'!P18</f>
        <v>817876.36194929725</v>
      </c>
      <c r="Q18" s="86">
        <f>'T1 ANSP'!Q18+'T1 MET'!Q18+'T1 NSA'!Q18</f>
        <v>843573.0575339559</v>
      </c>
      <c r="R18" s="627">
        <f>'T1 ANSP'!R18+'T1 MET'!R18+'T1 NSA'!R18</f>
        <v>853850.0352506378</v>
      </c>
      <c r="S18" s="26"/>
      <c r="T18" s="85">
        <f>'T1 ANSP'!T18+'T1 MET'!T18+'T1 NSA'!T18</f>
        <v>772193.07330844819</v>
      </c>
      <c r="U18" s="86">
        <f>'T1 ANSP'!U18+'T1 MET'!U18+'T1 NSA'!U18</f>
        <v>644352.7287244685</v>
      </c>
      <c r="V18" s="86">
        <f>'T1 ANSP'!V18+'T1 MET'!V18+'T1 NSA'!V18</f>
        <v>728805.28316258767</v>
      </c>
      <c r="W18" s="1152"/>
      <c r="X18" s="35"/>
      <c r="Y18" s="35"/>
      <c r="Z18" s="35"/>
      <c r="AA18" s="580"/>
      <c r="AC18" s="219"/>
      <c r="AD18" s="219"/>
      <c r="AE18" s="219"/>
      <c r="AF18" s="367"/>
      <c r="AG18" s="367"/>
      <c r="AH18" s="367"/>
      <c r="AI18" s="367"/>
      <c r="AJ18" s="367"/>
    </row>
    <row r="19" spans="1:36" ht="12" customHeight="1">
      <c r="A19" s="102" t="s">
        <v>333</v>
      </c>
      <c r="B19" s="31"/>
      <c r="C19" s="28"/>
      <c r="D19" s="29">
        <f>D18/C18-1</f>
        <v>0.10033062284569882</v>
      </c>
      <c r="E19" s="29">
        <f t="shared" ref="E19:O19" si="0">E18/D18-1</f>
        <v>-7.5784914610000143E-2</v>
      </c>
      <c r="F19" s="29">
        <f t="shared" si="0"/>
        <v>-1.8703717109173512E-2</v>
      </c>
      <c r="G19" s="29">
        <f t="shared" si="0"/>
        <v>1.368097636448784E-2</v>
      </c>
      <c r="H19" s="29">
        <f t="shared" si="0"/>
        <v>-8.6580441857797563E-3</v>
      </c>
      <c r="I19" s="29">
        <f t="shared" si="0"/>
        <v>5.1110693873402724E-2</v>
      </c>
      <c r="J19" s="690">
        <f t="shared" si="0"/>
        <v>2.1796559582773822E-2</v>
      </c>
      <c r="K19" s="28">
        <f t="shared" si="0"/>
        <v>0.11406046249670432</v>
      </c>
      <c r="L19" s="29">
        <f t="shared" si="0"/>
        <v>-1.9473048264484483E-2</v>
      </c>
      <c r="M19" s="1078">
        <f t="shared" si="0"/>
        <v>2.0526456641760227E-2</v>
      </c>
      <c r="N19" s="28">
        <f t="shared" si="0"/>
        <v>0.10436945372956452</v>
      </c>
      <c r="O19" s="29">
        <f t="shared" si="0"/>
        <v>1.8086030883368798E-2</v>
      </c>
      <c r="P19" s="29">
        <f t="shared" ref="P19" si="1">P18/O18-1</f>
        <v>-8.0296853150612968E-2</v>
      </c>
      <c r="Q19" s="29">
        <f t="shared" ref="Q19" si="2">Q18/P18-1</f>
        <v>3.1418802132163526E-2</v>
      </c>
      <c r="R19" s="30">
        <f t="shared" ref="R19" si="3">R18/Q18-1</f>
        <v>1.2182676562389139E-2</v>
      </c>
      <c r="S19" s="27">
        <f>S18/O18-1</f>
        <v>-1</v>
      </c>
      <c r="T19" s="28">
        <f>T18/J18-1</f>
        <v>8.8371966927192513E-2</v>
      </c>
      <c r="U19" s="29">
        <f>U18/T18-1</f>
        <v>-0.16555489682942881</v>
      </c>
      <c r="V19" s="29">
        <f>V18/U18-1</f>
        <v>0.13106572017673868</v>
      </c>
      <c r="W19" s="159"/>
      <c r="X19" s="29"/>
      <c r="Y19" s="29"/>
      <c r="Z19" s="29"/>
      <c r="AA19" s="30"/>
    </row>
    <row r="20" spans="1:36" ht="12" customHeight="1">
      <c r="A20" s="31"/>
      <c r="B20" s="31"/>
      <c r="C20" s="31"/>
      <c r="D20" s="31"/>
      <c r="E20" s="31"/>
      <c r="F20" s="31"/>
      <c r="G20" s="31"/>
      <c r="H20" s="31"/>
      <c r="I20" s="31"/>
      <c r="J20" s="691"/>
      <c r="K20" s="32"/>
      <c r="L20" s="32"/>
      <c r="M20" s="32"/>
      <c r="N20" s="32"/>
      <c r="O20" s="32"/>
      <c r="P20" s="32"/>
      <c r="Q20" s="32"/>
      <c r="R20" s="32"/>
      <c r="S20" s="27"/>
      <c r="T20" s="32"/>
      <c r="U20" s="32"/>
      <c r="V20" s="32"/>
      <c r="W20" s="32"/>
      <c r="X20" s="32"/>
      <c r="Y20" s="32"/>
      <c r="Z20" s="32"/>
      <c r="AA20" s="32"/>
    </row>
    <row r="21" spans="1:36" ht="15.6" customHeight="1">
      <c r="A21" s="15" t="s">
        <v>334</v>
      </c>
      <c r="B21" s="15"/>
      <c r="C21" s="15"/>
      <c r="D21" s="15"/>
      <c r="E21" s="15"/>
      <c r="F21" s="15"/>
      <c r="G21" s="15"/>
      <c r="H21" s="15"/>
      <c r="I21" s="15"/>
      <c r="J21" s="685"/>
      <c r="K21" s="17"/>
      <c r="L21" s="17"/>
      <c r="M21" s="17"/>
      <c r="N21" s="17"/>
      <c r="O21" s="18"/>
      <c r="P21" s="18"/>
      <c r="Q21" s="18"/>
      <c r="R21" s="18"/>
      <c r="S21" s="18"/>
      <c r="T21" s="17"/>
      <c r="U21" s="17"/>
      <c r="V21" s="17"/>
      <c r="W21" s="19"/>
      <c r="X21" s="19"/>
      <c r="Y21" s="19"/>
      <c r="Z21" s="19"/>
      <c r="AA21" s="19"/>
    </row>
    <row r="22" spans="1:36" ht="12" customHeight="1">
      <c r="A22" s="135" t="s">
        <v>335</v>
      </c>
      <c r="B22" s="21"/>
      <c r="C22" s="112">
        <f>'T1 ANSP'!C22+'T1 MET'!C22+'T1 NSA'!C22</f>
        <v>475866.84439975489</v>
      </c>
      <c r="D22" s="113">
        <f>'T1 ANSP'!D22+'T1 MET'!D22+'T1 NSA'!D22</f>
        <v>529274.09013056033</v>
      </c>
      <c r="E22" s="113">
        <f>'T1 ANSP'!E22+'T1 MET'!E22+'T1 NSA'!E22</f>
        <v>483032.56711714208</v>
      </c>
      <c r="F22" s="113">
        <f>'T1 ANSP'!F22+'T1 MET'!F22+'T1 NSA'!F22</f>
        <v>477941</v>
      </c>
      <c r="G22" s="113">
        <f>'T1 ANSP'!G22+'T1 MET'!G22+'T1 NSA'!G22</f>
        <v>482523.02444036223</v>
      </c>
      <c r="H22" s="113">
        <f>'T1 ANSP'!H22+'T1 MET'!H22+'T1 NSA'!H22</f>
        <v>475438.55802303128</v>
      </c>
      <c r="I22" s="113">
        <f>'T1 ANSP'!I22+'T1 MET'!I22+'T1 NSA'!I22</f>
        <v>505268.10073549859</v>
      </c>
      <c r="J22" s="686">
        <f>'T1 ANSP'!J22+'T1 MET'!J22+'T1 NSA'!J22</f>
        <v>519551.81901068741</v>
      </c>
      <c r="K22" s="67">
        <f>'T1 ANSP'!K22+'T1 MET'!K22+'T1 NSA'!K22</f>
        <v>583662.53348715848</v>
      </c>
      <c r="L22" s="22">
        <f>'T1 ANSP'!L22+'T1 MET'!L22+'T1 NSA'!L22</f>
        <v>572529.72895907855</v>
      </c>
      <c r="M22" s="1079">
        <f>'T1 ANSP'!M22+'T1 MET'!M22+'T1 NSA'!M22</f>
        <v>585143.34355463635</v>
      </c>
      <c r="N22" s="67">
        <f>'T1 ANSP'!N22+'T1 MET'!N22+'T1 NSA'!N22</f>
        <v>648629.77778389317</v>
      </c>
      <c r="O22" s="22">
        <f>'T1 ANSP'!O22+'T1 MET'!O22+'T1 NSA'!O22</f>
        <v>658159.94858846255</v>
      </c>
      <c r="P22" s="1079">
        <f>'T1 ANSP'!P22+'T1 MET'!P22+'T1 NSA'!P22</f>
        <v>598017.85870444286</v>
      </c>
      <c r="Q22" s="22">
        <f>'T1 ANSP'!Q22+'T1 MET'!Q22+'T1 NSA'!Q22</f>
        <v>617988.65394826001</v>
      </c>
      <c r="R22" s="23">
        <f>'T1 ANSP'!R22+'T1 MET'!R22+'T1 NSA'!R22</f>
        <v>625185.95738196315</v>
      </c>
      <c r="S22" s="26"/>
      <c r="T22" s="67">
        <f>'T1 ANSP'!T22+'T1 MET'!T22+'T1 NSA'!T22</f>
        <v>566495.50213697297</v>
      </c>
      <c r="U22" s="22">
        <f>'T1 ANSP'!U22+'T1 MET'!U22+'T1 NSA'!U22</f>
        <v>466333.66245395876</v>
      </c>
      <c r="V22" s="22">
        <f>'T1 ANSP'!V22+'T1 MET'!V22+'T1 NSA'!V22</f>
        <v>527067.73449087632</v>
      </c>
      <c r="W22" s="1153"/>
      <c r="X22" s="33"/>
      <c r="Y22" s="33"/>
      <c r="Z22" s="33"/>
      <c r="AA22" s="34"/>
    </row>
    <row r="23" spans="1:36" ht="12" customHeight="1">
      <c r="A23" s="21" t="s">
        <v>336</v>
      </c>
      <c r="B23" s="24"/>
      <c r="C23" s="115">
        <f>'T1 ANSP'!C23+'T1 MET'!C23+'T1 NSA'!C23</f>
        <v>44565.706443756448</v>
      </c>
      <c r="D23" s="116">
        <f>'T1 ANSP'!D23+'T1 MET'!D23+'T1 NSA'!D23</f>
        <v>48322.283199027763</v>
      </c>
      <c r="E23" s="116">
        <f>'T1 ANSP'!E23+'T1 MET'!E23+'T1 NSA'!E23</f>
        <v>44026.767759847644</v>
      </c>
      <c r="F23" s="116">
        <f>'T1 ANSP'!F23+'T1 MET'!F23+'T1 NSA'!F23</f>
        <v>43483</v>
      </c>
      <c r="G23" s="116">
        <f>'T1 ANSP'!G23+'T1 MET'!G23+'T1 NSA'!G23</f>
        <v>43939.760987408736</v>
      </c>
      <c r="H23" s="116">
        <f>'T1 ANSP'!H23+'T1 MET'!H23+'T1 NSA'!H23</f>
        <v>43293.137536985574</v>
      </c>
      <c r="I23" s="116">
        <f>'T1 ANSP'!I23+'T1 MET'!I23+'T1 NSA'!I23</f>
        <v>46068.707542320655</v>
      </c>
      <c r="J23" s="688">
        <f>'T1 ANSP'!J23+'T1 MET'!J23+'T1 NSA'!J23</f>
        <v>47352.789124803756</v>
      </c>
      <c r="K23" s="37">
        <f>'T1 ANSP'!K23+'T1 MET'!K23+'T1 NSA'!K23</f>
        <v>52712.44404011951</v>
      </c>
      <c r="L23" s="5">
        <f>'T1 ANSP'!L23+'T1 MET'!L23+'T1 NSA'!L23</f>
        <v>51514.148112544404</v>
      </c>
      <c r="M23" s="1076">
        <f>'T1 ANSP'!M23+'T1 MET'!M23+'T1 NSA'!M23</f>
        <v>52619.54532429672</v>
      </c>
      <c r="N23" s="37">
        <f>'T1 ANSP'!N23+'T1 MET'!N23+'T1 NSA'!N23</f>
        <v>57980.68297505899</v>
      </c>
      <c r="O23" s="5">
        <f>'T1 ANSP'!O23+'T1 MET'!O23+'T1 NSA'!O23</f>
        <v>58829.272425816089</v>
      </c>
      <c r="P23" s="1076">
        <f>'T1 ANSP'!P23+'T1 MET'!P23+'T1 NSA'!P23</f>
        <v>53230.627775830842</v>
      </c>
      <c r="Q23" s="5">
        <f>'T1 ANSP'!Q23+'T1 MET'!Q23+'T1 NSA'!Q23</f>
        <v>55022.741220945507</v>
      </c>
      <c r="R23" s="25">
        <f>'T1 ANSP'!R23+'T1 MET'!R23+'T1 NSA'!R23</f>
        <v>55704.774133359497</v>
      </c>
      <c r="S23" s="26"/>
      <c r="T23" s="37">
        <f>'T1 ANSP'!T23+'T1 MET'!T23+'T1 NSA'!T23</f>
        <v>51449.87494073854</v>
      </c>
      <c r="U23" s="5">
        <f>'T1 ANSP'!U23+'T1 MET'!U23+'T1 NSA'!U23</f>
        <v>41618.491585662741</v>
      </c>
      <c r="V23" s="5">
        <f>'T1 ANSP'!V23+'T1 MET'!V23+'T1 NSA'!V23</f>
        <v>47281.185081252595</v>
      </c>
      <c r="W23" s="1152"/>
      <c r="X23" s="35"/>
      <c r="Y23" s="35"/>
      <c r="Z23" s="35"/>
      <c r="AA23" s="36"/>
    </row>
    <row r="24" spans="1:36" ht="12" customHeight="1">
      <c r="A24" s="21" t="s">
        <v>337</v>
      </c>
      <c r="B24" s="24"/>
      <c r="C24" s="115">
        <f>'T1 ANSP'!C24+'T1 MET'!C24+'T1 NSA'!C24</f>
        <v>14799.388823928355</v>
      </c>
      <c r="D24" s="116">
        <f>'T1 ANSP'!D24+'T1 MET'!D24+'T1 NSA'!D24</f>
        <v>17654.173655085251</v>
      </c>
      <c r="E24" s="116">
        <f>'T1 ANSP'!E24+'T1 MET'!E24+'T1 NSA'!E24</f>
        <v>16671.4914002638</v>
      </c>
      <c r="F24" s="116">
        <f>'T1 ANSP'!F24+'T1 MET'!F24+'T1 NSA'!F24</f>
        <v>16423</v>
      </c>
      <c r="G24" s="116">
        <f>'T1 ANSP'!G24+'T1 MET'!G24+'T1 NSA'!G24</f>
        <v>16500.731366291278</v>
      </c>
      <c r="H24" s="116">
        <f>'T1 ANSP'!H24+'T1 MET'!H24+'T1 NSA'!H24</f>
        <v>16224.608395705331</v>
      </c>
      <c r="I24" s="116">
        <f>'T1 ANSP'!I24+'T1 MET'!I24+'T1 NSA'!I24</f>
        <v>16673.099235269096</v>
      </c>
      <c r="J24" s="688">
        <f>'T1 ANSP'!J24+'T1 MET'!J24+'T1 NSA'!J24</f>
        <v>16923.494808091436</v>
      </c>
      <c r="K24" s="37">
        <f>'T1 ANSP'!K24+'T1 MET'!K24+'T1 NSA'!K24</f>
        <v>19077.587744503267</v>
      </c>
      <c r="L24" s="5">
        <f>'T1 ANSP'!L24+'T1 MET'!L24+'T1 NSA'!L24</f>
        <v>18643.90275572157</v>
      </c>
      <c r="M24" s="1076">
        <f>'T1 ANSP'!M24+'T1 MET'!M24+'T1 NSA'!M24</f>
        <v>19043.966017513867</v>
      </c>
      <c r="N24" s="37">
        <f>'T1 ANSP'!N24+'T1 MET'!N24+'T1 NSA'!N24</f>
        <v>20984.258785288661</v>
      </c>
      <c r="O24" s="5">
        <f>'T1 ANSP'!O24+'T1 MET'!O24+'T1 NSA'!O24</f>
        <v>21291.378669419948</v>
      </c>
      <c r="P24" s="1076">
        <f>'T1 ANSP'!P24+'T1 MET'!P24+'T1 NSA'!P24</f>
        <v>19265.12781906865</v>
      </c>
      <c r="Q24" s="5">
        <f>'T1 ANSP'!Q24+'T1 MET'!Q24+'T1 NSA'!Q24</f>
        <v>19913.726117247683</v>
      </c>
      <c r="R24" s="25">
        <f>'T1 ANSP'!R24+'T1 MET'!R24+'T1 NSA'!R24</f>
        <v>20160.566175001673</v>
      </c>
      <c r="S24" s="26"/>
      <c r="T24" s="37">
        <f>'T1 ANSP'!T24+'T1 MET'!T24+'T1 NSA'!T24</f>
        <v>18063.962219833778</v>
      </c>
      <c r="U24" s="5">
        <f>'T1 ANSP'!U24+'T1 MET'!U24+'T1 NSA'!U24</f>
        <v>14612.180506091043</v>
      </c>
      <c r="V24" s="5">
        <f>'T1 ANSP'!V24+'T1 MET'!V24+'T1 NSA'!V24</f>
        <v>16600.342410948055</v>
      </c>
      <c r="W24" s="1152"/>
      <c r="X24" s="35"/>
      <c r="Y24" s="35"/>
      <c r="Z24" s="35"/>
      <c r="AA24" s="36"/>
    </row>
    <row r="25" spans="1:36" ht="12" customHeight="1">
      <c r="A25" s="21" t="s">
        <v>338</v>
      </c>
      <c r="B25" s="24"/>
      <c r="C25" s="115">
        <f>'T1 ANSP'!C25+'T1 MET'!C25+'T1 NSA'!C25</f>
        <v>30108.616217791292</v>
      </c>
      <c r="D25" s="116">
        <f>'T1 ANSP'!D25+'T1 MET'!D25+'T1 NSA'!D25</f>
        <v>32211.383527911268</v>
      </c>
      <c r="E25" s="116">
        <f>'T1 ANSP'!E25+'T1 MET'!E25+'T1 NSA'!E25</f>
        <v>29348.015199647372</v>
      </c>
      <c r="F25" s="116">
        <f>'T1 ANSP'!F25+'T1 MET'!F25+'T1 NSA'!F25</f>
        <v>28986</v>
      </c>
      <c r="G25" s="116">
        <f>'T1 ANSP'!G25+'T1 MET'!G25+'T1 NSA'!G25</f>
        <v>29290.01693609239</v>
      </c>
      <c r="H25" s="116">
        <f>'T1 ANSP'!H25+'T1 MET'!H25+'T1 NSA'!H25</f>
        <v>28858.981095465129</v>
      </c>
      <c r="I25" s="116">
        <f>'T1 ANSP'!I25+'T1 MET'!I25+'T1 NSA'!I25</f>
        <v>30709.161675347452</v>
      </c>
      <c r="J25" s="688">
        <f>'T1 ANSP'!J25+'T1 MET'!J25+'T1 NSA'!J25</f>
        <v>31565.123802884547</v>
      </c>
      <c r="K25" s="37">
        <f>'T1 ANSP'!K25+'T1 MET'!K25+'T1 NSA'!K25</f>
        <v>35137.841990545938</v>
      </c>
      <c r="L25" s="5">
        <f>'T1 ANSP'!L25+'T1 MET'!L25+'T1 NSA'!L25</f>
        <v>34339.064135946704</v>
      </c>
      <c r="M25" s="1076">
        <f>'T1 ANSP'!M25+'T1 MET'!M25+'T1 NSA'!M25</f>
        <v>35075.916188068986</v>
      </c>
      <c r="N25" s="37">
        <f>'T1 ANSP'!N25+'T1 MET'!N25+'T1 NSA'!N25</f>
        <v>38649.622759494057</v>
      </c>
      <c r="O25" s="5">
        <f>'T1 ANSP'!O25+'T1 MET'!O25+'T1 NSA'!O25</f>
        <v>39215.288089161812</v>
      </c>
      <c r="P25" s="1076">
        <f>'T1 ANSP'!P25+'T1 MET'!P25+'T1 NSA'!P25</f>
        <v>35483.260583044474</v>
      </c>
      <c r="Q25" s="5">
        <f>'T1 ANSP'!Q25+'T1 MET'!Q25+'T1 NSA'!Q25</f>
        <v>36677.874117101906</v>
      </c>
      <c r="R25" s="25">
        <f>'T1 ANSP'!R25+'T1 MET'!R25+'T1 NSA'!R25</f>
        <v>37132.513721566364</v>
      </c>
      <c r="S25" s="26"/>
      <c r="T25" s="37">
        <f>'T1 ANSP'!T25+'T1 MET'!T25+'T1 NSA'!T25</f>
        <v>34296.21997274633</v>
      </c>
      <c r="U25" s="5">
        <f>'T1 ANSP'!U25+'T1 MET'!U25+'T1 NSA'!U25</f>
        <v>27742.670783939764</v>
      </c>
      <c r="V25" s="5">
        <f>'T1 ANSP'!V25+'T1 MET'!V25+'T1 NSA'!V25</f>
        <v>31517.392918574402</v>
      </c>
      <c r="W25" s="1152"/>
      <c r="X25" s="35"/>
      <c r="Y25" s="35"/>
      <c r="Z25" s="35"/>
      <c r="AA25" s="36"/>
    </row>
    <row r="26" spans="1:36" ht="12" customHeight="1">
      <c r="A26" s="21" t="s">
        <v>339</v>
      </c>
      <c r="B26" s="24"/>
      <c r="C26" s="115">
        <f>'T1 ANSP'!C26+'T1 MET'!C26+'T1 NSA'!C26</f>
        <v>0</v>
      </c>
      <c r="D26" s="116">
        <f>'T1 ANSP'!D26+'T1 MET'!D26+'T1 NSA'!D26</f>
        <v>0</v>
      </c>
      <c r="E26" s="116">
        <f>'T1 ANSP'!E26+'T1 MET'!E26+'T1 NSA'!E26</f>
        <v>0</v>
      </c>
      <c r="F26" s="116">
        <f>'T1 ANSP'!F26+'T1 MET'!F26+'T1 NSA'!F26</f>
        <v>0</v>
      </c>
      <c r="G26" s="116">
        <f>'T1 ANSP'!G26+'T1 MET'!G26+'T1 NSA'!G26</f>
        <v>0</v>
      </c>
      <c r="H26" s="116">
        <f>'T1 ANSP'!H26+'T1 MET'!H26+'T1 NSA'!H26</f>
        <v>0</v>
      </c>
      <c r="I26" s="116">
        <f>'T1 ANSP'!I26+'T1 MET'!I26+'T1 NSA'!I26</f>
        <v>0</v>
      </c>
      <c r="J26" s="688">
        <f>'T1 ANSP'!J26+'T1 MET'!J26+'T1 NSA'!J26</f>
        <v>0</v>
      </c>
      <c r="K26" s="37">
        <f>'T1 ANSP'!K26+'T1 MET'!K26+'T1 NSA'!K26</f>
        <v>0</v>
      </c>
      <c r="L26" s="5">
        <f>'T1 ANSP'!L26+'T1 MET'!L26+'T1 NSA'!L26</f>
        <v>0</v>
      </c>
      <c r="M26" s="1076">
        <f>'T1 ANSP'!M26+'T1 MET'!M26+'T1 NSA'!M26</f>
        <v>0</v>
      </c>
      <c r="N26" s="37">
        <f>'T1 ANSP'!N26+'T1 MET'!N26+'T1 NSA'!N26</f>
        <v>0</v>
      </c>
      <c r="O26" s="5">
        <f>'T1 ANSP'!O26+'T1 MET'!O26+'T1 NSA'!O26</f>
        <v>0</v>
      </c>
      <c r="P26" s="1076">
        <f>'T1 ANSP'!P26+'T1 MET'!P26+'T1 NSA'!P26</f>
        <v>0</v>
      </c>
      <c r="Q26" s="5">
        <f>'T1 ANSP'!Q26+'T1 MET'!Q26+'T1 NSA'!Q26</f>
        <v>0</v>
      </c>
      <c r="R26" s="25">
        <f>'T1 ANSP'!R26+'T1 MET'!R26+'T1 NSA'!R26</f>
        <v>0</v>
      </c>
      <c r="S26" s="26"/>
      <c r="T26" s="37">
        <f>'T1 ANSP'!T26+'T1 MET'!T26+'T1 NSA'!T26</f>
        <v>0</v>
      </c>
      <c r="U26" s="5">
        <f>'T1 ANSP'!U26+'T1 MET'!U26+'T1 NSA'!U26</f>
        <v>0</v>
      </c>
      <c r="V26" s="5">
        <f>'T1 ANSP'!V26+'T1 MET'!V26+'T1 NSA'!V26</f>
        <v>0</v>
      </c>
      <c r="W26" s="1152"/>
      <c r="X26" s="35"/>
      <c r="Y26" s="35"/>
      <c r="Z26" s="35"/>
      <c r="AA26" s="36"/>
    </row>
    <row r="27" spans="1:36" ht="12" customHeight="1">
      <c r="A27" s="21" t="s">
        <v>340</v>
      </c>
      <c r="B27" s="24"/>
      <c r="C27" s="115">
        <f>'T1 ANSP'!C27+'T1 MET'!C27+'T1 NSA'!C27</f>
        <v>3994.9232400000005</v>
      </c>
      <c r="D27" s="116">
        <f>'T1 ANSP'!D27+'T1 MET'!D27+'T1 NSA'!D27</f>
        <v>4045.7114500000007</v>
      </c>
      <c r="E27" s="116">
        <f>'T1 ANSP'!E27+'T1 MET'!E27+'T1 NSA'!E27</f>
        <v>5698.3796600000005</v>
      </c>
      <c r="F27" s="116">
        <f>'T1 ANSP'!F27+'T1 MET'!F27+'T1 NSA'!F27</f>
        <v>4383.6017000000002</v>
      </c>
      <c r="G27" s="116">
        <f>'T1 ANSP'!G27+'T1 MET'!G27+'T1 NSA'!G27</f>
        <v>3474.7876500000007</v>
      </c>
      <c r="H27" s="116">
        <f>'T1 ANSP'!H27+'T1 MET'!H27+'T1 NSA'!H27</f>
        <v>3494.93887</v>
      </c>
      <c r="I27" s="116">
        <f>'T1 ANSP'!I27+'T1 MET'!I27+'T1 NSA'!I27</f>
        <v>3835.3095600000001</v>
      </c>
      <c r="J27" s="688">
        <f>'T1 ANSP'!J27+'T1 MET'!J27+'T1 NSA'!J27</f>
        <v>3516.75</v>
      </c>
      <c r="K27" s="37">
        <f>'T1 ANSP'!K27+'T1 MET'!K27+'T1 NSA'!K27</f>
        <v>4388.4135532197179</v>
      </c>
      <c r="L27" s="5">
        <f>'T1 ANSP'!L27+'T1 MET'!L27+'T1 NSA'!L27</f>
        <v>4288.6530851728121</v>
      </c>
      <c r="M27" s="1076">
        <f>'T1 ANSP'!M27+'T1 MET'!M27+'T1 NSA'!M27</f>
        <v>4380.679554331653</v>
      </c>
      <c r="N27" s="37">
        <f>'T1 ANSP'!N27+'T1 MET'!N27+'T1 NSA'!N27</f>
        <v>4827.0046973922808</v>
      </c>
      <c r="O27" s="5">
        <f>'T1 ANSP'!O27+'T1 MET'!O27+'T1 NSA'!O27</f>
        <v>4897.6514206591328</v>
      </c>
      <c r="P27" s="1076">
        <f>'T1 ANSP'!P27+'T1 MET'!P27+'T1 NSA'!P27</f>
        <v>4431.5533576864373</v>
      </c>
      <c r="Q27" s="5">
        <f>'T1 ANSP'!Q27+'T1 MET'!Q27+'T1 NSA'!Q27</f>
        <v>4580.750289732744</v>
      </c>
      <c r="R27" s="25">
        <f>'T1 ANSP'!R27+'T1 MET'!R27+'T1 NSA'!R27</f>
        <v>4637.5308570367652</v>
      </c>
      <c r="S27" s="26"/>
      <c r="T27" s="37">
        <f>'T1 ANSP'!T27+'T1 MET'!T27+'T1 NSA'!T27</f>
        <v>3758.0364</v>
      </c>
      <c r="U27" s="5">
        <f>'T1 ANSP'!U27+'T1 MET'!U27+'T1 NSA'!U27</f>
        <v>3039.9258787735589</v>
      </c>
      <c r="V27" s="5">
        <f>'T1 ANSP'!V27+'T1 MET'!V27+'T1 NSA'!V27</f>
        <v>3453.5441490411063</v>
      </c>
      <c r="W27" s="1152"/>
      <c r="X27" s="35"/>
      <c r="Y27" s="35"/>
      <c r="Z27" s="35"/>
      <c r="AA27" s="36"/>
    </row>
    <row r="28" spans="1:36" ht="12" customHeight="1">
      <c r="A28" s="21" t="s">
        <v>341</v>
      </c>
      <c r="B28" s="24"/>
      <c r="C28" s="115">
        <f>'T1 ANSP'!C28+'T1 MET'!C28+'T1 NSA'!C28</f>
        <v>29130</v>
      </c>
      <c r="D28" s="116">
        <f>'T1 ANSP'!D28+'T1 MET'!D28+'T1 NSA'!D28</f>
        <v>28718</v>
      </c>
      <c r="E28" s="116">
        <f>'T1 ANSP'!E28+'T1 MET'!E28+'T1 NSA'!E28</f>
        <v>28213</v>
      </c>
      <c r="F28" s="116">
        <f>'T1 ANSP'!F28+'T1 MET'!F28+'T1 NSA'!F28</f>
        <v>28438</v>
      </c>
      <c r="G28" s="116">
        <f>'T1 ANSP'!G28+'T1 MET'!G28+'T1 NSA'!G28</f>
        <v>27852.3</v>
      </c>
      <c r="H28" s="116">
        <f>'T1 ANSP'!H28+'T1 MET'!H28+'T1 NSA'!H28</f>
        <v>26446</v>
      </c>
      <c r="I28" s="116">
        <f>'T1 ANSP'!I28+'T1 MET'!I28+'T1 NSA'!I28</f>
        <v>27081.342521957115</v>
      </c>
      <c r="J28" s="688">
        <f>'T1 ANSP'!J28+'T1 MET'!J28+'T1 NSA'!J28</f>
        <v>27756.395069999999</v>
      </c>
      <c r="K28" s="37">
        <f>'T1 ANSP'!K28+'T1 MET'!K28+'T1 NSA'!K28</f>
        <v>30937.954929357504</v>
      </c>
      <c r="L28" s="5">
        <f>'T1 ANSP'!L28+'T1 MET'!L28+'T1 NSA'!L28</f>
        <v>30193.924055224317</v>
      </c>
      <c r="M28" s="1076">
        <f>'T1 ANSP'!M28+'T1 MET'!M28+'T1 NSA'!M28</f>
        <v>31631.804677089873</v>
      </c>
      <c r="N28" s="37">
        <f>'T1 ANSP'!N28+'T1 MET'!N28+'T1 NSA'!N28</f>
        <v>34979.99408186751</v>
      </c>
      <c r="O28" s="5">
        <f>'T1 ANSP'!O28+'T1 MET'!O28+'T1 NSA'!O28</f>
        <v>39154.635377280945</v>
      </c>
      <c r="P28" s="1076">
        <f>'T1 ANSP'!P28+'T1 MET'!P28+'T1 NSA'!P28</f>
        <v>39333.693407857965</v>
      </c>
      <c r="Q28" s="5">
        <f>'T1 ANSP'!Q28+'T1 MET'!Q28+'T1 NSA'!Q28</f>
        <v>39178.680831826401</v>
      </c>
      <c r="R28" s="25">
        <f>'T1 ANSP'!R28+'T1 MET'!R28+'T1 NSA'!R28</f>
        <v>39736.652638500746</v>
      </c>
      <c r="S28" s="26"/>
      <c r="T28" s="37">
        <f>'T1 ANSP'!T28+'T1 MET'!T28+'T1 NSA'!T28</f>
        <v>28865.467896628572</v>
      </c>
      <c r="U28" s="5">
        <f>'T1 ANSP'!U28+'T1 MET'!U28+'T1 NSA'!U28</f>
        <v>29269.24</v>
      </c>
      <c r="V28" s="5">
        <f>'T1 ANSP'!V28+'T1 MET'!V28+'T1 NSA'!V28</f>
        <v>30009.014060000001</v>
      </c>
      <c r="W28" s="1152"/>
      <c r="X28" s="35"/>
      <c r="Y28" s="35"/>
      <c r="Z28" s="35"/>
      <c r="AA28" s="36"/>
    </row>
    <row r="29" spans="1:36" ht="12" customHeight="1">
      <c r="A29" s="21" t="s">
        <v>342</v>
      </c>
      <c r="B29" s="24"/>
      <c r="C29" s="115">
        <f>'T1 ANSP'!C29+'T1 MET'!C29+'T1 NSA'!C29</f>
        <v>6865.9599399999997</v>
      </c>
      <c r="D29" s="116">
        <f>'T1 ANSP'!D29+'T1 MET'!D29+'T1 NSA'!D29</f>
        <v>7259.4739599999994</v>
      </c>
      <c r="E29" s="116">
        <f>'T1 ANSP'!E29+'T1 MET'!E29+'T1 NSA'!E29</f>
        <v>7247.9405800000004</v>
      </c>
      <c r="F29" s="116">
        <f>'T1 ANSP'!F29+'T1 MET'!F29+'T1 NSA'!F29</f>
        <v>7066.5</v>
      </c>
      <c r="G29" s="116">
        <f>'T1 ANSP'!G29+'T1 MET'!G29+'T1 NSA'!G29</f>
        <v>6529.3416099999995</v>
      </c>
      <c r="H29" s="116">
        <f>'T1 ANSP'!H29+'T1 MET'!H29+'T1 NSA'!H29</f>
        <v>6492.8854200000005</v>
      </c>
      <c r="I29" s="116">
        <f>'T1 ANSP'!I29+'T1 MET'!I29+'T1 NSA'!I29</f>
        <v>6356.6510900000012</v>
      </c>
      <c r="J29" s="688">
        <f>'T1 ANSP'!J29+'T1 MET'!J29+'T1 NSA'!J29</f>
        <v>6441.4756500000003</v>
      </c>
      <c r="K29" s="37">
        <f>'T1 ANSP'!K29+'T1 MET'!K29+'T1 NSA'!K29</f>
        <v>6139.031938056728</v>
      </c>
      <c r="L29" s="5">
        <f>'T1 ANSP'!L29+'T1 MET'!L29+'T1 NSA'!L29</f>
        <v>6021.0789447829975</v>
      </c>
      <c r="M29" s="1076">
        <f>'T1 ANSP'!M29+'T1 MET'!M29+'T1 NSA'!M29</f>
        <v>6140.1353927634254</v>
      </c>
      <c r="N29" s="37">
        <f>'T1 ANSP'!N29+'T1 MET'!N29+'T1 NSA'!N29</f>
        <v>6691.9451835171076</v>
      </c>
      <c r="O29" s="5">
        <f>'T1 ANSP'!O29+'T1 MET'!O29+'T1 NSA'!O29</f>
        <v>6778.3555307239112</v>
      </c>
      <c r="P29" s="1076">
        <f>'T1 ANSP'!P29+'T1 MET'!P29+'T1 NSA'!P29</f>
        <v>6194.2834603034007</v>
      </c>
      <c r="Q29" s="5">
        <f>'T1 ANSP'!Q29+'T1 MET'!Q29+'T1 NSA'!Q29</f>
        <v>6371.4430857186971</v>
      </c>
      <c r="R29" s="25">
        <f>'T1 ANSP'!R29+'T1 MET'!R29+'T1 NSA'!R29</f>
        <v>6451.7220000826583</v>
      </c>
      <c r="S29" s="26"/>
      <c r="T29" s="37">
        <f>'T1 ANSP'!T29+'T1 MET'!T29+'T1 NSA'!T29</f>
        <v>5645.7810500000005</v>
      </c>
      <c r="U29" s="5">
        <f>'T1 ANSP'!U29+'T1 MET'!U29+'T1 NSA'!U29</f>
        <v>4842.3256285031894</v>
      </c>
      <c r="V29" s="5">
        <f>'T1 ANSP'!V29+'T1 MET'!V29+'T1 NSA'!V29</f>
        <v>6070.6752828483377</v>
      </c>
      <c r="W29" s="1152"/>
      <c r="X29" s="35"/>
      <c r="Y29" s="35"/>
      <c r="Z29" s="35"/>
      <c r="AA29" s="36"/>
    </row>
    <row r="30" spans="1:36" ht="12" customHeight="1">
      <c r="A30" s="21" t="s">
        <v>343</v>
      </c>
      <c r="B30" s="24"/>
      <c r="C30" s="115">
        <f>'T1 ANSP'!C30+'T1 MET'!C30+'T1 NSA'!C30</f>
        <v>53409.226389745265</v>
      </c>
      <c r="D30" s="116">
        <f>'T1 ANSP'!D30+'T1 MET'!D30+'T1 NSA'!D30</f>
        <v>57347.410791279792</v>
      </c>
      <c r="E30" s="116">
        <f>'T1 ANSP'!E30+'T1 MET'!E30+'T1 NSA'!E30</f>
        <v>55662.99385340252</v>
      </c>
      <c r="F30" s="116">
        <f>'T1 ANSP'!F30+'T1 MET'!F30+'T1 NSA'!F30</f>
        <v>50650.412164199995</v>
      </c>
      <c r="G30" s="116">
        <f>'T1 ANSP'!G30+'T1 MET'!G30+'T1 NSA'!G30</f>
        <v>56255.035019133436</v>
      </c>
      <c r="H30" s="116">
        <f>'T1 ANSP'!H30+'T1 MET'!H30+'T1 NSA'!H30</f>
        <v>60346.471071479231</v>
      </c>
      <c r="I30" s="116">
        <f>'T1 ANSP'!I30+'T1 MET'!I30+'T1 NSA'!I30</f>
        <v>58366.706536868303</v>
      </c>
      <c r="J30" s="688">
        <f>'T1 ANSP'!J30+'T1 MET'!J30+'T1 NSA'!J30</f>
        <v>56385.870465818203</v>
      </c>
      <c r="K30" s="37">
        <f>'T1 ANSP'!K30+'T1 MET'!K30+'T1 NSA'!K30</f>
        <v>58363.091855186809</v>
      </c>
      <c r="L30" s="5">
        <f>'T1 ANSP'!L30+'T1 MET'!L30+'T1 NSA'!L30</f>
        <v>57496.53410980956</v>
      </c>
      <c r="M30" s="1076">
        <f>'T1 ANSP'!M30+'T1 MET'!M30+'T1 NSA'!M30</f>
        <v>56900.202262422026</v>
      </c>
      <c r="N30" s="37">
        <f>'T1 ANSP'!N30+'T1 MET'!N30+'T1 NSA'!N30</f>
        <v>60741.822478276648</v>
      </c>
      <c r="O30" s="5">
        <f>'T1 ANSP'!O30+'T1 MET'!O30+'T1 NSA'!O30</f>
        <v>60956.457296185195</v>
      </c>
      <c r="P30" s="1076">
        <f>'T1 ANSP'!P30+'T1 MET'!P30+'T1 NSA'!P30</f>
        <v>61919.956841062572</v>
      </c>
      <c r="Q30" s="5">
        <f>'T1 ANSP'!Q30+'T1 MET'!Q30+'T1 NSA'!Q30</f>
        <v>63839.187923123092</v>
      </c>
      <c r="R30" s="25">
        <f>'T1 ANSP'!R30+'T1 MET'!R30+'T1 NSA'!R30</f>
        <v>64840.318343126877</v>
      </c>
      <c r="S30" s="26"/>
      <c r="T30" s="37">
        <f>'T1 ANSP'!T30+'T1 MET'!T30+'T1 NSA'!T30</f>
        <v>63618.228691528013</v>
      </c>
      <c r="U30" s="5">
        <f>'T1 ANSP'!U30+'T1 MET'!U30+'T1 NSA'!U30</f>
        <v>56894.231887539434</v>
      </c>
      <c r="V30" s="5">
        <f>'T1 ANSP'!V30+'T1 MET'!V30+'T1 NSA'!V30</f>
        <v>66743.116432554205</v>
      </c>
      <c r="W30" s="1152"/>
      <c r="X30" s="35"/>
      <c r="Y30" s="35"/>
      <c r="Z30" s="35"/>
      <c r="AA30" s="36"/>
    </row>
    <row r="31" spans="1:36" s="143" customFormat="1" ht="12" customHeight="1">
      <c r="A31" s="141" t="s">
        <v>344</v>
      </c>
      <c r="B31" s="134"/>
      <c r="C31" s="581">
        <f>'T1 ANSP'!C31+'T1 MET'!C31+'T1 NSA'!C31</f>
        <v>658740.66545497626</v>
      </c>
      <c r="D31" s="582">
        <f>'T1 ANSP'!D31+'T1 MET'!D31+'T1 NSA'!D31</f>
        <v>724832.52671386418</v>
      </c>
      <c r="E31" s="582">
        <f>'T1 ANSP'!E31+'T1 MET'!E31+'T1 NSA'!E31</f>
        <v>669901.15557030356</v>
      </c>
      <c r="F31" s="582">
        <f>'T1 ANSP'!F31+'T1 MET'!F31+'T1 NSA'!F31</f>
        <v>657371.51386419998</v>
      </c>
      <c r="G31" s="582">
        <f>'T1 ANSP'!G31+'T1 MET'!G31+'T1 NSA'!G31</f>
        <v>666364.9980092881</v>
      </c>
      <c r="H31" s="582">
        <f>'T1 ANSP'!H31+'T1 MET'!H31+'T1 NSA'!H31</f>
        <v>660595.58041266631</v>
      </c>
      <c r="I31" s="582">
        <f>'T1 ANSP'!I31+'T1 MET'!I31+'T1 NSA'!I31</f>
        <v>694359.07889726129</v>
      </c>
      <c r="J31" s="692">
        <f>'T1 ANSP'!J31+'T1 MET'!J31+'T1 NSA'!J31</f>
        <v>709493.71793228539</v>
      </c>
      <c r="K31" s="85">
        <f>'T1 ANSP'!K31+'T1 MET'!K31+'T1 NSA'!K31</f>
        <v>790418.89953814808</v>
      </c>
      <c r="L31" s="86">
        <f>'T1 ANSP'!L31+'T1 MET'!L31+'T1 NSA'!L31</f>
        <v>775027.03415828093</v>
      </c>
      <c r="M31" s="789">
        <f>'T1 ANSP'!M31+'T1 MET'!M31+'T1 NSA'!M31</f>
        <v>790935.59297112294</v>
      </c>
      <c r="N31" s="85">
        <f>'T1 ANSP'!N31+'T1 MET'!N31+'T1 NSA'!N31</f>
        <v>873485.10874478845</v>
      </c>
      <c r="O31" s="86">
        <f>'T1 ANSP'!O31+'T1 MET'!O31+'T1 NSA'!O31</f>
        <v>889282.98739770963</v>
      </c>
      <c r="P31" s="789">
        <f>'T1 ANSP'!P31+'T1 MET'!P31+'T1 NSA'!P31</f>
        <v>817876.36194929702</v>
      </c>
      <c r="Q31" s="86">
        <f>'T1 ANSP'!Q31+'T1 MET'!Q31+'T1 NSA'!Q31</f>
        <v>843573.05753395613</v>
      </c>
      <c r="R31" s="627">
        <f>'T1 ANSP'!R31+'T1 MET'!R31+'T1 NSA'!R31</f>
        <v>853850.03525063791</v>
      </c>
      <c r="S31" s="87"/>
      <c r="T31" s="85">
        <f>'T1 ANSP'!T31+'T1 MET'!T31+'T1 NSA'!T31</f>
        <v>772193.07330844807</v>
      </c>
      <c r="U31" s="86">
        <f>'T1 ANSP'!U31+'T1 MET'!U31+'T1 NSA'!U31</f>
        <v>644352.72872446862</v>
      </c>
      <c r="V31" s="86">
        <f>'T1 ANSP'!V31+'T1 MET'!V31+'T1 NSA'!V31</f>
        <v>728743.00482609484</v>
      </c>
      <c r="W31" s="1154"/>
      <c r="X31" s="95"/>
      <c r="Y31" s="95"/>
      <c r="Z31" s="95"/>
      <c r="AA31" s="142"/>
    </row>
    <row r="32" spans="1:36" ht="12" customHeight="1">
      <c r="A32" s="102" t="s">
        <v>333</v>
      </c>
      <c r="B32" s="469"/>
      <c r="C32" s="28"/>
      <c r="D32" s="29">
        <f>D31/C31-1</f>
        <v>0.10033062284569882</v>
      </c>
      <c r="E32" s="29">
        <f t="shared" ref="E32" si="4">E31/D31-1</f>
        <v>-7.5784914609999809E-2</v>
      </c>
      <c r="F32" s="29">
        <f t="shared" ref="F32" si="5">F31/E31-1</f>
        <v>-1.8703717110977069E-2</v>
      </c>
      <c r="G32" s="29">
        <f t="shared" ref="G32" si="6">G31/F31-1</f>
        <v>1.368097636635035E-2</v>
      </c>
      <c r="H32" s="29">
        <f t="shared" ref="H32" si="7">H31/G31-1</f>
        <v>-8.6580441857802004E-3</v>
      </c>
      <c r="I32" s="29">
        <f t="shared" ref="I32" si="8">I31/H31-1</f>
        <v>5.111069387340339E-2</v>
      </c>
      <c r="J32" s="690">
        <f t="shared" ref="J32" si="9">J31/I31-1</f>
        <v>2.1796559582773822E-2</v>
      </c>
      <c r="K32" s="28">
        <f t="shared" ref="K32" si="10">K31/J31-1</f>
        <v>0.11406046249670432</v>
      </c>
      <c r="L32" s="29">
        <f t="shared" ref="L32" si="11">L31/K31-1</f>
        <v>-1.9473048264484594E-2</v>
      </c>
      <c r="M32" s="1078">
        <f t="shared" ref="M32" si="12">M31/L31-1</f>
        <v>2.0526456641760227E-2</v>
      </c>
      <c r="N32" s="28">
        <f t="shared" ref="N32" si="13">N31/M31-1</f>
        <v>0.10436945372956474</v>
      </c>
      <c r="O32" s="29">
        <f t="shared" ref="O32" si="14">O31/N31-1</f>
        <v>1.808603088336902E-2</v>
      </c>
      <c r="P32" s="29">
        <f t="shared" ref="P32" si="15">P31/O31-1</f>
        <v>-8.0296853150613301E-2</v>
      </c>
      <c r="Q32" s="29">
        <f t="shared" ref="Q32" si="16">Q31/P31-1</f>
        <v>3.141880213216397E-2</v>
      </c>
      <c r="R32" s="30">
        <f t="shared" ref="R32" si="17">R31/Q31-1</f>
        <v>1.2182676562389139E-2</v>
      </c>
      <c r="S32" s="27">
        <f>S31/O31-1</f>
        <v>-1</v>
      </c>
      <c r="T32" s="28">
        <f>T31/J31-1</f>
        <v>8.8371966927192291E-2</v>
      </c>
      <c r="U32" s="29">
        <f>U31/T31-1</f>
        <v>-0.16555489682942848</v>
      </c>
      <c r="V32" s="29">
        <f>V31/U31-1</f>
        <v>0.13096906762338278</v>
      </c>
      <c r="W32" s="996"/>
      <c r="X32" s="104"/>
      <c r="Y32" s="104"/>
      <c r="Z32" s="104"/>
      <c r="AA32" s="106"/>
    </row>
    <row r="33" spans="1:27" ht="12" customHeight="1">
      <c r="A33" s="31"/>
      <c r="B33" s="32"/>
      <c r="C33" s="32"/>
      <c r="D33" s="32"/>
      <c r="E33" s="32"/>
      <c r="F33" s="32"/>
      <c r="G33" s="32"/>
      <c r="H33" s="32"/>
      <c r="I33" s="32"/>
      <c r="J33" s="693"/>
      <c r="K33" s="32"/>
      <c r="L33" s="32"/>
      <c r="M33" s="32"/>
      <c r="N33" s="32"/>
      <c r="O33" s="32"/>
      <c r="P33" s="32"/>
      <c r="Q33" s="32"/>
      <c r="R33" s="32"/>
      <c r="S33" s="32"/>
      <c r="T33" s="32"/>
      <c r="U33" s="32"/>
      <c r="V33" s="32"/>
      <c r="W33" s="32"/>
      <c r="X33" s="32"/>
      <c r="Y33" s="32"/>
      <c r="Z33" s="32"/>
      <c r="AA33" s="32"/>
    </row>
    <row r="34" spans="1:27" ht="15.6" customHeight="1">
      <c r="A34" s="15" t="s">
        <v>345</v>
      </c>
      <c r="B34" s="15"/>
      <c r="C34" s="15"/>
      <c r="D34" s="15"/>
      <c r="E34" s="15"/>
      <c r="F34" s="15"/>
      <c r="G34" s="15"/>
      <c r="H34" s="15"/>
      <c r="I34" s="15"/>
      <c r="J34" s="685"/>
      <c r="K34" s="17"/>
      <c r="L34" s="17"/>
      <c r="M34" s="17"/>
      <c r="N34" s="17"/>
      <c r="O34" s="18"/>
      <c r="P34" s="18"/>
      <c r="Q34" s="18"/>
      <c r="R34" s="18"/>
      <c r="S34" s="18"/>
      <c r="T34" s="17"/>
      <c r="U34" s="17"/>
      <c r="V34" s="17"/>
      <c r="W34" s="17"/>
      <c r="X34" s="17"/>
      <c r="Y34" s="17"/>
      <c r="Z34" s="17"/>
      <c r="AA34" s="17"/>
    </row>
    <row r="35" spans="1:27" ht="12" customHeight="1">
      <c r="A35" s="15" t="s">
        <v>346</v>
      </c>
      <c r="B35" s="15"/>
      <c r="C35" s="15"/>
      <c r="D35" s="15"/>
      <c r="E35" s="15"/>
      <c r="F35" s="15"/>
      <c r="G35" s="15"/>
      <c r="H35" s="15"/>
      <c r="I35" s="15"/>
      <c r="J35" s="685"/>
      <c r="K35" s="17"/>
      <c r="L35" s="17"/>
      <c r="M35" s="17"/>
      <c r="N35" s="17"/>
      <c r="O35" s="17"/>
      <c r="P35" s="17"/>
      <c r="Q35" s="17"/>
      <c r="R35" s="17"/>
      <c r="S35" s="17"/>
      <c r="T35" s="17"/>
      <c r="U35" s="17"/>
      <c r="V35" s="17"/>
      <c r="W35" s="17"/>
      <c r="X35" s="17"/>
      <c r="Y35" s="17"/>
      <c r="Z35" s="17"/>
      <c r="AA35" s="17"/>
    </row>
    <row r="36" spans="1:27" ht="12" customHeight="1">
      <c r="A36" s="42" t="s">
        <v>347</v>
      </c>
      <c r="B36" s="21"/>
      <c r="C36" s="22">
        <f>'T1 ANSP'!C36+'T1 MET'!C36+'T1 NSA'!C36</f>
        <v>939762.34893289395</v>
      </c>
      <c r="D36" s="22">
        <f>'T1 ANSP'!D36+'T1 MET'!D36+'T1 NSA'!D36</f>
        <v>927485.31138188043</v>
      </c>
      <c r="E36" s="22">
        <f>'T1 ANSP'!E36+'T1 MET'!E36+'T1 NSA'!E36</f>
        <v>865540.31546963041</v>
      </c>
      <c r="F36" s="22">
        <f>'T1 ANSP'!F36+'T1 MET'!F36+'T1 NSA'!F36</f>
        <v>878999.24615940417</v>
      </c>
      <c r="G36" s="22">
        <f>'T1 ANSP'!G36+'T1 MET'!G36+'T1 NSA'!G36</f>
        <v>888721.45849212434</v>
      </c>
      <c r="H36" s="22">
        <f>'T1 ANSP'!H36+'T1 MET'!H36+'T1 NSA'!H36</f>
        <v>908862.2495430382</v>
      </c>
      <c r="I36" s="22">
        <f>'T1 ANSP'!I36+'T1 MET'!I36+'T1 NSA'!I36</f>
        <v>914061.39616952243</v>
      </c>
      <c r="J36" s="694">
        <f>'T1 ANSP'!J36+'T1 MET'!J36+'T1 NSA'!J36</f>
        <v>925829.09386866854</v>
      </c>
      <c r="K36" s="67">
        <f>'T1 ANSP'!K36+'T1 MET'!K36+'T1 NSA'!K36</f>
        <v>1040501.549573938</v>
      </c>
      <c r="L36" s="22">
        <f>'T1 ANSP'!L36+'T1 MET'!L36+'T1 NSA'!L36</f>
        <v>1069147.6541239778</v>
      </c>
      <c r="M36" s="23">
        <f>'T1 ANSP'!M36+'T1 MET'!M36+'T1 NSA'!M36</f>
        <v>1029089.8745305148</v>
      </c>
      <c r="N36" s="157">
        <f>'T1 ANSP'!N36+'T1 MET'!N36+'T1 NSA'!N36</f>
        <v>1138364.4155538762</v>
      </c>
      <c r="O36" s="22">
        <f>'T1 ANSP'!O36+'T1 MET'!O36+'T1 NSA'!O36</f>
        <v>1149655.5654064417</v>
      </c>
      <c r="P36" s="22">
        <f>'T1 ANSP'!P36+'T1 MET'!P36+'T1 NSA'!P36</f>
        <v>1135299.3074350939</v>
      </c>
      <c r="Q36" s="22">
        <f>'T1 ANSP'!Q36+'T1 MET'!Q36+'T1 NSA'!Q36</f>
        <v>1122778.3714014669</v>
      </c>
      <c r="R36" s="23">
        <f>'T1 ANSP'!R36+'T1 MET'!R36+'T1 NSA'!R36</f>
        <v>1098965.3322879169</v>
      </c>
      <c r="S36" s="43"/>
      <c r="T36" s="67">
        <f>'T1 ANSP'!T36+'T1 MET'!T36+'T1 NSA'!T36</f>
        <v>914320.4544788287</v>
      </c>
      <c r="U36" s="22">
        <f>'T1 ANSP'!U36+'T1 MET'!U36+'T1 NSA'!U36</f>
        <v>955660.61369604012</v>
      </c>
      <c r="V36" s="22">
        <f>'T1 ANSP'!V36+'T1 MET'!V36+'T1 NSA'!V36</f>
        <v>967960.92338199553</v>
      </c>
      <c r="W36" s="1153"/>
      <c r="X36" s="33"/>
      <c r="Y36" s="33"/>
      <c r="Z36" s="33"/>
      <c r="AA36" s="34"/>
    </row>
    <row r="37" spans="1:27" ht="12" customHeight="1">
      <c r="A37" s="44" t="s">
        <v>348</v>
      </c>
      <c r="B37" s="21"/>
      <c r="C37" s="5">
        <f>'T1 ANSP'!C37+'T1 MET'!C37+'T1 NSA'!C37</f>
        <v>41681.571504752705</v>
      </c>
      <c r="D37" s="5">
        <f>'T1 ANSP'!D37+'T1 MET'!D37+'T1 NSA'!D37</f>
        <v>50556.324898349667</v>
      </c>
      <c r="E37" s="5">
        <f>'T1 ANSP'!E37+'T1 MET'!E37+'T1 NSA'!E37</f>
        <v>71694.895182720546</v>
      </c>
      <c r="F37" s="5">
        <f>'T1 ANSP'!F37+'T1 MET'!F37+'T1 NSA'!F37</f>
        <v>98160.82617805757</v>
      </c>
      <c r="G37" s="5">
        <f>'T1 ANSP'!G37+'T1 MET'!G37+'T1 NSA'!G37</f>
        <v>91588.709851581327</v>
      </c>
      <c r="H37" s="5">
        <f>'T1 ANSP'!H37+'T1 MET'!H37+'T1 NSA'!H37</f>
        <v>83411.336557579372</v>
      </c>
      <c r="I37" s="5">
        <f>'T1 ANSP'!I37+'T1 MET'!I37+'T1 NSA'!I37</f>
        <v>90060.633659137544</v>
      </c>
      <c r="J37" s="695">
        <f>'T1 ANSP'!J37+'T1 MET'!J37+'T1 NSA'!J37</f>
        <v>100906.19570759276</v>
      </c>
      <c r="K37" s="37">
        <f>'T1 ANSP'!K37+'T1 MET'!K37+'T1 NSA'!K37</f>
        <v>-71629.776822873624</v>
      </c>
      <c r="L37" s="5">
        <f>'T1 ANSP'!L37+'T1 MET'!L37+'T1 NSA'!L37</f>
        <v>-50773.878665737808</v>
      </c>
      <c r="M37" s="25">
        <f>'T1 ANSP'!M37+'T1 MET'!M37+'T1 NSA'!M37</f>
        <v>62818.535457955906</v>
      </c>
      <c r="N37" s="156">
        <f>'T1 ANSP'!N37+'T1 MET'!N37+'T1 NSA'!N37</f>
        <v>-222582.43547447654</v>
      </c>
      <c r="O37" s="5">
        <f>'T1 ANSP'!O37+'T1 MET'!O37+'T1 NSA'!O37</f>
        <v>-217433.7859482863</v>
      </c>
      <c r="P37" s="5">
        <f>'T1 ANSP'!P37+'T1 MET'!P37+'T1 NSA'!P37</f>
        <v>-242526.54145328165</v>
      </c>
      <c r="Q37" s="5">
        <f>'T1 ANSP'!Q37+'T1 MET'!Q37+'T1 NSA'!Q37</f>
        <v>-242118.93505755765</v>
      </c>
      <c r="R37" s="25">
        <f>'T1 ANSP'!R37+'T1 MET'!R37+'T1 NSA'!R37</f>
        <v>-229521.72525112657</v>
      </c>
      <c r="S37" s="43"/>
      <c r="T37" s="37">
        <f>'T1 ANSP'!T37+'T1 MET'!T37+'T1 NSA'!T37</f>
        <v>-60892.512737082507</v>
      </c>
      <c r="U37" s="5">
        <f>'T1 ANSP'!U37+'T1 MET'!U37+'T1 NSA'!U37</f>
        <v>-25610.968048413662</v>
      </c>
      <c r="V37" s="5">
        <f>'T1 ANSP'!V37+'T1 MET'!V37+'T1 NSA'!V37</f>
        <v>15690.816662014113</v>
      </c>
      <c r="W37" s="1152"/>
      <c r="X37" s="35"/>
      <c r="Y37" s="35"/>
      <c r="Z37" s="35"/>
      <c r="AA37" s="36"/>
    </row>
    <row r="38" spans="1:27" ht="12" customHeight="1">
      <c r="A38" s="44" t="s">
        <v>349</v>
      </c>
      <c r="B38" s="21"/>
      <c r="C38" s="5">
        <f>'T1 ANSP'!C38+'T1 MET'!C38+'T1 NSA'!C38</f>
        <v>33017.984782509608</v>
      </c>
      <c r="D38" s="5">
        <f>'T1 ANSP'!D38+'T1 MET'!D38+'T1 NSA'!D38</f>
        <v>37497.43373313854</v>
      </c>
      <c r="E38" s="5">
        <f>'T1 ANSP'!E38+'T1 MET'!E38+'T1 NSA'!E38</f>
        <v>61438.903958662508</v>
      </c>
      <c r="F38" s="5">
        <f>'T1 ANSP'!F38+'T1 MET'!F38+'T1 NSA'!F38</f>
        <v>35862.048843560631</v>
      </c>
      <c r="G38" s="5">
        <f>'T1 ANSP'!G38+'T1 MET'!G38+'T1 NSA'!G38</f>
        <v>-39076.097796684648</v>
      </c>
      <c r="H38" s="5">
        <f>'T1 ANSP'!H38+'T1 MET'!H38+'T1 NSA'!H38</f>
        <v>-107518.25142521536</v>
      </c>
      <c r="I38" s="5">
        <f>'T1 ANSP'!I38+'T1 MET'!I38+'T1 NSA'!I38</f>
        <v>-132865.673564625</v>
      </c>
      <c r="J38" s="695">
        <f>'T1 ANSP'!J38+'T1 MET'!J38+'T1 NSA'!J38</f>
        <v>-163753.35641653041</v>
      </c>
      <c r="K38" s="37">
        <f>'T1 ANSP'!K38+'T1 MET'!K38+'T1 NSA'!K38</f>
        <v>-59243.876670964601</v>
      </c>
      <c r="L38" s="5">
        <f>'T1 ANSP'!L38+'T1 MET'!L38+'T1 NSA'!L38</f>
        <v>2728.9767214246281</v>
      </c>
      <c r="M38" s="25">
        <f>'T1 ANSP'!M38+'T1 MET'!M38+'T1 NSA'!M38</f>
        <v>8315.3324829405137</v>
      </c>
      <c r="N38" s="156">
        <f>'T1 ANSP'!N38+'T1 MET'!N38+'T1 NSA'!N38</f>
        <v>777743.37543039292</v>
      </c>
      <c r="O38" s="5">
        <f>'T1 ANSP'!O38+'T1 MET'!O38+'T1 NSA'!O38</f>
        <v>675380.13478053221</v>
      </c>
      <c r="P38" s="5">
        <f>'T1 ANSP'!P38+'T1 MET'!P38+'T1 NSA'!P38</f>
        <v>605907.60722034413</v>
      </c>
      <c r="Q38" s="5">
        <f>'T1 ANSP'!Q38+'T1 MET'!Q38+'T1 NSA'!Q38</f>
        <v>546507.77907383465</v>
      </c>
      <c r="R38" s="25">
        <f>'T1 ANSP'!R38+'T1 MET'!R38+'T1 NSA'!R38</f>
        <v>482072.36044548155</v>
      </c>
      <c r="S38" s="43"/>
      <c r="T38" s="37">
        <f>'T1 ANSP'!T38+'T1 MET'!T38+'T1 NSA'!T38</f>
        <v>127225.78795391619</v>
      </c>
      <c r="U38" s="5">
        <f>'T1 ANSP'!U38+'T1 MET'!U38+'T1 NSA'!U38</f>
        <v>257431.03622899009</v>
      </c>
      <c r="V38" s="5">
        <f>'T1 ANSP'!V38+'T1 MET'!V38+'T1 NSA'!V38</f>
        <v>421643.90419992746</v>
      </c>
      <c r="W38" s="1152"/>
      <c r="X38" s="35"/>
      <c r="Y38" s="35"/>
      <c r="Z38" s="35"/>
      <c r="AA38" s="36"/>
    </row>
    <row r="39" spans="1:27" ht="12" customHeight="1">
      <c r="A39" s="45" t="s">
        <v>350</v>
      </c>
      <c r="B39" s="21"/>
      <c r="C39" s="47">
        <f>'T1 ANSP'!C39+'T1 MET'!C39+'T1 NSA'!C39</f>
        <v>1014461.9052201563</v>
      </c>
      <c r="D39" s="47">
        <f>'T1 ANSP'!D39+'T1 MET'!D39+'T1 NSA'!D39</f>
        <v>1015539.0700133686</v>
      </c>
      <c r="E39" s="47">
        <f>'T1 ANSP'!E39+'T1 MET'!E39+'T1 NSA'!E39</f>
        <v>998674.11461101344</v>
      </c>
      <c r="F39" s="47">
        <f>'T1 ANSP'!F39+'T1 MET'!F39+'T1 NSA'!F39</f>
        <v>1013022.1211810224</v>
      </c>
      <c r="G39" s="47">
        <f>'T1 ANSP'!G39+'T1 MET'!G39+'T1 NSA'!G39</f>
        <v>941234.07054702111</v>
      </c>
      <c r="H39" s="47">
        <f>'T1 ANSP'!H39+'T1 MET'!H39+'T1 NSA'!H39</f>
        <v>884755.33467540215</v>
      </c>
      <c r="I39" s="47">
        <f>'T1 ANSP'!I39+'T1 MET'!I39+'T1 NSA'!I39</f>
        <v>871256.35626403498</v>
      </c>
      <c r="J39" s="696">
        <f>'T1 ANSP'!J39+'T1 MET'!J39+'T1 NSA'!J39</f>
        <v>862981.93315973086</v>
      </c>
      <c r="K39" s="46">
        <f>'T1 ANSP'!K39+'T1 MET'!K39+'T1 NSA'!K39</f>
        <v>909627.89608009974</v>
      </c>
      <c r="L39" s="47">
        <f>'T1 ANSP'!L39+'T1 MET'!L39+'T1 NSA'!L39</f>
        <v>1021102.7521796646</v>
      </c>
      <c r="M39" s="48">
        <f>'T1 ANSP'!M39+'T1 MET'!M39+'T1 NSA'!M39</f>
        <v>1100223.7424714111</v>
      </c>
      <c r="N39" s="158">
        <f>'T1 ANSP'!N39+'T1 MET'!N39+'T1 NSA'!N39</f>
        <v>1978096.4575586806</v>
      </c>
      <c r="O39" s="47">
        <f>'T1 ANSP'!O39+'T1 MET'!O39+'T1 NSA'!O39</f>
        <v>1861109.0240961842</v>
      </c>
      <c r="P39" s="47">
        <f>'T1 ANSP'!P39+'T1 MET'!P39+'T1 NSA'!P39</f>
        <v>1742289.5848184845</v>
      </c>
      <c r="Q39" s="47">
        <f>'T1 ANSP'!Q39+'T1 MET'!Q39+'T1 NSA'!Q39</f>
        <v>1651909.9712090022</v>
      </c>
      <c r="R39" s="48">
        <f>'T1 ANSP'!R39+'T1 MET'!R39+'T1 NSA'!R39</f>
        <v>1562498.7716838827</v>
      </c>
      <c r="S39" s="43"/>
      <c r="T39" s="46">
        <f>'T1 ANSP'!T39+'T1 MET'!T39+'T1 NSA'!T39</f>
        <v>980653.72969566239</v>
      </c>
      <c r="U39" s="47">
        <f>'T1 ANSP'!U39+'T1 MET'!U39+'T1 NSA'!U39</f>
        <v>1187480.6818766166</v>
      </c>
      <c r="V39" s="47">
        <f>'T1 ANSP'!V39+'T1 MET'!V39+'T1 NSA'!V39</f>
        <v>1406826.9632667638</v>
      </c>
      <c r="W39" s="1155"/>
      <c r="X39" s="49"/>
      <c r="Y39" s="49"/>
      <c r="Z39" s="49"/>
      <c r="AA39" s="50"/>
    </row>
    <row r="40" spans="1:27" ht="12" customHeight="1">
      <c r="A40" s="15" t="s">
        <v>351</v>
      </c>
      <c r="B40" s="15"/>
      <c r="C40" s="15"/>
      <c r="D40" s="15"/>
      <c r="E40" s="15"/>
      <c r="F40" s="15"/>
      <c r="G40" s="15"/>
      <c r="H40" s="15"/>
      <c r="I40" s="15"/>
      <c r="J40" s="685"/>
      <c r="K40" s="51"/>
      <c r="L40" s="51"/>
      <c r="M40" s="51"/>
      <c r="N40" s="51"/>
      <c r="O40" s="51"/>
      <c r="P40" s="51"/>
      <c r="Q40" s="51"/>
      <c r="R40" s="51"/>
      <c r="S40" s="51"/>
      <c r="T40" s="51"/>
      <c r="U40" s="51"/>
      <c r="V40" s="51"/>
      <c r="W40" s="16"/>
      <c r="X40" s="16"/>
      <c r="Y40" s="16"/>
      <c r="Z40" s="16"/>
      <c r="AA40" s="16"/>
    </row>
    <row r="41" spans="1:27" ht="12" customHeight="1">
      <c r="A41" s="52" t="s">
        <v>352</v>
      </c>
      <c r="B41" s="21"/>
      <c r="C41" s="583">
        <f t="shared" ref="C41:O41" si="18">C16/C39</f>
        <v>6.7608584630925228E-2</v>
      </c>
      <c r="D41" s="583">
        <f t="shared" si="18"/>
        <v>6.7436209157371155E-2</v>
      </c>
      <c r="E41" s="583">
        <f t="shared" si="18"/>
        <v>6.7559837560669619E-2</v>
      </c>
      <c r="F41" s="583">
        <f t="shared" si="18"/>
        <v>5.8312746055672757E-2</v>
      </c>
      <c r="G41" s="583">
        <f t="shared" si="18"/>
        <v>5.8307584108339756E-2</v>
      </c>
      <c r="H41" s="583">
        <f t="shared" si="18"/>
        <v>5.8306811375039444E-2</v>
      </c>
      <c r="I41" s="583">
        <f t="shared" si="18"/>
        <v>5.832097603850786E-2</v>
      </c>
      <c r="J41" s="697">
        <f t="shared" si="18"/>
        <v>5.8330744073460235E-2</v>
      </c>
      <c r="K41" s="584">
        <f t="shared" si="18"/>
        <v>3.5558857457846871E-2</v>
      </c>
      <c r="L41" s="583">
        <f t="shared" si="18"/>
        <v>3.5473990067441175E-2</v>
      </c>
      <c r="M41" s="1166">
        <f t="shared" si="18"/>
        <v>3.5424340201260285E-2</v>
      </c>
      <c r="N41" s="584">
        <f t="shared" si="18"/>
        <v>3.0956614157053211E-2</v>
      </c>
      <c r="O41" s="583">
        <f t="shared" si="18"/>
        <v>3.1221820037996378E-2</v>
      </c>
      <c r="P41" s="583">
        <f t="shared" ref="P41:R41" si="19">P16/P39</f>
        <v>3.1487200181638669E-2</v>
      </c>
      <c r="Q41" s="583">
        <f t="shared" si="19"/>
        <v>3.1486151454700392E-2</v>
      </c>
      <c r="R41" s="585">
        <f t="shared" si="19"/>
        <v>3.1511176535726569E-2</v>
      </c>
      <c r="S41" s="53"/>
      <c r="T41" s="584">
        <f t="shared" ref="T41:U41" si="20">T16/T39</f>
        <v>3.5189867018720372E-2</v>
      </c>
      <c r="U41" s="583">
        <f t="shared" si="20"/>
        <v>3.555827928297494E-2</v>
      </c>
      <c r="V41" s="583">
        <f t="shared" ref="V41" si="21">V16/V39</f>
        <v>3.5551703035898281E-2</v>
      </c>
      <c r="W41" s="1156"/>
      <c r="X41" s="586"/>
      <c r="Y41" s="586"/>
      <c r="Z41" s="586"/>
      <c r="AA41" s="587"/>
    </row>
    <row r="42" spans="1:27" ht="12" customHeight="1">
      <c r="A42" s="56" t="s">
        <v>353</v>
      </c>
      <c r="B42" s="21"/>
      <c r="C42" s="588"/>
      <c r="D42" s="589"/>
      <c r="E42" s="589"/>
      <c r="F42" s="589"/>
      <c r="G42" s="589"/>
      <c r="H42" s="589"/>
      <c r="I42" s="589"/>
      <c r="J42" s="698"/>
      <c r="K42" s="590"/>
      <c r="L42" s="591"/>
      <c r="M42" s="1167"/>
      <c r="N42" s="590"/>
      <c r="O42" s="591"/>
      <c r="P42" s="591"/>
      <c r="Q42" s="591"/>
      <c r="R42" s="592"/>
      <c r="S42" s="53"/>
      <c r="T42" s="590"/>
      <c r="U42" s="591"/>
      <c r="V42" s="591"/>
      <c r="W42" s="1157"/>
      <c r="X42" s="593"/>
      <c r="Y42" s="593"/>
      <c r="Z42" s="593"/>
      <c r="AA42" s="594"/>
    </row>
    <row r="43" spans="1:27" ht="12" customHeight="1">
      <c r="A43" s="56" t="s">
        <v>354</v>
      </c>
      <c r="B43" s="21"/>
      <c r="C43" s="588"/>
      <c r="D43" s="589"/>
      <c r="E43" s="589"/>
      <c r="F43" s="589"/>
      <c r="G43" s="589"/>
      <c r="H43" s="589"/>
      <c r="I43" s="589"/>
      <c r="J43" s="698"/>
      <c r="K43" s="590"/>
      <c r="L43" s="591"/>
      <c r="M43" s="1167"/>
      <c r="N43" s="590"/>
      <c r="O43" s="591"/>
      <c r="P43" s="591"/>
      <c r="Q43" s="591"/>
      <c r="R43" s="592"/>
      <c r="S43" s="53"/>
      <c r="T43" s="590"/>
      <c r="U43" s="591"/>
      <c r="V43" s="591"/>
      <c r="W43" s="1157"/>
      <c r="X43" s="593"/>
      <c r="Y43" s="593"/>
      <c r="Z43" s="593"/>
      <c r="AA43" s="594"/>
    </row>
    <row r="44" spans="1:27" ht="12" customHeight="1">
      <c r="A44" s="137" t="s">
        <v>355</v>
      </c>
      <c r="B44" s="21"/>
      <c r="C44" s="595"/>
      <c r="D44" s="596"/>
      <c r="E44" s="596"/>
      <c r="F44" s="596"/>
      <c r="G44" s="596"/>
      <c r="H44" s="596"/>
      <c r="I44" s="596"/>
      <c r="J44" s="699"/>
      <c r="K44" s="597"/>
      <c r="L44" s="598"/>
      <c r="M44" s="1085"/>
      <c r="N44" s="597"/>
      <c r="O44" s="598"/>
      <c r="P44" s="598"/>
      <c r="Q44" s="598"/>
      <c r="R44" s="599"/>
      <c r="S44" s="59"/>
      <c r="T44" s="597"/>
      <c r="U44" s="598"/>
      <c r="V44" s="598"/>
      <c r="W44" s="1158"/>
      <c r="X44" s="601"/>
      <c r="Y44" s="601"/>
      <c r="Z44" s="601"/>
      <c r="AA44" s="602"/>
    </row>
    <row r="45" spans="1:27" ht="5.7" customHeight="1">
      <c r="A45" s="17"/>
      <c r="K45" s="144"/>
      <c r="L45" s="144"/>
      <c r="M45" s="144"/>
      <c r="N45" s="144"/>
      <c r="O45" s="144"/>
      <c r="P45" s="144"/>
      <c r="Q45" s="144"/>
      <c r="R45" s="144"/>
      <c r="S45" s="59"/>
      <c r="T45" s="144"/>
      <c r="U45" s="144"/>
      <c r="V45" s="144"/>
      <c r="W45" s="145"/>
      <c r="X45" s="145"/>
      <c r="Y45" s="145"/>
      <c r="Z45" s="145"/>
      <c r="AA45" s="145"/>
    </row>
    <row r="46" spans="1:27" s="604" customFormat="1" ht="12" customHeight="1">
      <c r="A46" s="71" t="s">
        <v>356</v>
      </c>
      <c r="B46" s="2"/>
      <c r="C46" s="2"/>
      <c r="D46" s="2"/>
      <c r="E46" s="2"/>
      <c r="F46" s="2"/>
      <c r="G46" s="2"/>
      <c r="H46" s="2"/>
      <c r="I46" s="2"/>
      <c r="J46" s="638"/>
      <c r="K46" s="27"/>
      <c r="L46" s="27"/>
      <c r="M46" s="27"/>
      <c r="N46" s="603"/>
      <c r="O46" s="603"/>
      <c r="P46" s="603"/>
      <c r="Q46" s="603"/>
      <c r="R46" s="603"/>
      <c r="S46" s="603"/>
      <c r="T46" s="27"/>
      <c r="U46" s="27"/>
      <c r="V46" s="27"/>
      <c r="W46" s="603"/>
      <c r="X46" s="603"/>
      <c r="Y46" s="603"/>
      <c r="Z46" s="603"/>
      <c r="AA46" s="603"/>
    </row>
    <row r="47" spans="1:27" s="604" customFormat="1" ht="12" customHeight="1">
      <c r="A47" s="126" t="s">
        <v>357</v>
      </c>
      <c r="B47" s="123"/>
      <c r="C47" s="152">
        <f>'T1 ANSP'!C47+'T1 MET'!C47+'T1 NSA'!C47</f>
        <v>0</v>
      </c>
      <c r="D47" s="152">
        <f>'T1 ANSP'!D47+'T1 MET'!D47+'T1 NSA'!D47</f>
        <v>0</v>
      </c>
      <c r="E47" s="152">
        <f>'T1 ANSP'!E47+'T1 MET'!E47+'T1 NSA'!E47</f>
        <v>0</v>
      </c>
      <c r="F47" s="152">
        <f>'T1 ANSP'!F47+'T1 MET'!F47+'T1 NSA'!F47</f>
        <v>8958</v>
      </c>
      <c r="G47" s="152">
        <f>'T1 ANSP'!G47+'T1 MET'!G47+'T1 NSA'!G47</f>
        <v>10651.470209999999</v>
      </c>
      <c r="H47" s="152">
        <f>'T1 ANSP'!H47+'T1 MET'!H47+'T1 NSA'!H47</f>
        <v>11884.69994</v>
      </c>
      <c r="I47" s="152">
        <f>'T1 ANSP'!I47+'T1 MET'!I47+'T1 NSA'!I47</f>
        <v>7436.3770000000004</v>
      </c>
      <c r="J47" s="700">
        <f>'T1 ANSP'!J47+'T1 MET'!J47+'T1 NSA'!J47</f>
        <v>4629.0448500000002</v>
      </c>
      <c r="K47" s="605">
        <f>'T1 ANSP'!K47+'T1 MET'!K47+'T1 NSA'!K47</f>
        <v>5008.7809000000007</v>
      </c>
      <c r="L47" s="152">
        <f>'T1 ANSP'!L47+'T1 MET'!L47+'T1 NSA'!L47</f>
        <v>5497.9521600000007</v>
      </c>
      <c r="M47" s="1168">
        <f>'T1 ANSP'!M47+'T1 MET'!M47+'T1 NSA'!M47</f>
        <v>5518.6840499999989</v>
      </c>
      <c r="N47" s="1169">
        <f>'T1 ANSP'!N47+'T1 MET'!N47+'T1 NSA'!N47</f>
        <v>4958.0981340496774</v>
      </c>
      <c r="O47" s="152">
        <f>'T1 ANSP'!O47+'T1 MET'!O47+'T1 NSA'!O47</f>
        <v>4890.7329313906903</v>
      </c>
      <c r="P47" s="152">
        <f>'T1 ANSP'!P47+'T1 MET'!P47+'T1 NSA'!P47</f>
        <v>5181.6725087825516</v>
      </c>
      <c r="Q47" s="152">
        <f>'T1 ANSP'!Q47+'T1 MET'!Q47+'T1 NSA'!Q47</f>
        <v>5371.6550303160802</v>
      </c>
      <c r="R47" s="217">
        <f>'T1 ANSP'!R47+'T1 MET'!R47+'T1 NSA'!R47</f>
        <v>5506.6520925308614</v>
      </c>
      <c r="S47" s="606"/>
      <c r="T47" s="605">
        <f>'T1 ANSP'!T47+'T1 MET'!T47+'T1 NSA'!T47</f>
        <v>3015.2216100000001</v>
      </c>
      <c r="U47" s="152">
        <f>'T1 ANSP'!U47+'T1 MET'!U47+'T1 NSA'!U47</f>
        <v>2967.009779999999</v>
      </c>
      <c r="V47" s="152">
        <f>'T1 ANSP'!V47+'T1 MET'!V47+'T1 NSA'!V47</f>
        <v>4786.7592700000005</v>
      </c>
      <c r="W47" s="1170"/>
      <c r="X47" s="607"/>
      <c r="Y47" s="607"/>
      <c r="Z47" s="607"/>
      <c r="AA47" s="608"/>
    </row>
    <row r="48" spans="1:27" ht="5.7" customHeight="1">
      <c r="A48" s="17"/>
      <c r="C48" s="26"/>
      <c r="D48" s="26"/>
      <c r="E48" s="26"/>
      <c r="F48" s="26"/>
      <c r="G48" s="26"/>
      <c r="H48" s="26"/>
      <c r="I48" s="26"/>
      <c r="J48" s="701"/>
      <c r="K48" s="609"/>
      <c r="L48" s="609"/>
      <c r="M48" s="609"/>
      <c r="N48" s="609"/>
      <c r="O48" s="609"/>
      <c r="P48" s="609"/>
      <c r="Q48" s="609"/>
      <c r="R48" s="609"/>
      <c r="S48" s="610"/>
      <c r="T48" s="609"/>
      <c r="U48" s="609"/>
      <c r="V48" s="609"/>
      <c r="W48" s="611"/>
      <c r="X48" s="611"/>
      <c r="Y48" s="611"/>
      <c r="Z48" s="611"/>
      <c r="AA48" s="611"/>
    </row>
    <row r="49" spans="1:32" s="613" customFormat="1" ht="12" customHeight="1">
      <c r="A49" s="71" t="s">
        <v>358</v>
      </c>
      <c r="B49" s="2"/>
      <c r="C49" s="26"/>
      <c r="D49" s="26"/>
      <c r="E49" s="26"/>
      <c r="F49" s="26"/>
      <c r="G49" s="26"/>
      <c r="H49" s="26"/>
      <c r="I49" s="26"/>
      <c r="J49" s="701"/>
      <c r="K49" s="26"/>
      <c r="L49" s="26"/>
      <c r="M49" s="26"/>
      <c r="N49" s="612"/>
      <c r="O49" s="612"/>
      <c r="P49" s="612"/>
      <c r="Q49" s="612"/>
      <c r="R49" s="612"/>
      <c r="S49" s="612"/>
      <c r="T49" s="26"/>
      <c r="U49" s="26"/>
      <c r="V49" s="26"/>
      <c r="W49" s="612"/>
      <c r="X49" s="612"/>
      <c r="Y49" s="612"/>
      <c r="Z49" s="612"/>
      <c r="AA49" s="612"/>
    </row>
    <row r="50" spans="1:32" ht="12" customHeight="1">
      <c r="A50" s="42" t="s">
        <v>359</v>
      </c>
      <c r="B50" s="21"/>
      <c r="C50" s="67">
        <f>'T1 ANSP'!C50+'T1 MET'!C50+'T1 NSA'!C50</f>
        <v>0</v>
      </c>
      <c r="D50" s="22">
        <f>'T1 ANSP'!D50+'T1 MET'!D50+'T1 NSA'!D50</f>
        <v>0</v>
      </c>
      <c r="E50" s="22">
        <f>'T1 ANSP'!E50+'T1 MET'!E50+'T1 NSA'!E50</f>
        <v>0</v>
      </c>
      <c r="F50" s="22">
        <f>'T1 ANSP'!F50+'T1 MET'!F50+'T1 NSA'!F50</f>
        <v>0</v>
      </c>
      <c r="G50" s="22">
        <f>'T1 ANSP'!G50+'T1 MET'!G50+'T1 NSA'!G50</f>
        <v>0</v>
      </c>
      <c r="H50" s="22">
        <f>'T1 ANSP'!H50+'T1 MET'!H50+'T1 NSA'!H50</f>
        <v>0</v>
      </c>
      <c r="I50" s="22">
        <f>'T1 ANSP'!I50+'T1 MET'!I50+'T1 NSA'!I50</f>
        <v>0</v>
      </c>
      <c r="J50" s="702">
        <f>'T1 ANSP'!J50+'T1 MET'!J50+'T1 NSA'!J50</f>
        <v>0</v>
      </c>
      <c r="K50" s="67">
        <f>'T1 ANSP'!K50+'T1 MET'!K50+'T1 NSA'!K50</f>
        <v>170372.82190614694</v>
      </c>
      <c r="L50" s="22">
        <f>'T1 ANSP'!L50+'T1 MET'!L50+'T1 NSA'!L50</f>
        <v>142455.77851836776</v>
      </c>
      <c r="M50" s="23">
        <f>'T1 ANSP'!M50+'T1 MET'!M50+'T1 NSA'!M50</f>
        <v>127877.64901803236</v>
      </c>
      <c r="N50" s="157">
        <f>'T1 ANSP'!N50+'T1 MET'!N50+'T1 NSA'!N50</f>
        <v>133277.91121939773</v>
      </c>
      <c r="O50" s="23">
        <f>'T1 ANSP'!O50+'T1 MET'!O50+'T1 NSA'!O50</f>
        <v>144272.76088655071</v>
      </c>
      <c r="P50" s="23">
        <f>'T1 ANSP'!P50+'T1 MET'!P50+'T1 NSA'!P50</f>
        <v>132011.23597452333</v>
      </c>
      <c r="Q50" s="23">
        <f>'T1 ANSP'!Q50+'T1 MET'!Q50+'T1 NSA'!Q50</f>
        <v>133863.7612123123</v>
      </c>
      <c r="R50" s="23">
        <f>'T1 ANSP'!R50+'T1 MET'!R50+'T1 NSA'!R50</f>
        <v>134632.28290931464</v>
      </c>
      <c r="S50" s="43"/>
      <c r="T50" s="67">
        <f>'T1 ANSP'!T50+'T1 MET'!T50+'T1 NSA'!T50</f>
        <v>170677.0157604987</v>
      </c>
      <c r="U50" s="22">
        <f>'T1 ANSP'!U50+'T1 MET'!U50+'T1 NSA'!U50</f>
        <v>142628.60228247431</v>
      </c>
      <c r="V50" s="22">
        <f>'T1 ANSP'!V50+'T1 MET'!V50+'T1 NSA'!V50</f>
        <v>139840.16449190769</v>
      </c>
      <c r="W50" s="157"/>
      <c r="X50" s="22"/>
      <c r="Y50" s="22"/>
      <c r="Z50" s="22"/>
      <c r="AA50" s="614"/>
    </row>
    <row r="51" spans="1:32" ht="12" customHeight="1">
      <c r="A51" s="44" t="s">
        <v>360</v>
      </c>
      <c r="B51" s="21"/>
      <c r="C51" s="37">
        <f>'T1 ANSP'!C51+'T1 MET'!C51+'T1 NSA'!C51</f>
        <v>0</v>
      </c>
      <c r="D51" s="5">
        <f>'T1 ANSP'!D51+'T1 MET'!D51+'T1 NSA'!D51</f>
        <v>0</v>
      </c>
      <c r="E51" s="5">
        <f>'T1 ANSP'!E51+'T1 MET'!E51+'T1 NSA'!E51</f>
        <v>0</v>
      </c>
      <c r="F51" s="5">
        <f>'T1 ANSP'!F51+'T1 MET'!F51+'T1 NSA'!F51</f>
        <v>0</v>
      </c>
      <c r="G51" s="5">
        <f>'T1 ANSP'!G51+'T1 MET'!G51+'T1 NSA'!G51</f>
        <v>0</v>
      </c>
      <c r="H51" s="5">
        <f>'T1 ANSP'!H51+'T1 MET'!H51+'T1 NSA'!H51</f>
        <v>0</v>
      </c>
      <c r="I51" s="5">
        <f>'T1 ANSP'!I51+'T1 MET'!I51+'T1 NSA'!I51</f>
        <v>0</v>
      </c>
      <c r="J51" s="687">
        <f>'T1 ANSP'!J51+'T1 MET'!J51+'T1 NSA'!J51</f>
        <v>0</v>
      </c>
      <c r="K51" s="37">
        <f>'T1 ANSP'!K51+'T1 MET'!K51+'T1 NSA'!K51</f>
        <v>30311.082209330387</v>
      </c>
      <c r="L51" s="5">
        <f>'T1 ANSP'!L51+'T1 MET'!L51+'T1 NSA'!L51</f>
        <v>34194.931201595246</v>
      </c>
      <c r="M51" s="25">
        <f>'T1 ANSP'!M51+'T1 MET'!M51+'T1 NSA'!M51</f>
        <v>36953.63126374803</v>
      </c>
      <c r="N51" s="156">
        <f>'T1 ANSP'!N51+'T1 MET'!N51+'T1 NSA'!N51</f>
        <v>57804.142527885037</v>
      </c>
      <c r="O51" s="25">
        <f>'T1 ANSP'!O51+'T1 MET'!O51+'T1 NSA'!O51</f>
        <v>54545.132151302802</v>
      </c>
      <c r="P51" s="25">
        <f>'T1 ANSP'!P51+'T1 MET'!P51+'T1 NSA'!P51</f>
        <v>51447.516596086207</v>
      </c>
      <c r="Q51" s="25">
        <f>'T1 ANSP'!Q51+'T1 MET'!Q51+'T1 NSA'!Q51</f>
        <v>48968.444138593295</v>
      </c>
      <c r="R51" s="25">
        <f>'T1 ANSP'!R51+'T1 MET'!R51+'T1 NSA'!R51</f>
        <v>46496.530218301566</v>
      </c>
      <c r="S51" s="43"/>
      <c r="T51" s="37">
        <f>'T1 ANSP'!T51+'T1 MET'!T51+'T1 NSA'!T51</f>
        <v>32475.15105233949</v>
      </c>
      <c r="U51" s="5">
        <f>'T1 ANSP'!U51+'T1 MET'!U51+'T1 NSA'!U51</f>
        <v>39590.069729306255</v>
      </c>
      <c r="V51" s="5">
        <f>'T1 ANSP'!V51+'T1 MET'!V51+'T1 NSA'!V51</f>
        <v>46925</v>
      </c>
      <c r="W51" s="156"/>
      <c r="X51" s="5"/>
      <c r="Y51" s="5"/>
      <c r="Z51" s="5"/>
      <c r="AA51" s="615"/>
    </row>
    <row r="52" spans="1:32" ht="12" customHeight="1">
      <c r="A52" s="137" t="s">
        <v>361</v>
      </c>
      <c r="B52" s="21"/>
      <c r="C52" s="46">
        <f>'T1 ANSP'!C52+'T1 MET'!C52+'T1 NSA'!C52</f>
        <v>0</v>
      </c>
      <c r="D52" s="47">
        <f>'T1 ANSP'!D52+'T1 MET'!D52+'T1 NSA'!D52</f>
        <v>0</v>
      </c>
      <c r="E52" s="47">
        <f>'T1 ANSP'!E52+'T1 MET'!E52+'T1 NSA'!E52</f>
        <v>0</v>
      </c>
      <c r="F52" s="47">
        <f>'T1 ANSP'!F52+'T1 MET'!F52+'T1 NSA'!F52</f>
        <v>0</v>
      </c>
      <c r="G52" s="47">
        <f>'T1 ANSP'!G52+'T1 MET'!G52+'T1 NSA'!G52</f>
        <v>0</v>
      </c>
      <c r="H52" s="47">
        <f>'T1 ANSP'!H52+'T1 MET'!H52+'T1 NSA'!H52</f>
        <v>0</v>
      </c>
      <c r="I52" s="47">
        <f>'T1 ANSP'!I52+'T1 MET'!I52+'T1 NSA'!I52</f>
        <v>0</v>
      </c>
      <c r="J52" s="703">
        <f>'T1 ANSP'!J52+'T1 MET'!J52+'T1 NSA'!J52</f>
        <v>0</v>
      </c>
      <c r="K52" s="46">
        <f>'T1 ANSP'!K52+'T1 MET'!K52+'T1 NSA'!K52</f>
        <v>5535.0826435169929</v>
      </c>
      <c r="L52" s="47">
        <f>'T1 ANSP'!L52+'T1 MET'!L52+'T1 NSA'!L52</f>
        <v>5572.8627877568151</v>
      </c>
      <c r="M52" s="48">
        <f>'T1 ANSP'!M52+'T1 MET'!M52+'T1 NSA'!M52</f>
        <v>5503.031456065165</v>
      </c>
      <c r="N52" s="158">
        <f>'T1 ANSP'!N52+'T1 MET'!N52+'T1 NSA'!N52</f>
        <v>7581.7611693806084</v>
      </c>
      <c r="O52" s="48">
        <f>'T1 ANSP'!O52+'T1 MET'!O52+'T1 NSA'!O52</f>
        <v>6714.0616984297449</v>
      </c>
      <c r="P52" s="48">
        <f>'T1 ANSP'!P52+'T1 MET'!P52+'T1 NSA'!P52</f>
        <v>6647.8375347103047</v>
      </c>
      <c r="Q52" s="48">
        <f>'T1 ANSP'!Q52+'T1 MET'!Q52+'T1 NSA'!Q52</f>
        <v>6664.2480647962147</v>
      </c>
      <c r="R52" s="48">
        <f>'T1 ANSP'!R52+'T1 MET'!R52+'T1 NSA'!R52</f>
        <v>6751.4386926603429</v>
      </c>
      <c r="S52" s="610"/>
      <c r="T52" s="46">
        <f>'T1 ANSP'!T52+'T1 MET'!T52+'T1 NSA'!T52</f>
        <v>5504.6754100000007</v>
      </c>
      <c r="U52" s="47">
        <f>'T1 ANSP'!U52+'T1 MET'!U52+'T1 NSA'!U52</f>
        <v>5218.6033700000007</v>
      </c>
      <c r="V52" s="47">
        <f>'T1 ANSP'!V52+'T1 MET'!V52+'T1 NSA'!V52</f>
        <v>5671.9721</v>
      </c>
      <c r="W52" s="158"/>
      <c r="X52" s="47"/>
      <c r="Y52" s="47"/>
      <c r="Z52" s="47"/>
      <c r="AA52" s="48"/>
    </row>
    <row r="53" spans="1:32" ht="5.7" customHeight="1">
      <c r="A53" s="17"/>
      <c r="K53" s="144"/>
      <c r="L53" s="144"/>
      <c r="M53" s="144"/>
      <c r="N53" s="144"/>
      <c r="O53" s="144"/>
      <c r="P53" s="144"/>
      <c r="Q53" s="144"/>
      <c r="R53" s="144"/>
      <c r="S53" s="59"/>
      <c r="T53" s="144"/>
      <c r="U53" s="144"/>
      <c r="V53" s="144"/>
      <c r="W53" s="145"/>
      <c r="X53" s="145"/>
      <c r="Y53" s="145"/>
      <c r="Z53" s="145"/>
      <c r="AA53" s="145"/>
    </row>
    <row r="54" spans="1:32" s="613" customFormat="1" ht="12" customHeight="1">
      <c r="A54" s="71" t="s">
        <v>362</v>
      </c>
      <c r="B54" s="2"/>
      <c r="C54" s="2"/>
      <c r="D54" s="2"/>
      <c r="E54" s="2"/>
      <c r="F54" s="2"/>
      <c r="G54" s="2"/>
      <c r="H54" s="2"/>
      <c r="I54" s="2"/>
      <c r="J54" s="638"/>
      <c r="K54" s="27"/>
      <c r="L54" s="27"/>
      <c r="M54" s="27"/>
      <c r="N54" s="603"/>
      <c r="O54" s="603"/>
      <c r="P54" s="603"/>
      <c r="Q54" s="603"/>
      <c r="R54" s="603"/>
      <c r="S54" s="603"/>
      <c r="T54" s="27"/>
      <c r="U54" s="27"/>
      <c r="V54" s="27"/>
      <c r="W54" s="603"/>
      <c r="X54" s="603"/>
      <c r="Y54" s="603"/>
      <c r="Z54" s="603"/>
      <c r="AA54" s="603"/>
    </row>
    <row r="55" spans="1:32" s="613" customFormat="1" ht="12" customHeight="1">
      <c r="A55" s="122" t="s">
        <v>363</v>
      </c>
      <c r="B55" s="123"/>
      <c r="C55" s="124"/>
      <c r="D55" s="125"/>
      <c r="E55" s="125"/>
      <c r="F55" s="616"/>
      <c r="G55" s="125"/>
      <c r="H55" s="125"/>
      <c r="I55" s="616"/>
      <c r="J55" s="704"/>
      <c r="K55" s="124"/>
      <c r="L55" s="125"/>
      <c r="M55" s="1398"/>
      <c r="N55" s="1399"/>
      <c r="O55" s="125"/>
      <c r="P55" s="125"/>
      <c r="Q55" s="125"/>
      <c r="R55" s="125"/>
      <c r="S55" s="617"/>
      <c r="T55" s="124"/>
      <c r="U55" s="125"/>
      <c r="V55" s="125"/>
      <c r="W55" s="1159"/>
      <c r="X55" s="618"/>
      <c r="Y55" s="618"/>
      <c r="Z55" s="618"/>
      <c r="AA55" s="619"/>
    </row>
    <row r="56" spans="1:32" ht="12" customHeight="1">
      <c r="A56" s="44" t="s">
        <v>364</v>
      </c>
      <c r="B56" s="21"/>
      <c r="C56" s="37"/>
      <c r="D56" s="5"/>
      <c r="E56" s="5"/>
      <c r="F56" s="5"/>
      <c r="G56" s="5"/>
      <c r="H56" s="5"/>
      <c r="I56" s="5"/>
      <c r="J56" s="687"/>
      <c r="K56" s="37"/>
      <c r="L56" s="5"/>
      <c r="M56" s="25"/>
      <c r="N56" s="1400">
        <f>'T1 NSA'!N56</f>
        <v>0.87436800000000003</v>
      </c>
      <c r="O56" s="1401">
        <f>'T1 NSA'!O56</f>
        <v>0.87436800000000003</v>
      </c>
      <c r="P56" s="1401">
        <f>'T1 NSA'!P56</f>
        <v>0.87436800000000003</v>
      </c>
      <c r="Q56" s="1401">
        <f>'T1 NSA'!Q56</f>
        <v>0.87436800000000003</v>
      </c>
      <c r="R56" s="1401">
        <f>'T1 NSA'!R56</f>
        <v>0.87436800000000003</v>
      </c>
      <c r="S56" s="43"/>
      <c r="T56" s="37"/>
      <c r="U56" s="5"/>
      <c r="V56" s="5"/>
      <c r="W56" s="1152"/>
      <c r="X56" s="35"/>
      <c r="Y56" s="35"/>
      <c r="Z56" s="35"/>
      <c r="AA56" s="36"/>
    </row>
    <row r="57" spans="1:32" ht="12" customHeight="1">
      <c r="A57" s="137" t="s">
        <v>365</v>
      </c>
      <c r="B57" s="21"/>
      <c r="C57" s="47">
        <f>'T1 ANSP'!C57+'T1 MET'!C57+'T1 NSA'!C57</f>
        <v>43385.908084145005</v>
      </c>
      <c r="D57" s="47">
        <f>'T1 ANSP'!D57+'T1 MET'!D57+'T1 NSA'!D57</f>
        <v>47045.589743780001</v>
      </c>
      <c r="E57" s="47">
        <f>'T1 ANSP'!E57+'T1 MET'!E57+'T1 NSA'!E57</f>
        <v>45587.837568000003</v>
      </c>
      <c r="F57" s="47">
        <f>'T1 ANSP'!F57+'T1 MET'!F57+'T1 NSA'!F57</f>
        <v>42365.0556</v>
      </c>
      <c r="G57" s="47">
        <f>'T1 ANSP'!G57+'T1 MET'!G57+'T1 NSA'!G57</f>
        <v>48197.375068000001</v>
      </c>
      <c r="H57" s="47">
        <f>'T1 ANSP'!H57+'T1 MET'!H57+'T1 NSA'!H57</f>
        <v>53269.403376000002</v>
      </c>
      <c r="I57" s="47">
        <f>'T1 ANSP'!I57+'T1 MET'!I57+'T1 NSA'!I57</f>
        <v>51490.501011894878</v>
      </c>
      <c r="J57" s="696">
        <f>'T1 ANSP'!J57+'T1 MET'!J57+'T1 NSA'!J57</f>
        <v>49529.050034496198</v>
      </c>
      <c r="K57" s="46">
        <f>'T1 ANSP'!K57+'T1 MET'!K57+'T1 NSA'!K57</f>
        <v>50495.243628480006</v>
      </c>
      <c r="L57" s="47">
        <f>'T1 ANSP'!L57+'T1 MET'!L57+'T1 NSA'!L57</f>
        <v>49807.543279312005</v>
      </c>
      <c r="M57" s="48">
        <f>'T1 ANSP'!M57+'T1 MET'!M57+'T1 NSA'!M57</f>
        <v>49046.220078352002</v>
      </c>
      <c r="N57" s="158">
        <f>'T1 ANSP'!N57+'T1 MET'!N57+'T1 NSA'!N57</f>
        <v>52087.638024576001</v>
      </c>
      <c r="O57" s="47">
        <f>'T1 ANSP'!O57+'T1 MET'!O57+'T1 NSA'!O57</f>
        <v>52175.612560896006</v>
      </c>
      <c r="P57" s="47">
        <f>'T1 ANSP'!P57+'T1 MET'!P57+'T1 NSA'!P57</f>
        <v>53974.764619776004</v>
      </c>
      <c r="Q57" s="47">
        <f>'T1 ANSP'!Q57+'T1 MET'!Q57+'T1 NSA'!Q57</f>
        <v>55626.505228800001</v>
      </c>
      <c r="R57" s="47">
        <f>'T1 ANSP'!R57+'T1 MET'!R57+'T1 NSA'!R57</f>
        <v>56525.835560831998</v>
      </c>
      <c r="S57" s="43"/>
      <c r="T57" s="46">
        <f>'T1 ANSP'!T57+'T1 MET'!T57+'T1 NSA'!T57</f>
        <v>46686.930536099186</v>
      </c>
      <c r="U57" s="47">
        <f>'T1 ANSP'!U57+'T1 MET'!U57+'T1 NSA'!U57</f>
        <v>43198.278483809998</v>
      </c>
      <c r="V57" s="47">
        <f>'T1 ANSP'!V57+'T1 MET'!V57+'T1 NSA'!V57</f>
        <v>51183.664778400002</v>
      </c>
      <c r="W57" s="1160"/>
      <c r="X57" s="61"/>
      <c r="Y57" s="61"/>
      <c r="Z57" s="61"/>
      <c r="AA57" s="62"/>
    </row>
    <row r="58" spans="1:32" ht="12" customHeight="1">
      <c r="A58" s="138"/>
      <c r="B58" s="139"/>
      <c r="C58" s="620"/>
      <c r="D58" s="620"/>
      <c r="E58" s="620"/>
      <c r="F58" s="620"/>
      <c r="G58" s="620"/>
      <c r="H58" s="620"/>
      <c r="I58" s="620"/>
      <c r="J58" s="705"/>
      <c r="K58" s="621"/>
      <c r="L58" s="621"/>
      <c r="M58" s="621"/>
      <c r="N58" s="622"/>
      <c r="O58" s="622"/>
      <c r="P58" s="622"/>
      <c r="Q58" s="622"/>
      <c r="R58" s="622"/>
      <c r="S58" s="623"/>
      <c r="T58" s="621"/>
      <c r="U58" s="621"/>
      <c r="V58" s="621"/>
      <c r="W58" s="624"/>
      <c r="X58" s="624"/>
      <c r="Y58" s="624"/>
      <c r="Z58" s="624"/>
      <c r="AA58" s="624"/>
    </row>
    <row r="59" spans="1:32" ht="15.6" customHeight="1">
      <c r="A59" s="15" t="s">
        <v>366</v>
      </c>
      <c r="B59" s="15"/>
      <c r="C59" s="160"/>
      <c r="D59" s="160"/>
      <c r="E59" s="160"/>
      <c r="F59" s="160"/>
      <c r="G59" s="160"/>
      <c r="H59" s="160"/>
      <c r="I59" s="160"/>
      <c r="J59" s="706"/>
      <c r="K59" s="18"/>
      <c r="L59" s="18"/>
      <c r="M59" s="18"/>
      <c r="N59" s="18"/>
      <c r="O59" s="18"/>
      <c r="P59" s="18"/>
      <c r="Q59" s="18"/>
      <c r="R59" s="18"/>
      <c r="S59" s="18"/>
      <c r="T59" s="18"/>
      <c r="U59" s="18"/>
      <c r="V59" s="18"/>
      <c r="W59" s="19"/>
      <c r="X59" s="19"/>
      <c r="Y59" s="19"/>
      <c r="Z59" s="19"/>
      <c r="AA59" s="19"/>
    </row>
    <row r="60" spans="1:32" ht="12" customHeight="1">
      <c r="A60" s="66" t="s">
        <v>367</v>
      </c>
      <c r="B60" s="21"/>
      <c r="C60" s="67">
        <f>'T1 ANSP'!C60+'T1 MET'!C60+'T1 NSA'!C60</f>
        <v>0</v>
      </c>
      <c r="D60" s="22">
        <f>'T1 ANSP'!D60+'T1 MET'!D60+'T1 NSA'!D60</f>
        <v>0</v>
      </c>
      <c r="E60" s="22">
        <f>'T1 ANSP'!E60+'T1 MET'!E60+'T1 NSA'!E60</f>
        <v>0</v>
      </c>
      <c r="F60" s="22">
        <f>'T1 ANSP'!F60+'T1 MET'!F60+'T1 NSA'!F60</f>
        <v>0</v>
      </c>
      <c r="G60" s="22">
        <f>'T1 ANSP'!G60+'T1 MET'!G60+'T1 NSA'!G60</f>
        <v>0</v>
      </c>
      <c r="H60" s="22">
        <f>'T1 ANSP'!H60+'T1 MET'!H60+'T1 NSA'!H60</f>
        <v>0</v>
      </c>
      <c r="I60" s="22">
        <f>'T1 ANSP'!I60+'T1 MET'!I60+'T1 NSA'!I60</f>
        <v>0</v>
      </c>
      <c r="J60" s="694">
        <f>'T1 ANSP'!J60+'T1 MET'!J60+'T1 NSA'!J60</f>
        <v>0</v>
      </c>
      <c r="K60" s="67">
        <f>'T1 ANSP'!K60+'T1 MET'!K60+'T1 NSA'!K60</f>
        <v>0</v>
      </c>
      <c r="L60" s="22">
        <f>'T1 ANSP'!L60+'T1 MET'!L60+'T1 NSA'!L60</f>
        <v>0</v>
      </c>
      <c r="M60" s="1079">
        <f>'T1 ANSP'!M60+'T1 MET'!M60+'T1 NSA'!M60</f>
        <v>0</v>
      </c>
      <c r="N60" s="67">
        <f>'T1 ANSP'!N60+'T1 MET'!N60+'T1 NSA'!N60</f>
        <v>0</v>
      </c>
      <c r="O60" s="22">
        <f>'T1 ANSP'!O60+'T1 MET'!O60+'T1 NSA'!O60</f>
        <v>0</v>
      </c>
      <c r="P60" s="22">
        <f>'T1 ANSP'!P60+'T1 MET'!P60+'T1 NSA'!P60</f>
        <v>0</v>
      </c>
      <c r="Q60" s="22">
        <f>'T1 ANSP'!Q60+'T1 MET'!Q60+'T1 NSA'!Q60</f>
        <v>0</v>
      </c>
      <c r="R60" s="23">
        <f>'T1 ANSP'!R60+'T1 MET'!R60+'T1 NSA'!R60</f>
        <v>0</v>
      </c>
      <c r="S60" s="26"/>
      <c r="T60" s="67">
        <f>'T1 ANSP'!T60+'T1 MET'!T60+'T1 NSA'!T60</f>
        <v>0</v>
      </c>
      <c r="U60" s="22">
        <f>'T1 ANSP'!U60+'T1 MET'!U60+'T1 NSA'!U60</f>
        <v>0</v>
      </c>
      <c r="V60" s="22">
        <f>'T1 ANSP'!V60+'T1 MET'!V60+'T1 NSA'!V60</f>
        <v>0</v>
      </c>
      <c r="W60" s="1153"/>
      <c r="X60" s="33"/>
      <c r="Y60" s="33"/>
      <c r="Z60" s="33"/>
      <c r="AA60" s="34"/>
    </row>
    <row r="61" spans="1:32" s="143" customFormat="1" ht="12" customHeight="1">
      <c r="A61" s="146" t="s">
        <v>368</v>
      </c>
      <c r="B61" s="7"/>
      <c r="C61" s="147">
        <f>'T1 ANSP'!C61+'T1 MET'!C61+'T1 NSA'!C61</f>
        <v>658740.66545497626</v>
      </c>
      <c r="D61" s="148">
        <f>'T1 ANSP'!D61+'T1 MET'!D61+'T1 NSA'!D61</f>
        <v>724832.52671386418</v>
      </c>
      <c r="E61" s="148">
        <f>'T1 ANSP'!E61+'T1 MET'!E61+'T1 NSA'!E61</f>
        <v>669901.15557030332</v>
      </c>
      <c r="F61" s="148">
        <f>'T1 ANSP'!F61+'T1 MET'!F61+'T1 NSA'!F61</f>
        <v>657371.51386540791</v>
      </c>
      <c r="G61" s="148">
        <f>'T1 ANSP'!G61+'T1 MET'!G61+'T1 NSA'!G61</f>
        <v>666364.9980092881</v>
      </c>
      <c r="H61" s="148">
        <f>'T1 ANSP'!H61+'T1 MET'!H61+'T1 NSA'!H61</f>
        <v>660595.58041266666</v>
      </c>
      <c r="I61" s="148">
        <f>'T1 ANSP'!I61+'T1 MET'!I61+'T1 NSA'!I61</f>
        <v>694359.07889726129</v>
      </c>
      <c r="J61" s="707">
        <f>'T1 ANSP'!J61+'T1 MET'!J61+'T1 NSA'!J61</f>
        <v>709493.71793228539</v>
      </c>
      <c r="K61" s="147">
        <f>'T1 ANSP'!K61+'T1 MET'!K61+'T1 NSA'!K61</f>
        <v>790418.89953814808</v>
      </c>
      <c r="L61" s="148">
        <f>'T1 ANSP'!L61+'T1 MET'!L61+'T1 NSA'!L61</f>
        <v>775027.03415828105</v>
      </c>
      <c r="M61" s="905">
        <f>'T1 ANSP'!M61+'T1 MET'!M61+'T1 NSA'!M61</f>
        <v>790935.59297112306</v>
      </c>
      <c r="N61" s="147">
        <f>'T1 ANSP'!N61+'T1 MET'!N61+'T1 NSA'!N61</f>
        <v>873485.10874478845</v>
      </c>
      <c r="O61" s="148">
        <f>'T1 ANSP'!O61+'T1 MET'!O61+'T1 NSA'!O61</f>
        <v>889282.98739770951</v>
      </c>
      <c r="P61" s="148">
        <f>'T1 ANSP'!P61+'T1 MET'!P61+'T1 NSA'!P61</f>
        <v>817876.36194929725</v>
      </c>
      <c r="Q61" s="148">
        <f>'T1 ANSP'!Q61+'T1 MET'!Q61+'T1 NSA'!Q61</f>
        <v>843573.0575339559</v>
      </c>
      <c r="R61" s="149">
        <f>'T1 ANSP'!R61+'T1 MET'!R61+'T1 NSA'!R61</f>
        <v>853850.0352506378</v>
      </c>
      <c r="S61" s="87"/>
      <c r="T61" s="147">
        <f>'T1 ANSP'!T61+'T1 MET'!T61+'T1 NSA'!T61</f>
        <v>772193.07330844819</v>
      </c>
      <c r="U61" s="148">
        <f>'T1 ANSP'!U61+'T1 MET'!U61+'T1 NSA'!U61</f>
        <v>644352.7287244685</v>
      </c>
      <c r="V61" s="148">
        <f>'T1 ANSP'!V61+'T1 MET'!V61+'T1 NSA'!V61</f>
        <v>728805.28316258767</v>
      </c>
      <c r="W61" s="1358"/>
      <c r="X61" s="69"/>
      <c r="Y61" s="69"/>
      <c r="Z61" s="69"/>
      <c r="AA61" s="70"/>
    </row>
    <row r="62" spans="1:32" s="77" customFormat="1" ht="12" customHeight="1">
      <c r="A62" s="17"/>
      <c r="B62" s="2"/>
      <c r="C62" s="2"/>
      <c r="D62" s="2"/>
      <c r="E62" s="2"/>
      <c r="F62" s="2"/>
      <c r="G62" s="2"/>
      <c r="H62" s="2"/>
      <c r="I62" s="2"/>
      <c r="J62" s="638"/>
      <c r="K62" s="65"/>
      <c r="L62" s="65"/>
      <c r="M62" s="65"/>
      <c r="N62" s="65"/>
      <c r="O62" s="65"/>
      <c r="P62" s="65"/>
      <c r="Q62" s="65"/>
      <c r="R62" s="65"/>
      <c r="S62" s="64"/>
      <c r="T62" s="1438"/>
      <c r="U62" s="1438"/>
      <c r="V62" s="1438"/>
      <c r="W62" s="63"/>
      <c r="X62" s="63"/>
      <c r="Y62" s="63"/>
      <c r="Z62" s="63"/>
      <c r="AA62" s="63"/>
    </row>
    <row r="63" spans="1:32" ht="15.6" customHeight="1">
      <c r="A63" s="15" t="s">
        <v>369</v>
      </c>
      <c r="B63" s="15"/>
      <c r="C63" s="15"/>
      <c r="D63" s="15"/>
      <c r="E63" s="15"/>
      <c r="F63" s="15"/>
      <c r="G63" s="15"/>
      <c r="H63" s="15"/>
      <c r="I63" s="15"/>
      <c r="J63" s="685"/>
      <c r="K63" s="17"/>
      <c r="L63" s="17"/>
      <c r="M63" s="17"/>
      <c r="N63" s="17"/>
      <c r="O63" s="18"/>
      <c r="P63" s="18"/>
      <c r="Q63" s="18"/>
      <c r="R63" s="18"/>
      <c r="S63" s="18"/>
      <c r="T63" s="1437"/>
      <c r="U63" s="1437"/>
      <c r="V63" s="1437"/>
      <c r="W63" s="19"/>
      <c r="X63" s="19"/>
      <c r="Y63" s="19"/>
      <c r="Z63" s="19"/>
      <c r="AA63" s="19"/>
    </row>
    <row r="64" spans="1:32" s="90" customFormat="1" ht="12" customHeight="1">
      <c r="A64" s="42" t="s">
        <v>370</v>
      </c>
      <c r="B64" s="2"/>
      <c r="C64" s="72">
        <v>2.8000000000000001E-2</v>
      </c>
      <c r="D64" s="73">
        <v>2.5999999999999999E-2</v>
      </c>
      <c r="E64" s="73">
        <v>1.4999999999999999E-2</v>
      </c>
      <c r="F64" s="73">
        <v>0</v>
      </c>
      <c r="G64" s="73">
        <v>7.0000000000000001E-3</v>
      </c>
      <c r="H64" s="73">
        <v>2.7E-2</v>
      </c>
      <c r="I64" s="625">
        <v>2.5000000000000001E-2</v>
      </c>
      <c r="J64" s="626">
        <v>1.7999999999999999E-2</v>
      </c>
      <c r="K64" s="72">
        <v>0.02</v>
      </c>
      <c r="L64" s="73">
        <v>0.02</v>
      </c>
      <c r="M64" s="74">
        <v>0.02</v>
      </c>
      <c r="N64" s="1174">
        <v>6.1359439712091124E-2</v>
      </c>
      <c r="O64" s="1402">
        <v>8.5674714548986675E-3</v>
      </c>
      <c r="P64" s="1402">
        <v>1.1558271762361905E-3</v>
      </c>
      <c r="Q64" s="1402">
        <v>4.9967691413776993E-3</v>
      </c>
      <c r="R64" s="1402">
        <v>1.5726789585522205E-2</v>
      </c>
      <c r="S64" s="75"/>
      <c r="T64" s="72">
        <v>8.9999999999999993E-3</v>
      </c>
      <c r="U64" s="1462">
        <v>2.5999999999999999E-2</v>
      </c>
      <c r="V64" s="1481">
        <v>9.0999999999999998E-2</v>
      </c>
      <c r="W64" s="1161"/>
      <c r="X64" s="625"/>
      <c r="Y64" s="625"/>
      <c r="Z64" s="625"/>
      <c r="AA64" s="626"/>
      <c r="AF64" s="1" t="s">
        <v>972</v>
      </c>
    </row>
    <row r="65" spans="1:32" s="77" customFormat="1" ht="12" customHeight="1">
      <c r="A65" s="44" t="s">
        <v>371</v>
      </c>
      <c r="B65" s="2"/>
      <c r="C65" s="78">
        <f>D65/(1+D64)</f>
        <v>92.851020823042745</v>
      </c>
      <c r="D65" s="79">
        <f>E65/(1+E64)</f>
        <v>95.265147364441859</v>
      </c>
      <c r="E65" s="79">
        <f>F65/(1+F64)</f>
        <v>96.694124574908471</v>
      </c>
      <c r="F65" s="79">
        <f>G65/(1+G64)</f>
        <v>96.694124574908471</v>
      </c>
      <c r="G65" s="79">
        <f>H65/(1+H64)</f>
        <v>97.370983446932826</v>
      </c>
      <c r="H65" s="79">
        <v>100</v>
      </c>
      <c r="I65" s="79">
        <f t="shared" ref="I65:J65" si="22">H65*(1+I64)</f>
        <v>102.49999999999999</v>
      </c>
      <c r="J65" s="79">
        <f t="shared" si="22"/>
        <v>104.34499999999998</v>
      </c>
      <c r="K65" s="78">
        <f>T74*(1+K64)</f>
        <v>106.44304700754891</v>
      </c>
      <c r="L65" s="79">
        <f>K65*(1+L64)</f>
        <v>108.5719079476999</v>
      </c>
      <c r="M65" s="80">
        <f>L65*(1+M64)</f>
        <v>110.7433461066539</v>
      </c>
      <c r="N65" s="1534">
        <v>118.73399586480322</v>
      </c>
      <c r="O65" s="79">
        <f>N65*(1+O64)</f>
        <v>119.75124598510098</v>
      </c>
      <c r="P65" s="79">
        <f t="shared" ref="P65:R65" si="23">O65*(1+P64)</f>
        <v>119.88965772959871</v>
      </c>
      <c r="Q65" s="79">
        <f t="shared" si="23"/>
        <v>120.48871867171231</v>
      </c>
      <c r="R65" s="80">
        <f t="shared" si="23"/>
        <v>122.3836193976915</v>
      </c>
      <c r="S65" s="81"/>
      <c r="T65" s="78">
        <f>J65*(1+T64)</f>
        <v>105.28410499999997</v>
      </c>
      <c r="U65" s="79">
        <f>T65*(1+U64)</f>
        <v>108.02149172999997</v>
      </c>
      <c r="V65" s="79">
        <f>U65*(1+V64)</f>
        <v>117.85144747742996</v>
      </c>
      <c r="W65" s="1162"/>
      <c r="X65" s="79"/>
      <c r="Y65" s="79"/>
      <c r="Z65" s="79"/>
      <c r="AA65" s="80"/>
      <c r="AF65" s="77" t="s">
        <v>978</v>
      </c>
    </row>
    <row r="66" spans="1:32" s="77" customFormat="1" ht="12" customHeight="1">
      <c r="A66" s="83" t="s">
        <v>372</v>
      </c>
      <c r="B66" s="84"/>
      <c r="C66" s="85">
        <f>'T1 ANSP'!C66+'T1 MET'!C66+'T1 NSA'!C66</f>
        <v>709459.79873545701</v>
      </c>
      <c r="D66" s="86">
        <f>'T1 ANSP'!D66+'T1 MET'!D66+'T1 NSA'!D66</f>
        <v>760858.03335922956</v>
      </c>
      <c r="E66" s="86">
        <f>'T1 ANSP'!E66+'T1 MET'!E66+'T1 NSA'!E66</f>
        <v>692804.40617809631</v>
      </c>
      <c r="F66" s="86">
        <f>'T1 ANSP'!F66+'T1 MET'!F66+'T1 NSA'!F66</f>
        <v>679846.38855295221</v>
      </c>
      <c r="G66" s="86">
        <f>'T1 ANSP'!G66+'T1 MET'!G66+'T1 NSA'!G66</f>
        <v>684356.85295553878</v>
      </c>
      <c r="H66" s="86">
        <f>'T1 ANSP'!H66+'T1 MET'!H66+'T1 NSA'!H66</f>
        <v>660595.58041266666</v>
      </c>
      <c r="I66" s="783">
        <f>'T1 ANSP'!I66+'T1 MET'!I66+'T1 NSA'!I66</f>
        <v>677423.49160708417</v>
      </c>
      <c r="J66" s="689">
        <f>'T1 ANSP'!J66+'T1 MET'!J66+'T1 NSA'!J66</f>
        <v>679949.89499476308</v>
      </c>
      <c r="K66" s="85">
        <f>'T1 ANSP'!K66+'T1 MET'!K66+'T1 NSA'!K66</f>
        <v>742574.47692388191</v>
      </c>
      <c r="L66" s="86">
        <f>'T1 ANSP'!L66+'T1 MET'!L66+'T1 NSA'!L66</f>
        <v>713837.537543891</v>
      </c>
      <c r="M66" s="627">
        <f>'T1 ANSP'!M66+'T1 MET'!M66+'T1 NSA'!M66</f>
        <v>714205.97334073181</v>
      </c>
      <c r="N66" s="155">
        <f>'T1 ANSP'!N66+'T1 MET'!N66+'T1 NSA'!N66</f>
        <v>735665.5542355238</v>
      </c>
      <c r="O66" s="86">
        <f>'T1 ANSP'!O66+'T1 MET'!O66+'T1 NSA'!O66</f>
        <v>742608.5466437242</v>
      </c>
      <c r="P66" s="86">
        <f>'T1 ANSP'!P66+'T1 MET'!P66+'T1 NSA'!P66</f>
        <v>682190.92241797061</v>
      </c>
      <c r="Q66" s="86">
        <f>'T1 ANSP'!Q66+'T1 MET'!Q66+'T1 NSA'!Q66</f>
        <v>700126.17515867518</v>
      </c>
      <c r="R66" s="627">
        <f>'T1 ANSP'!R66+'T1 MET'!R66+'T1 NSA'!R66</f>
        <v>697683.26795108954</v>
      </c>
      <c r="S66" s="87"/>
      <c r="T66" s="85">
        <f>'T1 ANSP'!T66+'T1 MET'!T66+'T1 NSA'!T66</f>
        <v>733437.46742060303</v>
      </c>
      <c r="U66" s="86">
        <f>'T1 ANSP'!U66+'T1 MET'!U66+'T1 NSA'!U66</f>
        <v>596504.19412373041</v>
      </c>
      <c r="V66" s="86">
        <f>'T1 ANSP'!V66+'T1 MET'!V66+'T1 NSA'!V66</f>
        <v>618410.12457837083</v>
      </c>
      <c r="W66" s="155"/>
      <c r="X66" s="86"/>
      <c r="Y66" s="86"/>
      <c r="Z66" s="86"/>
      <c r="AA66" s="627"/>
    </row>
    <row r="67" spans="1:32" s="77" customFormat="1" ht="12" customHeight="1">
      <c r="A67" s="91" t="s">
        <v>333</v>
      </c>
      <c r="B67" s="2"/>
      <c r="C67" s="38"/>
      <c r="D67" s="40">
        <f>D66/C66-1</f>
        <v>7.2447000824267915E-2</v>
      </c>
      <c r="E67" s="40">
        <f>E66/D66-1</f>
        <v>-8.9443265625615886E-2</v>
      </c>
      <c r="F67" s="40">
        <f>F66/E66-1</f>
        <v>-1.8703717109173623E-2</v>
      </c>
      <c r="G67" s="40">
        <f>G66/F66-1</f>
        <v>6.634534622132815E-3</v>
      </c>
      <c r="H67" s="150">
        <f>H66/G66-1</f>
        <v>-3.472058830163538E-2</v>
      </c>
      <c r="I67" s="40">
        <f t="shared" ref="I67:N67" si="24">I66/H66-1</f>
        <v>2.5473847681368511E-2</v>
      </c>
      <c r="J67" s="709">
        <f t="shared" si="24"/>
        <v>3.729429845554133E-3</v>
      </c>
      <c r="K67" s="38">
        <f t="shared" si="24"/>
        <v>9.2101759835702568E-2</v>
      </c>
      <c r="L67" s="150">
        <f t="shared" si="24"/>
        <v>-3.8699066925965253E-2</v>
      </c>
      <c r="M67" s="151">
        <f t="shared" si="24"/>
        <v>5.1613396250993482E-4</v>
      </c>
      <c r="N67" s="1163">
        <f t="shared" si="24"/>
        <v>3.0046767593407075E-2</v>
      </c>
      <c r="O67" s="150">
        <f>O66/N66-1</f>
        <v>9.4377021844054276E-3</v>
      </c>
      <c r="P67" s="150">
        <f t="shared" ref="P67:R67" si="25">P66/O66-1</f>
        <v>-8.1358643795328867E-2</v>
      </c>
      <c r="Q67" s="150">
        <f t="shared" si="25"/>
        <v>2.6290664609160297E-2</v>
      </c>
      <c r="R67" s="151">
        <f t="shared" si="25"/>
        <v>-3.4892385033769013E-3</v>
      </c>
      <c r="S67" s="39"/>
      <c r="T67" s="38">
        <f>+T66/J66-1</f>
        <v>7.8663991008119716E-2</v>
      </c>
      <c r="U67" s="150">
        <f>+U66/T66-1</f>
        <v>-0.18670067917098343</v>
      </c>
      <c r="V67" s="150">
        <f>+V66/U66-1</f>
        <v>3.6723849841190814E-2</v>
      </c>
      <c r="W67" s="1163"/>
      <c r="X67" s="150"/>
      <c r="Y67" s="150"/>
      <c r="Z67" s="150"/>
      <c r="AA67" s="151"/>
    </row>
    <row r="68" spans="1:32" s="77" customFormat="1" ht="12" customHeight="1">
      <c r="A68" s="93" t="s">
        <v>373</v>
      </c>
      <c r="B68" s="4"/>
      <c r="C68" s="94">
        <v>9607.8779999999988</v>
      </c>
      <c r="D68" s="95">
        <v>9754.9330000000009</v>
      </c>
      <c r="E68" s="95">
        <v>9979.4030000000002</v>
      </c>
      <c r="F68" s="95">
        <v>10153.9</v>
      </c>
      <c r="G68" s="95">
        <v>10874.798000000001</v>
      </c>
      <c r="H68" s="95">
        <v>11767.620999999999</v>
      </c>
      <c r="I68" s="628">
        <v>12194.153</v>
      </c>
      <c r="J68" s="629">
        <v>12593.8988214</v>
      </c>
      <c r="K68" s="94">
        <v>12647.945</v>
      </c>
      <c r="L68" s="95">
        <v>12891</v>
      </c>
      <c r="M68" s="96">
        <v>13183</v>
      </c>
      <c r="N68" s="1154">
        <v>11956</v>
      </c>
      <c r="O68" s="1403">
        <v>12930</v>
      </c>
      <c r="P68" s="1403">
        <v>13247</v>
      </c>
      <c r="Q68" s="1403">
        <v>13490</v>
      </c>
      <c r="R68" s="1403">
        <v>13700</v>
      </c>
      <c r="S68" s="68"/>
      <c r="T68" s="94">
        <v>5099.1790000000001</v>
      </c>
      <c r="U68" s="1463">
        <v>5531.451</v>
      </c>
      <c r="V68" s="1463">
        <f>10782061/1000</f>
        <v>10782.061</v>
      </c>
      <c r="W68" s="1164"/>
      <c r="X68" s="628"/>
      <c r="Y68" s="628"/>
      <c r="Z68" s="628"/>
      <c r="AA68" s="629"/>
      <c r="AF68" s="1" t="s">
        <v>953</v>
      </c>
    </row>
    <row r="69" spans="1:32" s="77" customFormat="1" ht="12" customHeight="1">
      <c r="A69" s="91" t="s">
        <v>333</v>
      </c>
      <c r="B69" s="4"/>
      <c r="C69" s="38"/>
      <c r="D69" s="40">
        <f>D68/C68-1</f>
        <v>1.5305668952083185E-2</v>
      </c>
      <c r="E69" s="40">
        <f>E68/D68-1</f>
        <v>2.3010921756202674E-2</v>
      </c>
      <c r="F69" s="40">
        <f>F68/E68-1</f>
        <v>1.7485715327860696E-2</v>
      </c>
      <c r="G69" s="40">
        <f>G68/F68-1</f>
        <v>7.0997153802972335E-2</v>
      </c>
      <c r="H69" s="150">
        <f>H68/G68-1</f>
        <v>8.2100191654134402E-2</v>
      </c>
      <c r="I69" s="40">
        <f t="shared" ref="I69" si="26">I68/H68-1</f>
        <v>3.6246238725737401E-2</v>
      </c>
      <c r="J69" s="709">
        <f t="shared" ref="J69" si="27">J68/I68-1</f>
        <v>3.2781761996917735E-2</v>
      </c>
      <c r="K69" s="38">
        <f t="shared" ref="K69" si="28">K68/J68-1</f>
        <v>4.2914572656533867E-3</v>
      </c>
      <c r="L69" s="150">
        <f t="shared" ref="L69" si="29">L68/K68-1</f>
        <v>1.9216955797957791E-2</v>
      </c>
      <c r="M69" s="151">
        <f t="shared" ref="M69" si="30">M68/L68-1</f>
        <v>2.2651462260491861E-2</v>
      </c>
      <c r="N69" s="1163">
        <f t="shared" ref="N69" si="31">N68/M68-1</f>
        <v>-9.3074414018053608E-2</v>
      </c>
      <c r="O69" s="150">
        <f>O68/N68-1</f>
        <v>8.1465373034459665E-2</v>
      </c>
      <c r="P69" s="150">
        <f t="shared" ref="P69" si="32">P68/O68-1</f>
        <v>2.4516627996906459E-2</v>
      </c>
      <c r="Q69" s="150">
        <f t="shared" ref="Q69" si="33">Q68/P68-1</f>
        <v>1.8343775949271501E-2</v>
      </c>
      <c r="R69" s="151">
        <f t="shared" ref="R69" si="34">R68/Q68-1</f>
        <v>1.5567086730911894E-2</v>
      </c>
      <c r="S69" s="39"/>
      <c r="T69" s="38">
        <f>+T68/J68-1</f>
        <v>-0.59510719656288691</v>
      </c>
      <c r="U69" s="150">
        <f>+U68/T68-1</f>
        <v>8.4772862454916664E-2</v>
      </c>
      <c r="V69" s="150">
        <f>+V68/U68-1</f>
        <v>0.94922833086653036</v>
      </c>
      <c r="W69" s="1163"/>
      <c r="X69" s="150"/>
      <c r="Y69" s="150"/>
      <c r="Z69" s="150"/>
      <c r="AA69" s="151"/>
    </row>
    <row r="70" spans="1:32" s="77" customFormat="1" ht="12" customHeight="1">
      <c r="A70" s="93" t="s">
        <v>374</v>
      </c>
      <c r="B70" s="4"/>
      <c r="C70" s="97">
        <f t="shared" ref="C70:J70" si="35">C66/C68</f>
        <v>73.841466215064045</v>
      </c>
      <c r="D70" s="98">
        <f t="shared" si="35"/>
        <v>77.997258757105712</v>
      </c>
      <c r="E70" s="98">
        <f t="shared" si="35"/>
        <v>69.423432060825306</v>
      </c>
      <c r="F70" s="98">
        <f t="shared" si="35"/>
        <v>66.954213509385781</v>
      </c>
      <c r="G70" s="98">
        <f t="shared" si="35"/>
        <v>62.930534705613724</v>
      </c>
      <c r="H70" s="98">
        <f t="shared" si="35"/>
        <v>56.136714499274468</v>
      </c>
      <c r="I70" s="98">
        <f t="shared" si="35"/>
        <v>55.553140230984816</v>
      </c>
      <c r="J70" s="710">
        <f t="shared" si="35"/>
        <v>53.990420650304742</v>
      </c>
      <c r="K70" s="97">
        <f>K66/K68</f>
        <v>58.711077327097954</v>
      </c>
      <c r="L70" s="98">
        <f>L66/L68</f>
        <v>55.37487685547211</v>
      </c>
      <c r="M70" s="99">
        <f>M66/M68</f>
        <v>54.176285620930884</v>
      </c>
      <c r="N70" s="1165">
        <f>N66/N68</f>
        <v>61.531076801231499</v>
      </c>
      <c r="O70" s="98">
        <f>O66/O68</f>
        <v>57.432988912894366</v>
      </c>
      <c r="P70" s="98">
        <f t="shared" ref="P70:R70" si="36">P66/P68</f>
        <v>51.497767224123997</v>
      </c>
      <c r="Q70" s="98">
        <f t="shared" si="36"/>
        <v>51.899642339412544</v>
      </c>
      <c r="R70" s="99">
        <f t="shared" si="36"/>
        <v>50.925785981831353</v>
      </c>
      <c r="S70" s="100"/>
      <c r="T70" s="97">
        <f>T66/T68</f>
        <v>143.83442264344967</v>
      </c>
      <c r="U70" s="98">
        <f>U66/U68</f>
        <v>107.83864742248109</v>
      </c>
      <c r="V70" s="98">
        <f>V66/V68</f>
        <v>57.355465210071699</v>
      </c>
      <c r="W70" s="1165"/>
      <c r="X70" s="98"/>
      <c r="Y70" s="98"/>
      <c r="Z70" s="98"/>
      <c r="AA70" s="99"/>
    </row>
    <row r="71" spans="1:32" ht="12" customHeight="1">
      <c r="A71" s="102" t="s">
        <v>333</v>
      </c>
      <c r="B71" s="4"/>
      <c r="C71" s="103"/>
      <c r="D71" s="104">
        <f>D70/C70-1</f>
        <v>5.6279929896541736E-2</v>
      </c>
      <c r="E71" s="104">
        <f>E70/D70-1</f>
        <v>-0.10992471829017081</v>
      </c>
      <c r="F71" s="104">
        <f>F70/E70-1</f>
        <v>-3.5567509098024974E-2</v>
      </c>
      <c r="G71" s="104">
        <f>G70/F70-1</f>
        <v>-6.0095975934479573E-2</v>
      </c>
      <c r="H71" s="61">
        <f>H70/G70-1</f>
        <v>-0.1079574524214747</v>
      </c>
      <c r="I71" s="104">
        <f t="shared" ref="I71" si="37">I70/H70-1</f>
        <v>-1.0395590007270417E-2</v>
      </c>
      <c r="J71" s="711">
        <f t="shared" ref="J71" si="38">J70/I70-1</f>
        <v>-2.8130175435311711E-2</v>
      </c>
      <c r="K71" s="103">
        <f t="shared" ref="K71" si="39">K70/J70-1</f>
        <v>8.7435078666433075E-2</v>
      </c>
      <c r="L71" s="61">
        <f t="shared" ref="L71" si="40">L70/K70-1</f>
        <v>-5.6824037703120611E-2</v>
      </c>
      <c r="M71" s="136">
        <f t="shared" ref="M71" si="41">M70/L70-1</f>
        <v>-2.1645036569011955E-2</v>
      </c>
      <c r="N71" s="1160">
        <f t="shared" ref="N71" si="42">N70/M70-1</f>
        <v>0.13575665249112445</v>
      </c>
      <c r="O71" s="61">
        <f>O70/N70-1</f>
        <v>-6.6601920547815219E-2</v>
      </c>
      <c r="P71" s="61">
        <f t="shared" ref="P71" si="43">P70/O70-1</f>
        <v>-0.10334168221284834</v>
      </c>
      <c r="Q71" s="61">
        <f t="shared" ref="Q71" si="44">Q70/P70-1</f>
        <v>7.8037386269493858E-3</v>
      </c>
      <c r="R71" s="136">
        <f t="shared" ref="R71" si="45">R70/Q70-1</f>
        <v>-1.8764220978872648E-2</v>
      </c>
      <c r="S71" s="39"/>
      <c r="T71" s="103">
        <f>+T70/J70-1</f>
        <v>1.6640730135270361</v>
      </c>
      <c r="U71" s="61">
        <f>+U70/T70-1</f>
        <v>-0.25025841908649571</v>
      </c>
      <c r="V71" s="61">
        <f>+V70/U70-1</f>
        <v>-0.46813627042845474</v>
      </c>
      <c r="W71" s="1160"/>
      <c r="X71" s="61"/>
      <c r="Y71" s="61"/>
      <c r="Z71" s="61"/>
      <c r="AA71" s="136"/>
    </row>
    <row r="72" spans="1:32" s="604" customFormat="1" ht="12" customHeight="1">
      <c r="A72" s="107"/>
      <c r="B72" s="4"/>
      <c r="C72" s="4"/>
      <c r="D72" s="4"/>
      <c r="E72" s="4"/>
      <c r="F72" s="4"/>
      <c r="G72" s="4"/>
      <c r="H72" s="4"/>
      <c r="I72" s="4"/>
      <c r="J72" s="712"/>
      <c r="K72" s="39"/>
      <c r="L72" s="39"/>
      <c r="M72" s="39"/>
      <c r="N72" s="39"/>
      <c r="O72" s="39"/>
      <c r="P72" s="39"/>
      <c r="Q72" s="39"/>
      <c r="R72" s="39"/>
      <c r="S72" s="39"/>
      <c r="T72" s="1025" t="s">
        <v>375</v>
      </c>
      <c r="U72" s="77"/>
      <c r="V72" s="77"/>
      <c r="W72" s="77"/>
      <c r="X72" s="77"/>
      <c r="Y72" s="77"/>
      <c r="Z72" s="77"/>
      <c r="AA72" s="77"/>
    </row>
    <row r="73" spans="1:32" s="604" customFormat="1" ht="12" customHeight="1">
      <c r="A73" s="108" t="s">
        <v>376</v>
      </c>
      <c r="B73" s="1"/>
      <c r="C73" s="1"/>
      <c r="D73" s="1"/>
      <c r="E73" s="1"/>
      <c r="F73" s="1"/>
      <c r="G73" s="1"/>
      <c r="H73" s="1"/>
      <c r="I73" s="1"/>
      <c r="J73" s="108"/>
      <c r="K73" s="1"/>
      <c r="L73" s="1"/>
      <c r="M73" s="1"/>
      <c r="N73" s="1"/>
      <c r="O73" s="1"/>
      <c r="P73" s="1"/>
      <c r="Q73" s="1"/>
      <c r="R73" s="1"/>
      <c r="S73" s="1"/>
      <c r="T73" s="1"/>
      <c r="U73" s="1"/>
      <c r="V73" s="1"/>
      <c r="W73" s="1"/>
      <c r="X73" s="1"/>
      <c r="Y73" s="1"/>
      <c r="Z73" s="1"/>
      <c r="AA73" s="1"/>
    </row>
    <row r="74" spans="1:32" s="613" customFormat="1" ht="12" customHeight="1">
      <c r="A74" s="129" t="s">
        <v>377</v>
      </c>
      <c r="B74" s="130"/>
      <c r="C74" s="130"/>
      <c r="D74" s="130"/>
      <c r="E74" s="130"/>
      <c r="F74" s="130"/>
      <c r="G74" s="130"/>
      <c r="H74" s="130"/>
      <c r="I74" s="130"/>
      <c r="J74" s="713"/>
      <c r="K74" s="109"/>
      <c r="L74" s="109"/>
      <c r="M74" s="75"/>
      <c r="N74" s="630"/>
      <c r="O74" s="154"/>
      <c r="P74" s="154"/>
      <c r="Q74" s="154"/>
      <c r="R74" s="154"/>
      <c r="S74" s="604"/>
      <c r="T74" s="1011">
        <v>104.35592843877345</v>
      </c>
      <c r="U74" s="604"/>
      <c r="V74" s="604"/>
      <c r="W74" s="604"/>
      <c r="X74" s="604"/>
      <c r="Y74" s="604"/>
      <c r="Z74" s="604"/>
      <c r="AA74" s="604"/>
    </row>
    <row r="75" spans="1:32" s="613" customFormat="1" ht="12" customHeight="1">
      <c r="A75" s="129" t="s">
        <v>378</v>
      </c>
      <c r="B75" s="130"/>
      <c r="C75" s="130"/>
      <c r="D75" s="130"/>
      <c r="E75" s="130"/>
      <c r="F75" s="130"/>
      <c r="G75" s="130"/>
      <c r="H75" s="130"/>
      <c r="I75" s="130"/>
      <c r="J75" s="1503"/>
      <c r="K75" s="631"/>
      <c r="L75" s="109"/>
      <c r="M75" s="75"/>
      <c r="N75" s="630"/>
      <c r="O75" s="154"/>
      <c r="P75" s="154"/>
      <c r="Q75" s="154"/>
      <c r="R75" s="154"/>
      <c r="S75" s="604"/>
      <c r="T75" s="604"/>
      <c r="U75" s="604"/>
      <c r="V75" s="604"/>
      <c r="W75" s="604"/>
      <c r="X75" s="604"/>
      <c r="Y75" s="604"/>
      <c r="Z75" s="604"/>
      <c r="AA75" s="604"/>
    </row>
    <row r="76" spans="1:32" s="613" customFormat="1" ht="12" customHeight="1">
      <c r="A76" s="129" t="s">
        <v>379</v>
      </c>
      <c r="B76" s="131"/>
      <c r="C76" s="131"/>
      <c r="D76" s="131"/>
      <c r="E76" s="131"/>
      <c r="F76" s="131"/>
      <c r="G76" s="131"/>
      <c r="H76" s="131"/>
      <c r="I76" s="131"/>
      <c r="J76" s="714"/>
      <c r="K76" s="132"/>
      <c r="L76" s="132"/>
      <c r="M76" s="132"/>
      <c r="N76" s="632"/>
      <c r="O76" s="109"/>
      <c r="P76" s="109"/>
      <c r="Q76" s="109"/>
      <c r="R76" s="109"/>
      <c r="S76" s="109"/>
      <c r="T76" s="1"/>
      <c r="U76" s="1"/>
      <c r="V76" s="1"/>
      <c r="W76" s="1"/>
      <c r="X76" s="1"/>
      <c r="Y76" s="1"/>
      <c r="Z76" s="1"/>
      <c r="AA76" s="1"/>
    </row>
    <row r="77" spans="1:32" ht="12" customHeight="1">
      <c r="A77" s="129"/>
      <c r="B77" s="110"/>
      <c r="C77" s="110"/>
      <c r="D77" s="110"/>
      <c r="E77" s="110"/>
      <c r="F77" s="110"/>
      <c r="G77" s="110"/>
      <c r="H77" s="110"/>
      <c r="I77" s="110"/>
      <c r="J77" s="715"/>
      <c r="K77" s="111"/>
      <c r="L77" s="111"/>
      <c r="M77" s="111"/>
      <c r="N77" s="153"/>
      <c r="O77" s="633"/>
      <c r="P77" s="633"/>
      <c r="Q77" s="633"/>
      <c r="R77" s="633"/>
      <c r="S77" s="634"/>
      <c r="T77" s="634"/>
      <c r="U77" s="613"/>
      <c r="V77" s="613"/>
      <c r="W77" s="613"/>
      <c r="X77" s="613"/>
      <c r="Y77" s="613"/>
      <c r="Z77" s="613"/>
      <c r="AA77" s="613"/>
    </row>
    <row r="78" spans="1:32" s="613" customFormat="1" ht="12" customHeight="1">
      <c r="A78" s="635"/>
      <c r="J78" s="716"/>
      <c r="K78" s="636"/>
      <c r="L78" s="636"/>
      <c r="M78" s="636"/>
      <c r="N78" s="637"/>
      <c r="O78" s="633"/>
      <c r="P78" s="633"/>
      <c r="Q78" s="633"/>
      <c r="R78" s="633"/>
      <c r="S78" s="633"/>
    </row>
  </sheetData>
  <mergeCells count="5">
    <mergeCell ref="C7:J7"/>
    <mergeCell ref="T7:V7"/>
    <mergeCell ref="W7:AA7"/>
    <mergeCell ref="K7:M7"/>
    <mergeCell ref="N7:R7"/>
  </mergeCells>
  <pageMargins left="0.7" right="0.7" top="0.75" bottom="0.75" header="0.3" footer="0.3"/>
  <pageSetup paperSize="9" scale="64" orientation="portrait" r:id="rId1"/>
  <customProperties>
    <customPr name="_pios_id" r:id="rId2"/>
  </customProperties>
  <ignoredErrors>
    <ignoredError sqref="K70:N70 T70:U70 P70:R70" formula="1"/>
  </ignoredError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J82"/>
  <sheetViews>
    <sheetView showGridLines="0" zoomScaleNormal="100" workbookViewId="0">
      <pane xSplit="2" ySplit="9" topLeftCell="C30" activePane="bottomRight" state="frozen"/>
      <selection sqref="A1:J1"/>
      <selection pane="topRight" sqref="A1:J1"/>
      <selection pane="bottomLeft" sqref="A1:J1"/>
      <selection pane="bottomRight" activeCell="A50" sqref="A50:V52"/>
    </sheetView>
  </sheetViews>
  <sheetFormatPr defaultColWidth="1.5546875" defaultRowHeight="12"/>
  <cols>
    <col min="1" max="1" width="30.6640625" style="2" customWidth="1"/>
    <col min="2" max="2" width="0.44140625" style="2" customWidth="1"/>
    <col min="3" max="5" width="7.5546875" style="2" customWidth="1"/>
    <col min="6" max="6" width="7" style="2" customWidth="1"/>
    <col min="7" max="8" width="7.5546875" style="2" customWidth="1"/>
    <col min="9" max="9" width="9.5546875" style="2" customWidth="1"/>
    <col min="10" max="10" width="6.6640625" style="638" customWidth="1"/>
    <col min="11" max="12" width="8.44140625" style="2" bestFit="1" customWidth="1"/>
    <col min="13" max="17" width="7.6640625" style="2" bestFit="1" customWidth="1"/>
    <col min="18" max="18" width="9.5546875" style="2" bestFit="1" customWidth="1"/>
    <col min="19" max="19" width="1.6640625" style="2" bestFit="1" customWidth="1"/>
    <col min="20" max="22" width="7.6640625" style="1" customWidth="1"/>
    <col min="23" max="27" width="6.6640625" style="1" customWidth="1"/>
    <col min="28" max="28" width="12.5546875" style="1" customWidth="1"/>
    <col min="29" max="29" width="2.5546875" style="1" customWidth="1"/>
    <col min="30" max="31" width="1.5546875" style="1"/>
    <col min="32" max="38" width="20.6640625" style="1" customWidth="1"/>
    <col min="39" max="16384" width="1.5546875" style="1"/>
  </cols>
  <sheetData>
    <row r="1" spans="1:36" ht="12" customHeight="1">
      <c r="A1" s="1556"/>
      <c r="B1" s="1556"/>
      <c r="C1" s="1556"/>
      <c r="D1" s="1556"/>
      <c r="E1" s="1556"/>
      <c r="F1" s="1556"/>
      <c r="G1" s="1556"/>
      <c r="H1" s="1556"/>
      <c r="I1" s="1556"/>
      <c r="J1" s="1556"/>
      <c r="K1" s="1556" t="s">
        <v>315</v>
      </c>
      <c r="L1" s="1556"/>
      <c r="M1" s="1556"/>
      <c r="N1" s="1556"/>
      <c r="O1" s="1556"/>
      <c r="P1" s="1556"/>
      <c r="Q1" s="1556"/>
      <c r="R1" s="1556"/>
      <c r="S1" s="1556"/>
      <c r="T1" s="1556"/>
      <c r="U1" s="1556"/>
      <c r="V1" s="1556"/>
      <c r="W1" s="1556"/>
      <c r="X1" s="1556"/>
    </row>
    <row r="2" spans="1:36" ht="12" customHeight="1">
      <c r="G2" s="1"/>
      <c r="H2" s="1"/>
      <c r="I2" s="1"/>
      <c r="J2" s="1"/>
      <c r="K2" s="1"/>
      <c r="L2" s="1"/>
      <c r="M2" s="1"/>
      <c r="N2" s="1"/>
      <c r="O2" s="1"/>
      <c r="P2" s="1"/>
      <c r="Q2" s="1"/>
      <c r="R2" s="1"/>
      <c r="S2" s="1"/>
    </row>
    <row r="3" spans="1:36" ht="12" customHeight="1">
      <c r="A3" s="6" t="s">
        <v>316</v>
      </c>
      <c r="B3" s="1"/>
      <c r="C3" s="1"/>
      <c r="D3" s="1"/>
      <c r="E3" s="1"/>
      <c r="F3" s="1"/>
      <c r="G3" s="1"/>
      <c r="H3" s="1"/>
      <c r="I3" s="1"/>
      <c r="J3" s="1"/>
      <c r="K3" s="1"/>
      <c r="L3" s="1"/>
      <c r="M3" s="1"/>
      <c r="N3" s="1"/>
      <c r="O3" s="1"/>
      <c r="P3" s="1"/>
      <c r="Q3" s="1"/>
      <c r="R3" s="1"/>
      <c r="S3" s="1"/>
    </row>
    <row r="4" spans="1:36" ht="12" customHeight="1">
      <c r="A4" s="7" t="s">
        <v>317</v>
      </c>
      <c r="B4" s="1"/>
      <c r="G4" s="1"/>
      <c r="H4" s="1"/>
      <c r="I4" s="1"/>
      <c r="J4" s="1"/>
      <c r="K4" s="1"/>
      <c r="L4" s="1"/>
      <c r="M4" s="1"/>
      <c r="N4" s="1"/>
      <c r="O4" s="1"/>
      <c r="P4" s="1"/>
      <c r="Q4" s="1"/>
      <c r="R4" s="1"/>
      <c r="S4" s="1"/>
    </row>
    <row r="5" spans="1:36" ht="12" customHeight="1">
      <c r="A5" s="8" t="s">
        <v>380</v>
      </c>
      <c r="B5" s="1"/>
      <c r="C5" s="1"/>
      <c r="D5" s="1"/>
      <c r="E5" s="1"/>
      <c r="F5" s="1"/>
      <c r="G5" s="1"/>
      <c r="H5" s="1"/>
      <c r="I5" s="1"/>
      <c r="J5" s="1"/>
      <c r="K5" s="1"/>
      <c r="L5" s="1"/>
      <c r="M5" s="1"/>
      <c r="N5" s="1"/>
      <c r="O5" s="1"/>
      <c r="P5" s="1"/>
      <c r="Q5" s="1"/>
      <c r="R5" s="1"/>
      <c r="S5" s="1"/>
    </row>
    <row r="6" spans="1:36" ht="12" customHeight="1">
      <c r="G6" s="1"/>
      <c r="H6" s="1"/>
      <c r="I6" s="1"/>
      <c r="J6" s="1"/>
      <c r="K6" s="1"/>
      <c r="L6" s="1"/>
      <c r="M6" s="1"/>
      <c r="N6" s="1"/>
      <c r="O6" s="1"/>
      <c r="P6" s="1"/>
      <c r="Q6" s="1"/>
      <c r="R6" s="1"/>
      <c r="S6" s="1"/>
      <c r="AF6" s="1" t="s">
        <v>930</v>
      </c>
    </row>
    <row r="7" spans="1:36" s="9" customFormat="1">
      <c r="C7" s="1550" t="s">
        <v>319</v>
      </c>
      <c r="D7" s="1551"/>
      <c r="E7" s="1551"/>
      <c r="F7" s="1551"/>
      <c r="G7" s="1551"/>
      <c r="H7" s="1551"/>
      <c r="I7" s="1551"/>
      <c r="J7" s="1552"/>
      <c r="K7" s="1553" t="s">
        <v>320</v>
      </c>
      <c r="L7" s="1554"/>
      <c r="M7" s="1555"/>
      <c r="N7" s="1553" t="s">
        <v>321</v>
      </c>
      <c r="O7" s="1554"/>
      <c r="P7" s="1554"/>
      <c r="Q7" s="1554"/>
      <c r="R7" s="1555"/>
      <c r="S7" s="10"/>
      <c r="T7" s="1550" t="s">
        <v>322</v>
      </c>
      <c r="U7" s="1551"/>
      <c r="V7" s="1552"/>
      <c r="W7" s="1550" t="s">
        <v>323</v>
      </c>
      <c r="X7" s="1551"/>
      <c r="Y7" s="1551"/>
      <c r="Z7" s="1551"/>
      <c r="AA7" s="1552"/>
      <c r="AF7" s="9" t="s">
        <v>319</v>
      </c>
      <c r="AG7" s="9" t="s">
        <v>320</v>
      </c>
      <c r="AH7" s="9" t="s">
        <v>321</v>
      </c>
      <c r="AI7" s="9" t="s">
        <v>322</v>
      </c>
      <c r="AJ7" s="9" t="s">
        <v>323</v>
      </c>
    </row>
    <row r="8" spans="1:36" ht="12" customHeight="1">
      <c r="A8" s="1"/>
      <c r="B8" s="1"/>
      <c r="C8" s="1"/>
      <c r="D8" s="1"/>
      <c r="E8" s="1"/>
      <c r="F8" s="1"/>
      <c r="G8" s="1"/>
      <c r="H8" s="1"/>
      <c r="I8" s="1"/>
      <c r="J8" s="108"/>
      <c r="K8" s="1"/>
      <c r="L8" s="1"/>
      <c r="M8" s="1"/>
      <c r="N8" s="1"/>
      <c r="O8" s="1"/>
      <c r="P8" s="1"/>
      <c r="Q8" s="1"/>
      <c r="R8" s="1"/>
      <c r="S8" s="1"/>
    </row>
    <row r="9" spans="1:36" ht="12" customHeight="1">
      <c r="A9" s="1151" t="s">
        <v>324</v>
      </c>
      <c r="C9" s="12">
        <v>2012</v>
      </c>
      <c r="D9" s="3">
        <v>2013</v>
      </c>
      <c r="E9" s="3">
        <v>2014</v>
      </c>
      <c r="F9" s="3">
        <v>2015</v>
      </c>
      <c r="G9" s="3">
        <v>2016</v>
      </c>
      <c r="H9" s="3">
        <v>2017</v>
      </c>
      <c r="I9" s="3">
        <v>2018</v>
      </c>
      <c r="J9" s="13">
        <v>2019</v>
      </c>
      <c r="K9" s="12">
        <v>2020</v>
      </c>
      <c r="L9" s="3">
        <v>2021</v>
      </c>
      <c r="M9" s="3">
        <v>2022</v>
      </c>
      <c r="N9" s="3">
        <v>2023</v>
      </c>
      <c r="O9" s="3">
        <v>2024</v>
      </c>
      <c r="P9" s="3">
        <v>2025</v>
      </c>
      <c r="Q9" s="3">
        <v>2026</v>
      </c>
      <c r="R9" s="3">
        <v>2027</v>
      </c>
      <c r="S9" s="14"/>
      <c r="T9" s="12">
        <v>2020</v>
      </c>
      <c r="U9" s="3">
        <v>2021</v>
      </c>
      <c r="V9" s="3">
        <v>2022</v>
      </c>
      <c r="W9" s="3">
        <v>2023</v>
      </c>
      <c r="X9" s="3">
        <v>2024</v>
      </c>
      <c r="Y9" s="3">
        <v>2025</v>
      </c>
      <c r="Z9" s="3">
        <v>2026</v>
      </c>
      <c r="AA9" s="13">
        <v>2027</v>
      </c>
    </row>
    <row r="10" spans="1:36" ht="12" customHeight="1">
      <c r="T10" s="2"/>
      <c r="U10" s="2"/>
      <c r="V10" s="2"/>
      <c r="W10" s="2"/>
      <c r="X10" s="2"/>
      <c r="Y10" s="2"/>
      <c r="Z10" s="2"/>
      <c r="AA10" s="2"/>
    </row>
    <row r="11" spans="1:36" ht="15.6" customHeight="1">
      <c r="A11" s="15" t="s">
        <v>325</v>
      </c>
      <c r="B11" s="15"/>
      <c r="C11" s="15"/>
      <c r="D11" s="15"/>
      <c r="E11" s="15"/>
      <c r="F11" s="15"/>
      <c r="G11" s="15"/>
      <c r="H11" s="15"/>
      <c r="I11" s="15"/>
      <c r="J11" s="902"/>
      <c r="K11" s="17"/>
      <c r="L11" s="18"/>
      <c r="M11" s="18"/>
      <c r="N11" s="18"/>
      <c r="O11" s="18"/>
      <c r="P11" s="17"/>
      <c r="Q11" s="17"/>
      <c r="R11" s="18"/>
      <c r="S11" s="18"/>
      <c r="T11" s="18"/>
      <c r="U11" s="18"/>
      <c r="V11" s="19"/>
      <c r="W11" s="19"/>
      <c r="X11" s="19"/>
      <c r="Y11" s="19"/>
      <c r="Z11" s="19"/>
      <c r="AA11" s="19"/>
    </row>
    <row r="12" spans="1:36" ht="12" customHeight="1">
      <c r="A12" s="20" t="s">
        <v>326</v>
      </c>
      <c r="B12" s="20"/>
      <c r="C12" s="112">
        <v>255644.02879998161</v>
      </c>
      <c r="D12" s="113">
        <v>249567.33535887825</v>
      </c>
      <c r="E12" s="113">
        <v>234498.61318902334</v>
      </c>
      <c r="F12" s="113">
        <v>244548</v>
      </c>
      <c r="G12" s="113">
        <v>257303.85901918178</v>
      </c>
      <c r="H12" s="113">
        <v>249520.02233058415</v>
      </c>
      <c r="I12" s="640">
        <v>284195.50971589121</v>
      </c>
      <c r="J12" s="786">
        <v>293688.1943324483</v>
      </c>
      <c r="K12" s="112">
        <v>317368.78862963937</v>
      </c>
      <c r="L12" s="113">
        <v>321381.99604934233</v>
      </c>
      <c r="M12" s="1075">
        <v>341886.00867252762</v>
      </c>
      <c r="N12" s="112">
        <v>397156.90117892402</v>
      </c>
      <c r="O12" s="113">
        <v>400350.20264742168</v>
      </c>
      <c r="P12" s="113">
        <v>349039.27294688299</v>
      </c>
      <c r="Q12" s="113">
        <v>348579.97958042257</v>
      </c>
      <c r="R12" s="577">
        <v>357067.32232075959</v>
      </c>
      <c r="S12" s="114"/>
      <c r="T12" s="112">
        <v>313915.4034395917</v>
      </c>
      <c r="U12" s="113">
        <v>277016.47912475147</v>
      </c>
      <c r="V12" s="1109">
        <v>312406</v>
      </c>
      <c r="W12" s="1139"/>
      <c r="X12" s="640"/>
      <c r="Y12" s="640"/>
      <c r="Z12" s="640"/>
      <c r="AA12" s="855"/>
      <c r="AC12" s="1528"/>
      <c r="AF12" s="1" t="s">
        <v>931</v>
      </c>
      <c r="AG12" s="1" t="s">
        <v>931</v>
      </c>
      <c r="AH12" s="1" t="s">
        <v>932</v>
      </c>
    </row>
    <row r="13" spans="1:36" ht="12" customHeight="1">
      <c r="A13" s="24" t="s">
        <v>327</v>
      </c>
      <c r="B13" s="24"/>
      <c r="C13" s="667"/>
      <c r="D13" s="660"/>
      <c r="E13" s="660"/>
      <c r="F13" s="660"/>
      <c r="G13" s="660"/>
      <c r="H13" s="660"/>
      <c r="I13" s="641"/>
      <c r="J13" s="787"/>
      <c r="K13" s="37">
        <v>83128.478264049598</v>
      </c>
      <c r="L13" s="5">
        <v>84398.386354218135</v>
      </c>
      <c r="M13" s="1076">
        <v>85099.938683924673</v>
      </c>
      <c r="N13" s="37">
        <v>122606.25764306427</v>
      </c>
      <c r="O13" s="5">
        <v>118103.81008748818</v>
      </c>
      <c r="P13" s="5">
        <v>77318.767520526395</v>
      </c>
      <c r="Q13" s="5">
        <v>75693.554111817764</v>
      </c>
      <c r="R13" s="25">
        <v>77452.282581426887</v>
      </c>
      <c r="S13" s="26"/>
      <c r="T13" s="1122">
        <v>81239.569406793176</v>
      </c>
      <c r="U13" s="5">
        <v>78750.593100843631</v>
      </c>
      <c r="V13" s="1113">
        <v>82839.559457262687</v>
      </c>
      <c r="W13" s="1140"/>
      <c r="X13" s="642"/>
      <c r="Y13" s="642"/>
      <c r="Z13" s="642"/>
      <c r="AA13" s="856"/>
      <c r="AF13" s="1" t="s">
        <v>931</v>
      </c>
      <c r="AG13" s="1" t="s">
        <v>931</v>
      </c>
      <c r="AH13" s="1" t="s">
        <v>933</v>
      </c>
    </row>
    <row r="14" spans="1:36" ht="12" customHeight="1">
      <c r="A14" s="24" t="s">
        <v>328</v>
      </c>
      <c r="B14" s="24"/>
      <c r="C14" s="115">
        <v>110160.46123790042</v>
      </c>
      <c r="D14" s="116">
        <v>116109.9575758393</v>
      </c>
      <c r="E14" s="116">
        <v>114038.43487872821</v>
      </c>
      <c r="F14" s="116">
        <v>104260</v>
      </c>
      <c r="G14" s="116">
        <v>99113.959121831504</v>
      </c>
      <c r="H14" s="116">
        <v>101314.35383549127</v>
      </c>
      <c r="I14" s="644">
        <v>109065.88446222371</v>
      </c>
      <c r="J14" s="788">
        <v>116298.65749918294</v>
      </c>
      <c r="K14" s="115">
        <v>162418.1909167913</v>
      </c>
      <c r="L14" s="116">
        <v>167066.3001541101</v>
      </c>
      <c r="M14" s="1077">
        <v>172855.41199410724</v>
      </c>
      <c r="N14" s="115">
        <v>169305.74619627159</v>
      </c>
      <c r="O14" s="116">
        <v>169475.20948080256</v>
      </c>
      <c r="P14" s="116">
        <v>162864.59589779517</v>
      </c>
      <c r="Q14" s="116">
        <v>187403.47776561097</v>
      </c>
      <c r="R14" s="578">
        <v>189527.03763880522</v>
      </c>
      <c r="S14" s="114"/>
      <c r="T14" s="1123">
        <v>122500.69441786171</v>
      </c>
      <c r="U14" s="116">
        <v>85742.244332572984</v>
      </c>
      <c r="V14" s="1110">
        <v>117912</v>
      </c>
      <c r="W14" s="1141"/>
      <c r="X14" s="644"/>
      <c r="Y14" s="644"/>
      <c r="Z14" s="644"/>
      <c r="AA14" s="857"/>
      <c r="AF14" s="1" t="s">
        <v>931</v>
      </c>
      <c r="AG14" s="1" t="s">
        <v>931</v>
      </c>
      <c r="AH14" s="1" t="s">
        <v>934</v>
      </c>
    </row>
    <row r="15" spans="1:36" ht="12" customHeight="1">
      <c r="A15" s="24" t="s">
        <v>329</v>
      </c>
      <c r="B15" s="24"/>
      <c r="C15" s="115">
        <v>127939.86124342239</v>
      </c>
      <c r="D15" s="116">
        <v>151794.24807496319</v>
      </c>
      <c r="E15" s="116">
        <v>156496.11791998369</v>
      </c>
      <c r="F15" s="116">
        <v>158166</v>
      </c>
      <c r="G15" s="116">
        <v>157706.7456750859</v>
      </c>
      <c r="H15" s="116">
        <v>157284.96257313347</v>
      </c>
      <c r="I15" s="644">
        <v>151139.0683032485</v>
      </c>
      <c r="J15" s="788">
        <v>146926.64615167578</v>
      </c>
      <c r="K15" s="115">
        <v>170372.82190614694</v>
      </c>
      <c r="L15" s="116">
        <v>142455.77851836776</v>
      </c>
      <c r="M15" s="1077">
        <v>127877.64901803236</v>
      </c>
      <c r="N15" s="115">
        <v>133277.91121939773</v>
      </c>
      <c r="O15" s="116">
        <v>144272.76088655071</v>
      </c>
      <c r="P15" s="116">
        <v>132011.23597452333</v>
      </c>
      <c r="Q15" s="116">
        <v>133863.7612123123</v>
      </c>
      <c r="R15" s="578">
        <v>134632.28290931464</v>
      </c>
      <c r="S15" s="26"/>
      <c r="T15" s="1123">
        <v>170677.0157604987</v>
      </c>
      <c r="U15" s="116">
        <v>142628.60228247431</v>
      </c>
      <c r="V15" s="1110">
        <v>139840.16449190769</v>
      </c>
      <c r="W15" s="1141"/>
      <c r="X15" s="644"/>
      <c r="Y15" s="644"/>
      <c r="Z15" s="644"/>
      <c r="AA15" s="857"/>
      <c r="AF15" s="1" t="s">
        <v>931</v>
      </c>
      <c r="AG15" s="1" t="s">
        <v>931</v>
      </c>
      <c r="AH15" s="1" t="s">
        <v>935</v>
      </c>
    </row>
    <row r="16" spans="1:36" ht="12" customHeight="1">
      <c r="A16" s="24" t="s">
        <v>330</v>
      </c>
      <c r="B16" s="24"/>
      <c r="C16" s="115">
        <v>68159.333573926589</v>
      </c>
      <c r="D16" s="116">
        <v>68119.105132903715</v>
      </c>
      <c r="E16" s="116">
        <v>67166.260959165622</v>
      </c>
      <c r="F16" s="116">
        <v>56740.10170120791</v>
      </c>
      <c r="G16" s="116">
        <v>52609.619134055429</v>
      </c>
      <c r="H16" s="116">
        <v>49376.262411978569</v>
      </c>
      <c r="I16" s="644">
        <v>48661.519477072448</v>
      </c>
      <c r="J16" s="788">
        <v>48229.378283160229</v>
      </c>
      <c r="K16" s="115">
        <v>30311.082209330387</v>
      </c>
      <c r="L16" s="116">
        <v>34194.931201595246</v>
      </c>
      <c r="M16" s="1077">
        <v>36953.63126374803</v>
      </c>
      <c r="N16" s="1532">
        <v>57804.142527885037</v>
      </c>
      <c r="O16" s="1486">
        <v>54545.132151302802</v>
      </c>
      <c r="P16" s="1486">
        <v>51447.516596086207</v>
      </c>
      <c r="Q16" s="1486">
        <v>48968.444138593295</v>
      </c>
      <c r="R16" s="1533">
        <v>46496.530218301566</v>
      </c>
      <c r="S16" s="645"/>
      <c r="T16" s="1123">
        <v>32475.15105233949</v>
      </c>
      <c r="U16" s="116">
        <v>39590.069729306255</v>
      </c>
      <c r="V16" s="1110">
        <v>46925</v>
      </c>
      <c r="W16" s="115"/>
      <c r="X16" s="116"/>
      <c r="Y16" s="116"/>
      <c r="Z16" s="116"/>
      <c r="AA16" s="578"/>
      <c r="AB16" s="908"/>
      <c r="AF16" s="1" t="s">
        <v>931</v>
      </c>
      <c r="AG16" s="1" t="s">
        <v>931</v>
      </c>
      <c r="AH16" s="1" t="s">
        <v>936</v>
      </c>
    </row>
    <row r="17" spans="1:36" ht="12" customHeight="1">
      <c r="A17" s="24" t="s">
        <v>331</v>
      </c>
      <c r="B17" s="24"/>
      <c r="C17" s="115">
        <v>10788.98059974527</v>
      </c>
      <c r="D17" s="116">
        <v>50386.880571279791</v>
      </c>
      <c r="E17" s="116">
        <v>11136.890623402516</v>
      </c>
      <c r="F17" s="116">
        <v>9361</v>
      </c>
      <c r="G17" s="116">
        <v>10430.435246915833</v>
      </c>
      <c r="H17" s="116">
        <v>10371.162805851633</v>
      </c>
      <c r="I17" s="644">
        <v>9933.2518049734263</v>
      </c>
      <c r="J17" s="788">
        <v>13887.396565818206</v>
      </c>
      <c r="K17" s="115">
        <v>9484.4941184025138</v>
      </c>
      <c r="L17" s="116">
        <v>9171.8265003293182</v>
      </c>
      <c r="M17" s="1077">
        <v>9166.7216672657287</v>
      </c>
      <c r="N17" s="115">
        <v>1366.8757258666305</v>
      </c>
      <c r="O17" s="116">
        <v>1375.4943834548085</v>
      </c>
      <c r="P17" s="116">
        <v>1375.2848863755592</v>
      </c>
      <c r="Q17" s="116">
        <v>1379.2912063904066</v>
      </c>
      <c r="R17" s="578">
        <v>1398.9380427239748</v>
      </c>
      <c r="S17" s="645"/>
      <c r="T17" s="1123">
        <v>41753.410205428823</v>
      </c>
      <c r="U17" s="116">
        <v>6152.8147715534333</v>
      </c>
      <c r="V17" s="1110">
        <v>9097</v>
      </c>
      <c r="W17" s="1141"/>
      <c r="X17" s="644"/>
      <c r="Y17" s="644"/>
      <c r="Z17" s="644"/>
      <c r="AA17" s="857"/>
      <c r="AB17" s="1" t="s">
        <v>381</v>
      </c>
      <c r="AF17" s="1" t="s">
        <v>931</v>
      </c>
      <c r="AG17" s="1" t="s">
        <v>931</v>
      </c>
      <c r="AH17" s="1" t="s">
        <v>937</v>
      </c>
    </row>
    <row r="18" spans="1:36" ht="12" customHeight="1">
      <c r="A18" s="134" t="s">
        <v>332</v>
      </c>
      <c r="B18" s="579"/>
      <c r="C18" s="85">
        <f t="shared" ref="C18:R18" si="0">C12+SUM(C14:C17)</f>
        <v>572692.66545497626</v>
      </c>
      <c r="D18" s="86">
        <f t="shared" si="0"/>
        <v>635977.52671386418</v>
      </c>
      <c r="E18" s="86">
        <f t="shared" si="0"/>
        <v>583336.31757030333</v>
      </c>
      <c r="F18" s="86">
        <f t="shared" si="0"/>
        <v>573075.10170120792</v>
      </c>
      <c r="G18" s="86">
        <f t="shared" si="0"/>
        <v>577164.61819707043</v>
      </c>
      <c r="H18" s="86">
        <f t="shared" si="0"/>
        <v>567866.7639570391</v>
      </c>
      <c r="I18" s="86">
        <f t="shared" si="0"/>
        <v>602995.23376340931</v>
      </c>
      <c r="J18" s="789">
        <f t="shared" si="0"/>
        <v>619030.27283228538</v>
      </c>
      <c r="K18" s="85">
        <f t="shared" si="0"/>
        <v>689955.37778031058</v>
      </c>
      <c r="L18" s="86">
        <f t="shared" si="0"/>
        <v>674270.83242374472</v>
      </c>
      <c r="M18" s="86">
        <f t="shared" si="0"/>
        <v>688739.42261568108</v>
      </c>
      <c r="N18" s="85">
        <f t="shared" si="0"/>
        <v>758911.57684834499</v>
      </c>
      <c r="O18" s="86">
        <f t="shared" si="0"/>
        <v>770018.79954953259</v>
      </c>
      <c r="P18" s="86">
        <f t="shared" si="0"/>
        <v>696737.90630166326</v>
      </c>
      <c r="Q18" s="86">
        <f t="shared" si="0"/>
        <v>720194.95390332956</v>
      </c>
      <c r="R18" s="1137">
        <f t="shared" si="0"/>
        <v>729122.11112990498</v>
      </c>
      <c r="S18" s="26"/>
      <c r="T18" s="85">
        <f>T12+SUM(T14:T17)</f>
        <v>681321.6748757204</v>
      </c>
      <c r="U18" s="86">
        <f>U12+SUM(U14:U17)</f>
        <v>551130.21024065849</v>
      </c>
      <c r="V18" s="86">
        <f>V12+SUM(V14:V17)</f>
        <v>626180.16449190769</v>
      </c>
      <c r="W18" s="85"/>
      <c r="X18" s="86"/>
      <c r="Y18" s="86"/>
      <c r="Z18" s="86"/>
      <c r="AA18" s="627"/>
      <c r="AF18" s="1" t="s">
        <v>938</v>
      </c>
      <c r="AG18" s="1" t="s">
        <v>938</v>
      </c>
      <c r="AH18" s="1" t="s">
        <v>938</v>
      </c>
      <c r="AI18" s="1" t="s">
        <v>938</v>
      </c>
    </row>
    <row r="19" spans="1:36" ht="12" customHeight="1">
      <c r="A19" s="102" t="s">
        <v>333</v>
      </c>
      <c r="B19" s="31"/>
      <c r="C19" s="28"/>
      <c r="D19" s="29">
        <f t="shared" ref="D19:M19" si="1">+D18/C18-1</f>
        <v>0.11050405405246666</v>
      </c>
      <c r="E19" s="29">
        <f t="shared" si="1"/>
        <v>-8.2772121548950417E-2</v>
      </c>
      <c r="F19" s="29">
        <f t="shared" si="1"/>
        <v>-1.7590565785163381E-2</v>
      </c>
      <c r="G19" s="29">
        <f t="shared" si="1"/>
        <v>7.1360917333915808E-3</v>
      </c>
      <c r="H19" s="29">
        <f t="shared" si="1"/>
        <v>-1.6109536078416697E-2</v>
      </c>
      <c r="I19" s="29">
        <f t="shared" si="1"/>
        <v>6.1860408173188608E-2</v>
      </c>
      <c r="J19" s="790">
        <f t="shared" si="1"/>
        <v>2.6592314782984738E-2</v>
      </c>
      <c r="K19" s="28">
        <f t="shared" si="1"/>
        <v>0.11457453384875249</v>
      </c>
      <c r="L19" s="29">
        <f t="shared" si="1"/>
        <v>-2.2732695275200832E-2</v>
      </c>
      <c r="M19" s="1078">
        <f t="shared" si="1"/>
        <v>2.1458128538538901E-2</v>
      </c>
      <c r="N19" s="28">
        <f>+N18/M18-1</f>
        <v>0.10188491021200075</v>
      </c>
      <c r="O19" s="29">
        <f>+O18/N18-1</f>
        <v>1.4635727059685077E-2</v>
      </c>
      <c r="P19" s="29">
        <f>+P18/O18-1</f>
        <v>-9.5167667712449666E-2</v>
      </c>
      <c r="Q19" s="29">
        <f>+Q18/P18-1</f>
        <v>3.3666960545003288E-2</v>
      </c>
      <c r="R19" s="1138">
        <f>+R18/Q18-1</f>
        <v>1.2395473167635895E-2</v>
      </c>
      <c r="S19" s="27"/>
      <c r="T19" s="28">
        <f>T18/J18-1</f>
        <v>0.10062739219267836</v>
      </c>
      <c r="U19" s="29">
        <f>U18/T18-1</f>
        <v>-0.19108663269638393</v>
      </c>
      <c r="V19" s="29">
        <f>V18/U18-1</f>
        <v>0.13617463324769963</v>
      </c>
      <c r="W19" s="28"/>
      <c r="X19" s="29"/>
      <c r="Y19" s="29"/>
      <c r="Z19" s="29"/>
      <c r="AA19" s="30"/>
      <c r="AF19" s="1" t="s">
        <v>938</v>
      </c>
      <c r="AG19" s="1" t="s">
        <v>938</v>
      </c>
      <c r="AH19" s="1" t="s">
        <v>938</v>
      </c>
      <c r="AI19" s="1" t="s">
        <v>938</v>
      </c>
    </row>
    <row r="20" spans="1:36" ht="12" customHeight="1">
      <c r="A20" s="31"/>
      <c r="B20" s="31"/>
      <c r="C20" s="31"/>
      <c r="D20" s="31"/>
      <c r="E20" s="31"/>
      <c r="F20" s="31"/>
      <c r="G20" s="31"/>
      <c r="H20" s="31"/>
      <c r="I20" s="31"/>
      <c r="J20" s="691"/>
      <c r="K20" s="988"/>
      <c r="L20" s="32"/>
      <c r="M20" s="32"/>
      <c r="N20" s="32"/>
      <c r="O20" s="32"/>
      <c r="P20" s="32"/>
      <c r="Q20" s="32"/>
      <c r="R20" s="32"/>
      <c r="S20" s="27"/>
      <c r="T20" s="988"/>
      <c r="U20" s="32"/>
      <c r="V20" s="32"/>
      <c r="W20" s="32"/>
      <c r="X20" s="32"/>
      <c r="Y20" s="32"/>
      <c r="Z20" s="32"/>
      <c r="AA20" s="32"/>
    </row>
    <row r="21" spans="1:36" ht="15.6" customHeight="1">
      <c r="A21" s="15" t="s">
        <v>334</v>
      </c>
      <c r="B21" s="15"/>
      <c r="C21" s="15"/>
      <c r="D21" s="15"/>
      <c r="E21" s="15"/>
      <c r="F21" s="15"/>
      <c r="G21" s="15"/>
      <c r="H21" s="15"/>
      <c r="I21" s="15"/>
      <c r="J21" s="685"/>
      <c r="K21" s="17"/>
      <c r="L21" s="17"/>
      <c r="M21" s="17"/>
      <c r="N21" s="17"/>
      <c r="O21" s="17"/>
      <c r="P21" s="17"/>
      <c r="Q21" s="17"/>
      <c r="R21" s="18"/>
      <c r="S21" s="18"/>
      <c r="T21" s="17"/>
      <c r="U21" s="17"/>
      <c r="V21" s="17"/>
      <c r="W21" s="19"/>
      <c r="X21" s="19"/>
      <c r="Y21" s="19"/>
      <c r="Z21" s="19"/>
      <c r="AA21" s="19"/>
    </row>
    <row r="22" spans="1:36" ht="12" customHeight="1">
      <c r="A22" s="135" t="s">
        <v>335</v>
      </c>
      <c r="B22" s="21"/>
      <c r="C22" s="112">
        <v>464434.84439975489</v>
      </c>
      <c r="D22" s="113">
        <v>518179.09013056027</v>
      </c>
      <c r="E22" s="113">
        <v>472116.56711714208</v>
      </c>
      <c r="F22" s="113">
        <v>466289</v>
      </c>
      <c r="G22" s="113">
        <v>471183.55884036224</v>
      </c>
      <c r="H22" s="113">
        <v>464249.55802303128</v>
      </c>
      <c r="I22" s="640">
        <v>494013.10073549859</v>
      </c>
      <c r="J22" s="791">
        <v>507782.81901068741</v>
      </c>
      <c r="K22" s="903">
        <v>565256.53348715848</v>
      </c>
      <c r="L22" s="1404">
        <v>552406.72895907855</v>
      </c>
      <c r="M22" s="686">
        <v>564260.34355463635</v>
      </c>
      <c r="N22" s="1441">
        <f>N$18*M22/M$31</f>
        <v>621749.95799389319</v>
      </c>
      <c r="O22" s="1404">
        <f t="shared" ref="O22:R22" si="2">O$18*N22/N$31</f>
        <v>630849.72067846253</v>
      </c>
      <c r="P22" s="1404">
        <f t="shared" si="2"/>
        <v>570813.22408444283</v>
      </c>
      <c r="Q22" s="1404">
        <f t="shared" si="2"/>
        <v>590030.77037826006</v>
      </c>
      <c r="R22" s="686">
        <f t="shared" si="2"/>
        <v>597344.48096056317</v>
      </c>
      <c r="S22" s="26"/>
      <c r="T22" s="903">
        <v>551717.50213697297</v>
      </c>
      <c r="U22" s="22">
        <f>$U$18*T22/$T$31</f>
        <v>446291.66245395876</v>
      </c>
      <c r="V22" s="1114">
        <v>507014.98033087631</v>
      </c>
      <c r="W22" s="646"/>
      <c r="X22" s="647"/>
      <c r="Y22" s="647"/>
      <c r="Z22" s="647"/>
      <c r="AA22" s="648"/>
      <c r="AB22" s="1529"/>
      <c r="AC22" s="1530"/>
      <c r="AF22" s="1" t="s">
        <v>938</v>
      </c>
      <c r="AG22" s="1" t="s">
        <v>938</v>
      </c>
      <c r="AH22" s="1" t="s">
        <v>938</v>
      </c>
      <c r="AI22" s="1" t="s">
        <v>938</v>
      </c>
    </row>
    <row r="23" spans="1:36" ht="12" customHeight="1">
      <c r="A23" s="21" t="s">
        <v>336</v>
      </c>
      <c r="B23" s="24"/>
      <c r="C23" s="115">
        <v>44565.706443756448</v>
      </c>
      <c r="D23" s="116">
        <v>48322.283199027763</v>
      </c>
      <c r="E23" s="116">
        <v>44026.767759847644</v>
      </c>
      <c r="F23" s="116">
        <v>43483</v>
      </c>
      <c r="G23" s="116">
        <v>43939.760987408736</v>
      </c>
      <c r="H23" s="116">
        <v>43293.137536985574</v>
      </c>
      <c r="I23" s="644">
        <v>46068.707542320655</v>
      </c>
      <c r="J23" s="792">
        <v>47352.789124803756</v>
      </c>
      <c r="K23" s="904">
        <v>52712.44404011951</v>
      </c>
      <c r="L23" s="1405">
        <v>51514.148112544404</v>
      </c>
      <c r="M23" s="688">
        <v>52619.54532429672</v>
      </c>
      <c r="N23" s="1442">
        <f t="shared" ref="N23:R23" si="3">N$18*M23/M$31</f>
        <v>57980.68297505899</v>
      </c>
      <c r="O23" s="1405">
        <f t="shared" si="3"/>
        <v>58829.272425816089</v>
      </c>
      <c r="P23" s="1405">
        <f t="shared" si="3"/>
        <v>53230.627775830842</v>
      </c>
      <c r="Q23" s="1405">
        <f t="shared" si="3"/>
        <v>55022.741220945507</v>
      </c>
      <c r="R23" s="688">
        <f t="shared" si="3"/>
        <v>55704.774133359497</v>
      </c>
      <c r="S23" s="26"/>
      <c r="T23" s="904">
        <v>51449.87494073854</v>
      </c>
      <c r="U23" s="5">
        <f t="shared" ref="U23:U30" si="4">$U$18*T23/$T$31</f>
        <v>41618.491585662741</v>
      </c>
      <c r="V23" s="1113">
        <v>47281.185081252595</v>
      </c>
      <c r="W23" s="1140"/>
      <c r="X23" s="642"/>
      <c r="Y23" s="642"/>
      <c r="Z23" s="642"/>
      <c r="AA23" s="856"/>
      <c r="AB23" s="1529"/>
      <c r="AC23" s="1530"/>
      <c r="AF23" s="1" t="s">
        <v>938</v>
      </c>
      <c r="AG23" s="1" t="s">
        <v>938</v>
      </c>
      <c r="AH23" s="1" t="s">
        <v>938</v>
      </c>
      <c r="AI23" s="1" t="s">
        <v>938</v>
      </c>
    </row>
    <row r="24" spans="1:36" ht="12" customHeight="1">
      <c r="A24" s="21" t="s">
        <v>337</v>
      </c>
      <c r="B24" s="24"/>
      <c r="C24" s="115">
        <v>14799.388823928355</v>
      </c>
      <c r="D24" s="116">
        <v>17654.173655085251</v>
      </c>
      <c r="E24" s="116">
        <v>16671.4914002638</v>
      </c>
      <c r="F24" s="116">
        <v>16423</v>
      </c>
      <c r="G24" s="116">
        <v>16500.731366291278</v>
      </c>
      <c r="H24" s="116">
        <v>16224.608395705331</v>
      </c>
      <c r="I24" s="644">
        <v>16673.099235269096</v>
      </c>
      <c r="J24" s="792">
        <v>16923.494808091436</v>
      </c>
      <c r="K24" s="904">
        <v>19077.587744503267</v>
      </c>
      <c r="L24" s="1405">
        <v>18643.90275572157</v>
      </c>
      <c r="M24" s="688">
        <v>19043.966017513867</v>
      </c>
      <c r="N24" s="1442">
        <f t="shared" ref="N24:R24" si="5">N$18*M24/M$31</f>
        <v>20984.258785288661</v>
      </c>
      <c r="O24" s="1405">
        <f t="shared" si="5"/>
        <v>21291.378669419948</v>
      </c>
      <c r="P24" s="1405">
        <f t="shared" si="5"/>
        <v>19265.12781906865</v>
      </c>
      <c r="Q24" s="1405">
        <f t="shared" si="5"/>
        <v>19913.726117247683</v>
      </c>
      <c r="R24" s="688">
        <f t="shared" si="5"/>
        <v>20160.566175001673</v>
      </c>
      <c r="S24" s="26"/>
      <c r="T24" s="904">
        <v>18063.962219833778</v>
      </c>
      <c r="U24" s="5">
        <f t="shared" si="4"/>
        <v>14612.180506091043</v>
      </c>
      <c r="V24" s="1113">
        <v>16600.342410948055</v>
      </c>
      <c r="W24" s="1140"/>
      <c r="X24" s="642"/>
      <c r="Y24" s="642"/>
      <c r="Z24" s="642"/>
      <c r="AA24" s="856"/>
      <c r="AB24" s="1529"/>
      <c r="AC24" s="1530"/>
      <c r="AF24" s="1" t="s">
        <v>938</v>
      </c>
      <c r="AG24" s="1" t="s">
        <v>938</v>
      </c>
      <c r="AH24" s="1" t="s">
        <v>938</v>
      </c>
      <c r="AI24" s="1" t="s">
        <v>938</v>
      </c>
    </row>
    <row r="25" spans="1:36" ht="12" customHeight="1">
      <c r="A25" s="21" t="s">
        <v>338</v>
      </c>
      <c r="B25" s="24"/>
      <c r="C25" s="115">
        <v>30108.616217791292</v>
      </c>
      <c r="D25" s="116">
        <v>32211.383527911268</v>
      </c>
      <c r="E25" s="116">
        <v>29348.015199647372</v>
      </c>
      <c r="F25" s="116">
        <v>28986</v>
      </c>
      <c r="G25" s="116">
        <v>29290.01693609239</v>
      </c>
      <c r="H25" s="116">
        <v>28858.981095465129</v>
      </c>
      <c r="I25" s="644">
        <v>30709.161675347452</v>
      </c>
      <c r="J25" s="792">
        <v>31565.123802884547</v>
      </c>
      <c r="K25" s="904">
        <v>35137.841990545938</v>
      </c>
      <c r="L25" s="1405">
        <v>34339.064135946704</v>
      </c>
      <c r="M25" s="688">
        <v>35075.916188068986</v>
      </c>
      <c r="N25" s="1442">
        <f t="shared" ref="N25:R25" si="6">N$18*M25/M$31</f>
        <v>38649.622759494057</v>
      </c>
      <c r="O25" s="1405">
        <f t="shared" si="6"/>
        <v>39215.288089161812</v>
      </c>
      <c r="P25" s="1405">
        <f t="shared" si="6"/>
        <v>35483.260583044474</v>
      </c>
      <c r="Q25" s="1405">
        <f t="shared" si="6"/>
        <v>36677.874117101906</v>
      </c>
      <c r="R25" s="688">
        <f t="shared" si="6"/>
        <v>37132.513721566364</v>
      </c>
      <c r="S25" s="26"/>
      <c r="T25" s="904">
        <v>34296.21997274633</v>
      </c>
      <c r="U25" s="5">
        <f t="shared" si="4"/>
        <v>27742.670783939764</v>
      </c>
      <c r="V25" s="1113">
        <v>31517.392918574402</v>
      </c>
      <c r="W25" s="1140"/>
      <c r="X25" s="642"/>
      <c r="Y25" s="642"/>
      <c r="Z25" s="642"/>
      <c r="AA25" s="856"/>
      <c r="AB25" s="1529"/>
      <c r="AC25" s="1530"/>
      <c r="AF25" s="1" t="s">
        <v>938</v>
      </c>
      <c r="AG25" s="1" t="s">
        <v>938</v>
      </c>
      <c r="AH25" s="1" t="s">
        <v>938</v>
      </c>
      <c r="AI25" s="1" t="s">
        <v>938</v>
      </c>
    </row>
    <row r="26" spans="1:36" ht="12" customHeight="1">
      <c r="A26" s="21" t="s">
        <v>339</v>
      </c>
      <c r="B26" s="24"/>
      <c r="C26" s="115">
        <v>0</v>
      </c>
      <c r="D26" s="116">
        <v>0</v>
      </c>
      <c r="E26" s="116"/>
      <c r="F26" s="116">
        <v>0</v>
      </c>
      <c r="G26" s="116">
        <v>0</v>
      </c>
      <c r="H26" s="116"/>
      <c r="I26" s="644"/>
      <c r="J26" s="792">
        <f t="shared" ref="J26" si="7">J$18*I26/I$31</f>
        <v>0</v>
      </c>
      <c r="K26" s="904">
        <v>0</v>
      </c>
      <c r="L26" s="1405">
        <v>0</v>
      </c>
      <c r="M26" s="688">
        <v>0</v>
      </c>
      <c r="N26" s="1442">
        <f t="shared" ref="N26:R26" si="8">N$18*M26/M$31</f>
        <v>0</v>
      </c>
      <c r="O26" s="1405">
        <f t="shared" si="8"/>
        <v>0</v>
      </c>
      <c r="P26" s="1405">
        <f t="shared" si="8"/>
        <v>0</v>
      </c>
      <c r="Q26" s="1405">
        <f t="shared" si="8"/>
        <v>0</v>
      </c>
      <c r="R26" s="688">
        <f t="shared" si="8"/>
        <v>0</v>
      </c>
      <c r="S26" s="26"/>
      <c r="T26" s="904">
        <v>0</v>
      </c>
      <c r="U26" s="5">
        <f t="shared" si="4"/>
        <v>0</v>
      </c>
      <c r="V26" s="1113">
        <v>0</v>
      </c>
      <c r="W26" s="1140"/>
      <c r="X26" s="642"/>
      <c r="Y26" s="642"/>
      <c r="Z26" s="642"/>
      <c r="AA26" s="856"/>
      <c r="AB26" s="1529"/>
      <c r="AC26" s="1530"/>
      <c r="AF26" s="1" t="s">
        <v>938</v>
      </c>
      <c r="AG26" s="1" t="s">
        <v>938</v>
      </c>
      <c r="AH26" s="1" t="s">
        <v>938</v>
      </c>
      <c r="AI26" s="1" t="s">
        <v>938</v>
      </c>
    </row>
    <row r="27" spans="1:36" ht="12" customHeight="1">
      <c r="A27" s="21" t="s">
        <v>340</v>
      </c>
      <c r="B27" s="24"/>
      <c r="C27" s="115">
        <v>3994.9232400000005</v>
      </c>
      <c r="D27" s="116">
        <v>4045.7114500000007</v>
      </c>
      <c r="E27" s="116">
        <v>5698.3796600000005</v>
      </c>
      <c r="F27" s="116">
        <v>4383.6017000000002</v>
      </c>
      <c r="G27" s="116">
        <v>3474.7876500000007</v>
      </c>
      <c r="H27" s="116">
        <v>3494.93887</v>
      </c>
      <c r="I27" s="644">
        <v>3835.3095600000001</v>
      </c>
      <c r="J27" s="792">
        <v>3516.75</v>
      </c>
      <c r="K27" s="904">
        <v>4388.4135532197179</v>
      </c>
      <c r="L27" s="1405">
        <v>4288.6530851728121</v>
      </c>
      <c r="M27" s="688">
        <v>4380.679554331653</v>
      </c>
      <c r="N27" s="1442">
        <f t="shared" ref="N27:R27" si="9">N$18*M27/M$31</f>
        <v>4827.0046973922808</v>
      </c>
      <c r="O27" s="1405">
        <f t="shared" si="9"/>
        <v>4897.6514206591328</v>
      </c>
      <c r="P27" s="1405">
        <f t="shared" si="9"/>
        <v>4431.5533576864373</v>
      </c>
      <c r="Q27" s="1405">
        <f t="shared" si="9"/>
        <v>4580.750289732744</v>
      </c>
      <c r="R27" s="688">
        <f t="shared" si="9"/>
        <v>4637.5308570367652</v>
      </c>
      <c r="S27" s="26"/>
      <c r="T27" s="904">
        <v>3758.0364</v>
      </c>
      <c r="U27" s="5">
        <f t="shared" si="4"/>
        <v>3039.9258787735589</v>
      </c>
      <c r="V27" s="1113">
        <v>3453.5441490411063</v>
      </c>
      <c r="W27" s="1140"/>
      <c r="X27" s="642"/>
      <c r="Y27" s="642"/>
      <c r="Z27" s="642"/>
      <c r="AA27" s="856"/>
      <c r="AB27" s="1529"/>
      <c r="AC27" s="1530"/>
      <c r="AF27" s="1" t="s">
        <v>938</v>
      </c>
      <c r="AG27" s="1" t="s">
        <v>938</v>
      </c>
      <c r="AH27" s="1" t="s">
        <v>938</v>
      </c>
      <c r="AI27" s="1" t="s">
        <v>938</v>
      </c>
    </row>
    <row r="28" spans="1:36" ht="12" customHeight="1">
      <c r="A28" s="21" t="s">
        <v>341</v>
      </c>
      <c r="B28" s="24"/>
      <c r="C28" s="115">
        <v>0</v>
      </c>
      <c r="D28" s="116">
        <v>0</v>
      </c>
      <c r="E28" s="116"/>
      <c r="F28" s="116">
        <v>0</v>
      </c>
      <c r="G28" s="116">
        <v>0</v>
      </c>
      <c r="H28" s="116"/>
      <c r="I28" s="644"/>
      <c r="J28" s="792">
        <f t="shared" ref="J28" si="10">J$18*I28/I$31</f>
        <v>0</v>
      </c>
      <c r="K28" s="904">
        <v>0</v>
      </c>
      <c r="L28" s="1405">
        <v>0</v>
      </c>
      <c r="M28" s="688">
        <v>0</v>
      </c>
      <c r="N28" s="1442">
        <f t="shared" ref="N28:R28" si="11">N$18*M28/M$31</f>
        <v>0</v>
      </c>
      <c r="O28" s="1405">
        <f t="shared" si="11"/>
        <v>0</v>
      </c>
      <c r="P28" s="1405">
        <f t="shared" si="11"/>
        <v>0</v>
      </c>
      <c r="Q28" s="1405">
        <f t="shared" si="11"/>
        <v>0</v>
      </c>
      <c r="R28" s="688">
        <f t="shared" si="11"/>
        <v>0</v>
      </c>
      <c r="S28" s="26"/>
      <c r="T28" s="904">
        <v>0</v>
      </c>
      <c r="U28" s="5">
        <f t="shared" si="4"/>
        <v>0</v>
      </c>
      <c r="V28" s="1113">
        <v>0</v>
      </c>
      <c r="W28" s="1140"/>
      <c r="X28" s="642"/>
      <c r="Y28" s="642"/>
      <c r="Z28" s="642"/>
      <c r="AA28" s="856"/>
      <c r="AB28" s="1529"/>
      <c r="AC28" s="1530"/>
      <c r="AF28" s="1" t="s">
        <v>938</v>
      </c>
      <c r="AG28" s="1" t="s">
        <v>938</v>
      </c>
      <c r="AH28" s="1" t="s">
        <v>938</v>
      </c>
      <c r="AI28" s="1" t="s">
        <v>938</v>
      </c>
    </row>
    <row r="29" spans="1:36" ht="12" customHeight="1">
      <c r="A29" s="21" t="s">
        <v>342</v>
      </c>
      <c r="B29" s="24"/>
      <c r="C29" s="682">
        <v>4765.9599399999997</v>
      </c>
      <c r="D29" s="683">
        <v>5263.4739599999994</v>
      </c>
      <c r="E29" s="683">
        <v>5399.9405800000004</v>
      </c>
      <c r="F29" s="683">
        <v>5225.5</v>
      </c>
      <c r="G29" s="683">
        <v>4718.3416099999995</v>
      </c>
      <c r="H29" s="683">
        <v>4668.8854200000005</v>
      </c>
      <c r="I29" s="650">
        <v>4819.6494900000016</v>
      </c>
      <c r="J29" s="792">
        <v>5032.4756500000003</v>
      </c>
      <c r="K29" s="904">
        <v>5514.7087380567282</v>
      </c>
      <c r="L29" s="1405">
        <v>5389.3445447829972</v>
      </c>
      <c r="M29" s="688">
        <v>5504.9897927634256</v>
      </c>
      <c r="N29" s="1442">
        <f t="shared" ref="N29:R29" si="12">N$18*M29/M$31</f>
        <v>6065.8651835171077</v>
      </c>
      <c r="O29" s="1405">
        <f t="shared" si="12"/>
        <v>6154.6435307239117</v>
      </c>
      <c r="P29" s="1405">
        <f t="shared" si="12"/>
        <v>5568.9204603034004</v>
      </c>
      <c r="Q29" s="1405">
        <f t="shared" si="12"/>
        <v>5756.4090857186975</v>
      </c>
      <c r="R29" s="688">
        <f t="shared" si="12"/>
        <v>5827.7625000826583</v>
      </c>
      <c r="S29" s="26"/>
      <c r="T29" s="904">
        <v>5104.7810500000005</v>
      </c>
      <c r="U29" s="5">
        <f t="shared" si="4"/>
        <v>4129.3256285031894</v>
      </c>
      <c r="V29" s="1113">
        <v>4691.169762848338</v>
      </c>
      <c r="W29" s="1140"/>
      <c r="X29" s="642"/>
      <c r="Y29" s="642"/>
      <c r="Z29" s="642"/>
      <c r="AA29" s="856"/>
      <c r="AB29" s="1529"/>
      <c r="AC29" s="1530"/>
      <c r="AF29" s="1" t="s">
        <v>938</v>
      </c>
      <c r="AG29" s="1" t="s">
        <v>938</v>
      </c>
      <c r="AH29" s="1" t="s">
        <v>938</v>
      </c>
      <c r="AI29" s="1" t="s">
        <v>938</v>
      </c>
    </row>
    <row r="30" spans="1:36" ht="12" customHeight="1">
      <c r="A30" s="21" t="s">
        <v>343</v>
      </c>
      <c r="B30" s="24"/>
      <c r="C30" s="682">
        <v>10023.226389745269</v>
      </c>
      <c r="D30" s="683">
        <v>10301.410791279795</v>
      </c>
      <c r="E30" s="683">
        <v>10075.155853402515</v>
      </c>
      <c r="F30" s="683">
        <v>8285</v>
      </c>
      <c r="G30" s="683">
        <v>8057.420806915834</v>
      </c>
      <c r="H30" s="683">
        <v>7076.6546158516321</v>
      </c>
      <c r="I30" s="650">
        <v>6876.2055249734267</v>
      </c>
      <c r="J30" s="792">
        <v>6856.8204358182056</v>
      </c>
      <c r="K30" s="904">
        <v>7867.848226706813</v>
      </c>
      <c r="L30" s="1405">
        <v>7688.9908304975588</v>
      </c>
      <c r="M30" s="688">
        <v>7853.9821840700233</v>
      </c>
      <c r="N30" s="1442">
        <f t="shared" ref="N30:R30" si="13">N$18*M30/M$31</f>
        <v>8654.1844537006509</v>
      </c>
      <c r="O30" s="1405">
        <f t="shared" si="13"/>
        <v>8780.8447352891853</v>
      </c>
      <c r="P30" s="1405">
        <f t="shared" si="13"/>
        <v>7945.1922212865702</v>
      </c>
      <c r="Q30" s="1405">
        <f t="shared" si="13"/>
        <v>8212.6826943230935</v>
      </c>
      <c r="R30" s="688">
        <f t="shared" si="13"/>
        <v>8314.482782294881</v>
      </c>
      <c r="S30" s="26"/>
      <c r="T30" s="904">
        <v>16931.298155428824</v>
      </c>
      <c r="U30" s="5">
        <f t="shared" si="4"/>
        <v>13695.953403729434</v>
      </c>
      <c r="V30" s="1113">
        <v>15559.451654154202</v>
      </c>
      <c r="W30" s="1140"/>
      <c r="X30" s="642"/>
      <c r="Y30" s="642"/>
      <c r="Z30" s="642"/>
      <c r="AA30" s="856"/>
      <c r="AB30" s="1529"/>
      <c r="AC30" s="1530"/>
      <c r="AF30" s="1" t="s">
        <v>938</v>
      </c>
      <c r="AG30" s="1" t="s">
        <v>938</v>
      </c>
      <c r="AH30" s="1" t="s">
        <v>938</v>
      </c>
      <c r="AI30" s="1" t="s">
        <v>938</v>
      </c>
    </row>
    <row r="31" spans="1:36" s="143" customFormat="1" ht="12" customHeight="1">
      <c r="A31" s="141" t="s">
        <v>344</v>
      </c>
      <c r="B31" s="134"/>
      <c r="C31" s="581">
        <f t="shared" ref="C31:J31" si="14">SUM(C22:C30)</f>
        <v>572692.66545497626</v>
      </c>
      <c r="D31" s="582">
        <f t="shared" si="14"/>
        <v>635977.52671386418</v>
      </c>
      <c r="E31" s="582">
        <f t="shared" si="14"/>
        <v>583336.31757030357</v>
      </c>
      <c r="F31" s="582">
        <f t="shared" si="14"/>
        <v>573075.1017</v>
      </c>
      <c r="G31" s="582">
        <f t="shared" si="14"/>
        <v>577164.61819707043</v>
      </c>
      <c r="H31" s="582">
        <f t="shared" si="14"/>
        <v>567866.76395703875</v>
      </c>
      <c r="I31" s="582">
        <f t="shared" si="14"/>
        <v>602995.23376340931</v>
      </c>
      <c r="J31" s="793">
        <f t="shared" si="14"/>
        <v>619030.27283228538</v>
      </c>
      <c r="K31" s="85">
        <f>SUM(K22:K30)</f>
        <v>689955.37778031058</v>
      </c>
      <c r="L31" s="86">
        <f>SUM(L22:L30)</f>
        <v>674270.83242374461</v>
      </c>
      <c r="M31" s="627">
        <f>SUM(M22:M30)</f>
        <v>688739.42261568108</v>
      </c>
      <c r="N31" s="155">
        <f>SUM(N22:N30)</f>
        <v>758911.57684834488</v>
      </c>
      <c r="O31" s="86">
        <f>SUM(O22:O30)</f>
        <v>770018.79954953259</v>
      </c>
      <c r="P31" s="86">
        <f t="shared" ref="P31:R31" si="15">SUM(P22:P30)</f>
        <v>696737.90630166314</v>
      </c>
      <c r="Q31" s="86">
        <f t="shared" si="15"/>
        <v>720194.95390332968</v>
      </c>
      <c r="R31" s="627">
        <f t="shared" si="15"/>
        <v>729122.1111299051</v>
      </c>
      <c r="S31" s="26"/>
      <c r="T31" s="85">
        <f>SUM(T22:T30)</f>
        <v>681321.6748757204</v>
      </c>
      <c r="U31" s="86">
        <f>SUM(U22:U30)</f>
        <v>551130.21024065861</v>
      </c>
      <c r="V31" s="86">
        <f>SUM(V22:V30)</f>
        <v>626118.06630769488</v>
      </c>
      <c r="W31" s="85"/>
      <c r="X31" s="86"/>
      <c r="Y31" s="86"/>
      <c r="Z31" s="86"/>
      <c r="AA31" s="627"/>
      <c r="AB31" s="1529"/>
      <c r="AC31" s="1530"/>
      <c r="AF31" s="1" t="s">
        <v>938</v>
      </c>
      <c r="AG31" s="1" t="s">
        <v>938</v>
      </c>
      <c r="AH31" s="1" t="s">
        <v>938</v>
      </c>
      <c r="AI31" s="1" t="s">
        <v>938</v>
      </c>
      <c r="AJ31" s="1"/>
    </row>
    <row r="32" spans="1:36" ht="12" customHeight="1">
      <c r="A32" s="102" t="s">
        <v>333</v>
      </c>
      <c r="B32" s="31"/>
      <c r="C32" s="28"/>
      <c r="D32" s="29">
        <f t="shared" ref="D32:O32" si="16">+D31/C31-1</f>
        <v>0.11050405405246666</v>
      </c>
      <c r="E32" s="29">
        <f t="shared" si="16"/>
        <v>-8.2772121548950084E-2</v>
      </c>
      <c r="F32" s="29">
        <f t="shared" si="16"/>
        <v>-1.7590565787234502E-2</v>
      </c>
      <c r="G32" s="29">
        <f t="shared" si="16"/>
        <v>7.1360917355143272E-3</v>
      </c>
      <c r="H32" s="29">
        <f t="shared" si="16"/>
        <v>-1.6109536078417364E-2</v>
      </c>
      <c r="I32" s="29">
        <f t="shared" si="16"/>
        <v>6.1860408173189274E-2</v>
      </c>
      <c r="J32" s="794">
        <f t="shared" si="16"/>
        <v>2.6592314782984738E-2</v>
      </c>
      <c r="K32" s="28">
        <f t="shared" si="16"/>
        <v>0.11457453384875249</v>
      </c>
      <c r="L32" s="29">
        <f t="shared" si="16"/>
        <v>-2.2732695275200943E-2</v>
      </c>
      <c r="M32" s="30">
        <f t="shared" si="16"/>
        <v>2.1458128538539123E-2</v>
      </c>
      <c r="N32" s="159">
        <f t="shared" si="16"/>
        <v>0.10188491021200052</v>
      </c>
      <c r="O32" s="29">
        <f t="shared" si="16"/>
        <v>1.46357270596853E-2</v>
      </c>
      <c r="P32" s="29">
        <f t="shared" ref="P32" si="17">+P31/O31-1</f>
        <v>-9.5167667712449888E-2</v>
      </c>
      <c r="Q32" s="29">
        <f t="shared" ref="Q32" si="18">+Q31/P31-1</f>
        <v>3.3666960545003732E-2</v>
      </c>
      <c r="R32" s="30">
        <f t="shared" ref="R32" si="19">+R31/Q31-1</f>
        <v>1.2395473167635895E-2</v>
      </c>
      <c r="S32" s="27"/>
      <c r="T32" s="28">
        <f>T31/J31-1</f>
        <v>0.10062739219267836</v>
      </c>
      <c r="U32" s="29">
        <f>U31/T31-1</f>
        <v>-0.19108663269638382</v>
      </c>
      <c r="V32" s="29">
        <f>V31/U31-1</f>
        <v>0.1360619589956642</v>
      </c>
      <c r="W32" s="28"/>
      <c r="X32" s="29"/>
      <c r="Y32" s="29"/>
      <c r="Z32" s="29"/>
      <c r="AA32" s="30"/>
      <c r="AF32" s="1" t="s">
        <v>938</v>
      </c>
      <c r="AG32" s="1" t="s">
        <v>938</v>
      </c>
      <c r="AH32" s="1" t="s">
        <v>938</v>
      </c>
      <c r="AI32" s="1" t="s">
        <v>938</v>
      </c>
    </row>
    <row r="33" spans="1:34" ht="12" customHeight="1">
      <c r="A33" s="31"/>
      <c r="B33" s="32"/>
      <c r="C33" s="32"/>
      <c r="D33" s="32"/>
      <c r="E33" s="32"/>
      <c r="F33" s="32"/>
      <c r="G33" s="32"/>
      <c r="H33" s="32"/>
      <c r="I33" s="32"/>
      <c r="J33" s="693"/>
      <c r="K33" s="32"/>
      <c r="L33" s="32"/>
      <c r="M33" s="32"/>
      <c r="N33" s="32"/>
      <c r="O33" s="32"/>
      <c r="P33" s="32"/>
      <c r="Q33" s="32"/>
      <c r="R33" s="32"/>
      <c r="S33" s="32"/>
      <c r="T33" s="32"/>
      <c r="U33" s="32"/>
      <c r="V33" s="32"/>
      <c r="W33" s="32"/>
      <c r="X33" s="32"/>
      <c r="Y33" s="32"/>
      <c r="Z33" s="32"/>
      <c r="AA33" s="32"/>
    </row>
    <row r="34" spans="1:34" ht="15.6" customHeight="1">
      <c r="A34" s="15" t="s">
        <v>345</v>
      </c>
      <c r="B34" s="15"/>
      <c r="C34" s="15"/>
      <c r="D34" s="15"/>
      <c r="E34" s="15"/>
      <c r="F34" s="15"/>
      <c r="G34" s="15"/>
      <c r="H34" s="15"/>
      <c r="I34" s="15"/>
      <c r="J34" s="685"/>
      <c r="K34" s="17"/>
      <c r="L34" s="17"/>
      <c r="M34" s="17"/>
      <c r="N34" s="17"/>
      <c r="O34" s="17"/>
      <c r="P34" s="17"/>
      <c r="Q34" s="17"/>
      <c r="R34" s="18"/>
      <c r="S34" s="18"/>
      <c r="T34" s="17"/>
      <c r="U34" s="17"/>
      <c r="V34" s="17"/>
      <c r="W34" s="17"/>
      <c r="X34" s="17"/>
      <c r="Y34" s="17"/>
      <c r="Z34" s="17"/>
      <c r="AA34" s="17"/>
    </row>
    <row r="35" spans="1:34" ht="12" customHeight="1">
      <c r="A35" s="15" t="s">
        <v>346</v>
      </c>
      <c r="B35" s="15"/>
      <c r="C35" s="15"/>
      <c r="D35" s="15"/>
      <c r="E35" s="15"/>
      <c r="F35" s="15"/>
      <c r="G35" s="15"/>
      <c r="H35" s="15"/>
      <c r="I35" s="15"/>
      <c r="J35" s="685"/>
      <c r="K35" s="17"/>
      <c r="L35" s="17"/>
      <c r="M35" s="17"/>
      <c r="N35" s="17"/>
      <c r="O35" s="17"/>
      <c r="P35" s="17"/>
      <c r="Q35" s="17"/>
      <c r="R35" s="17"/>
      <c r="S35" s="17"/>
      <c r="T35" s="17"/>
      <c r="U35" s="17"/>
      <c r="V35" s="17"/>
      <c r="W35" s="17"/>
      <c r="X35" s="17"/>
      <c r="Y35" s="17"/>
      <c r="Z35" s="17"/>
      <c r="AA35" s="17"/>
    </row>
    <row r="36" spans="1:34" ht="12" customHeight="1">
      <c r="A36" s="42" t="s">
        <v>347</v>
      </c>
      <c r="B36" s="21"/>
      <c r="C36" s="67">
        <v>930600.34893289395</v>
      </c>
      <c r="D36" s="22">
        <v>919625.31138188043</v>
      </c>
      <c r="E36" s="22">
        <v>858982.31546963041</v>
      </c>
      <c r="F36" s="22">
        <v>834238.24615940417</v>
      </c>
      <c r="G36" s="22">
        <v>845262.45849212434</v>
      </c>
      <c r="H36" s="22">
        <v>866705.2495430382</v>
      </c>
      <c r="I36" s="647">
        <v>873206.39616952243</v>
      </c>
      <c r="J36" s="906">
        <v>885874.09386866854</v>
      </c>
      <c r="K36" s="1124">
        <v>1001881.7629573552</v>
      </c>
      <c r="L36" s="1406">
        <v>1030657.867507395</v>
      </c>
      <c r="M36" s="1407">
        <v>990752.08791393205</v>
      </c>
      <c r="N36" s="112">
        <v>1061072.4819555974</v>
      </c>
      <c r="O36" s="113">
        <v>1068870.1920804067</v>
      </c>
      <c r="P36" s="113">
        <v>1056548.6501269818</v>
      </c>
      <c r="Q36" s="113">
        <v>1051481.8589995133</v>
      </c>
      <c r="R36" s="577">
        <v>1034518.7004832174</v>
      </c>
      <c r="S36" s="43"/>
      <c r="T36" s="1124">
        <v>866860.72054004832</v>
      </c>
      <c r="U36" s="22">
        <v>905825.61369604012</v>
      </c>
      <c r="V36" s="1114">
        <v>909553.50034511695</v>
      </c>
      <c r="W36" s="646"/>
      <c r="X36" s="647"/>
      <c r="Y36" s="647"/>
      <c r="Z36" s="647"/>
      <c r="AA36" s="648"/>
      <c r="AF36" s="1" t="s">
        <v>931</v>
      </c>
      <c r="AG36" s="1" t="s">
        <v>931</v>
      </c>
      <c r="AH36" s="1" t="s">
        <v>942</v>
      </c>
    </row>
    <row r="37" spans="1:34" ht="12" customHeight="1">
      <c r="A37" s="44" t="s">
        <v>348</v>
      </c>
      <c r="B37" s="21"/>
      <c r="C37" s="37">
        <v>41681.571504752705</v>
      </c>
      <c r="D37" s="5">
        <v>50556.324898349667</v>
      </c>
      <c r="E37" s="5">
        <v>71694.895182720546</v>
      </c>
      <c r="F37" s="5">
        <v>98160.82617805757</v>
      </c>
      <c r="G37" s="5">
        <v>91588.709851581327</v>
      </c>
      <c r="H37" s="5">
        <v>83411.336557579372</v>
      </c>
      <c r="I37" s="642">
        <v>90060.633659137544</v>
      </c>
      <c r="J37" s="907">
        <v>100906.19570759276</v>
      </c>
      <c r="K37" s="1125">
        <v>-71629.776822873624</v>
      </c>
      <c r="L37" s="701">
        <v>-50773.878665737808</v>
      </c>
      <c r="M37" s="1408">
        <v>62818.535457955906</v>
      </c>
      <c r="N37" s="5">
        <v>-222582.43547447654</v>
      </c>
      <c r="O37" s="5">
        <v>-217433.7859482863</v>
      </c>
      <c r="P37" s="5">
        <v>-242526.54145328165</v>
      </c>
      <c r="Q37" s="5">
        <v>-242118.93505755765</v>
      </c>
      <c r="R37" s="5">
        <v>-229521.72525112657</v>
      </c>
      <c r="S37" s="43"/>
      <c r="T37" s="1125">
        <v>-60892.512737082507</v>
      </c>
      <c r="U37" s="5">
        <f>U39-U36-U38</f>
        <v>-25610.968048413662</v>
      </c>
      <c r="V37" s="1113">
        <v>15690.816662014113</v>
      </c>
      <c r="W37" s="1140"/>
      <c r="X37" s="642"/>
      <c r="Y37" s="642"/>
      <c r="Z37" s="642"/>
      <c r="AA37" s="856"/>
      <c r="AF37" s="1" t="s">
        <v>931</v>
      </c>
      <c r="AG37" s="1" t="s">
        <v>931</v>
      </c>
      <c r="AH37" s="1" t="s">
        <v>944</v>
      </c>
    </row>
    <row r="38" spans="1:34" ht="12" customHeight="1">
      <c r="A38" s="44" t="s">
        <v>349</v>
      </c>
      <c r="B38" s="21"/>
      <c r="C38" s="37">
        <v>33017.984782509608</v>
      </c>
      <c r="D38" s="5">
        <v>37497.43373313854</v>
      </c>
      <c r="E38" s="5">
        <v>61438.903958662508</v>
      </c>
      <c r="F38" s="5">
        <v>35862.048843560631</v>
      </c>
      <c r="G38" s="5">
        <v>-39076.097796684648</v>
      </c>
      <c r="H38" s="5">
        <v>-107518.25142521536</v>
      </c>
      <c r="I38" s="642">
        <v>-132865.673564625</v>
      </c>
      <c r="J38" s="907">
        <v>-163753.35641653041</v>
      </c>
      <c r="K38" s="1125">
        <v>-59243.876670964601</v>
      </c>
      <c r="L38" s="701">
        <v>2728.9767214246281</v>
      </c>
      <c r="M38" s="1408">
        <v>8315.3324829405137</v>
      </c>
      <c r="N38" s="115">
        <v>777743.37543039292</v>
      </c>
      <c r="O38" s="116">
        <v>675380.13478053221</v>
      </c>
      <c r="P38" s="116">
        <v>605907.60722034413</v>
      </c>
      <c r="Q38" s="116">
        <v>546507.77907383465</v>
      </c>
      <c r="R38" s="578">
        <v>482072.36044548155</v>
      </c>
      <c r="S38" s="43"/>
      <c r="T38" s="1125">
        <v>127225.78795391619</v>
      </c>
      <c r="U38" s="5">
        <v>257431.03622899009</v>
      </c>
      <c r="V38" s="1113">
        <v>421643.90419992746</v>
      </c>
      <c r="W38" s="1140"/>
      <c r="X38" s="642"/>
      <c r="Y38" s="642"/>
      <c r="Z38" s="642"/>
      <c r="AA38" s="856"/>
      <c r="AF38" s="1" t="s">
        <v>931</v>
      </c>
      <c r="AG38" s="1" t="s">
        <v>931</v>
      </c>
      <c r="AH38" s="1" t="s">
        <v>943</v>
      </c>
    </row>
    <row r="39" spans="1:34" ht="12" customHeight="1">
      <c r="A39" s="45" t="s">
        <v>350</v>
      </c>
      <c r="B39" s="21"/>
      <c r="C39" s="147">
        <f>SUM(C36:C38)</f>
        <v>1005299.9052201563</v>
      </c>
      <c r="D39" s="148">
        <f t="shared" ref="D39:J39" si="20">SUM(D36:D38)</f>
        <v>1007679.0700133686</v>
      </c>
      <c r="E39" s="148">
        <f t="shared" si="20"/>
        <v>992116.11461101344</v>
      </c>
      <c r="F39" s="148">
        <f t="shared" si="20"/>
        <v>968261.12118102238</v>
      </c>
      <c r="G39" s="148">
        <f t="shared" si="20"/>
        <v>897775.07054702111</v>
      </c>
      <c r="H39" s="148">
        <f t="shared" si="20"/>
        <v>842598.33467540215</v>
      </c>
      <c r="I39" s="148">
        <f t="shared" si="20"/>
        <v>830401.35626403498</v>
      </c>
      <c r="J39" s="905">
        <f t="shared" si="20"/>
        <v>823026.93315973086</v>
      </c>
      <c r="K39" s="989">
        <f t="shared" ref="K39:M39" si="21">K16/K41</f>
        <v>871008.10946351697</v>
      </c>
      <c r="L39" s="1409">
        <f t="shared" si="21"/>
        <v>982612.96556308179</v>
      </c>
      <c r="M39" s="1410">
        <f t="shared" si="21"/>
        <v>1061885.9558548285</v>
      </c>
      <c r="N39" s="989">
        <v>1900804.5239604018</v>
      </c>
      <c r="O39" s="1409">
        <v>1780323.6507701492</v>
      </c>
      <c r="P39" s="1409">
        <v>1663538.9275103724</v>
      </c>
      <c r="Q39" s="1409">
        <v>1580613.4588070486</v>
      </c>
      <c r="R39" s="1410">
        <v>1498052.1398791831</v>
      </c>
      <c r="S39" s="43"/>
      <c r="T39" s="989">
        <f>T16/T41</f>
        <v>933193.99575688201</v>
      </c>
      <c r="U39" s="148">
        <f>U16/U41</f>
        <v>1137645.6818766166</v>
      </c>
      <c r="V39" s="148">
        <f>V16/V41</f>
        <v>1348419.5402298851</v>
      </c>
      <c r="W39" s="147"/>
      <c r="X39" s="148"/>
      <c r="Y39" s="148"/>
      <c r="Z39" s="148"/>
      <c r="AA39" s="149"/>
      <c r="AB39" s="1" t="s">
        <v>383</v>
      </c>
      <c r="AF39" s="1" t="s">
        <v>931</v>
      </c>
      <c r="AG39" s="1" t="s">
        <v>931</v>
      </c>
      <c r="AH39" s="1" t="s">
        <v>945</v>
      </c>
    </row>
    <row r="40" spans="1:34" ht="12" customHeight="1">
      <c r="A40" s="15" t="s">
        <v>351</v>
      </c>
      <c r="B40" s="15"/>
      <c r="C40" s="15"/>
      <c r="D40" s="15"/>
      <c r="E40" s="15"/>
      <c r="F40" s="15"/>
      <c r="G40" s="15"/>
      <c r="H40" s="15"/>
      <c r="I40" s="15"/>
      <c r="J40" s="685"/>
      <c r="K40" s="17"/>
      <c r="L40" s="17"/>
      <c r="M40" s="17"/>
      <c r="N40" s="17"/>
      <c r="O40" s="17"/>
      <c r="P40" s="17"/>
      <c r="Q40" s="17"/>
      <c r="R40" s="17"/>
      <c r="S40" s="51"/>
      <c r="T40" s="17"/>
      <c r="U40" s="51"/>
      <c r="V40" s="51"/>
      <c r="W40" s="16"/>
      <c r="X40" s="16"/>
      <c r="Y40" s="16"/>
      <c r="Z40" s="16"/>
      <c r="AA40" s="16"/>
    </row>
    <row r="41" spans="1:34" ht="12" customHeight="1">
      <c r="A41" s="52" t="s">
        <v>946</v>
      </c>
      <c r="B41" s="21"/>
      <c r="C41" s="121">
        <f t="shared" ref="C41:J41" si="22">C16/C39</f>
        <v>6.7799999999999985E-2</v>
      </c>
      <c r="D41" s="121">
        <f t="shared" si="22"/>
        <v>6.7599999999999993E-2</v>
      </c>
      <c r="E41" s="121">
        <f t="shared" si="22"/>
        <v>6.770000000000001E-2</v>
      </c>
      <c r="F41" s="121">
        <f t="shared" si="22"/>
        <v>5.8599999999999999E-2</v>
      </c>
      <c r="G41" s="121">
        <f t="shared" si="22"/>
        <v>5.8599999999999992E-2</v>
      </c>
      <c r="H41" s="121">
        <f t="shared" si="22"/>
        <v>5.8600000000000006E-2</v>
      </c>
      <c r="I41" s="121">
        <f t="shared" si="22"/>
        <v>5.8599999999999999E-2</v>
      </c>
      <c r="J41" s="795">
        <f t="shared" si="22"/>
        <v>5.8599999999999999E-2</v>
      </c>
      <c r="K41" s="1411">
        <v>3.4799999999999998E-2</v>
      </c>
      <c r="L41" s="1412">
        <v>3.4799999999999998E-2</v>
      </c>
      <c r="M41" s="1412">
        <v>3.4799999999999998E-2</v>
      </c>
      <c r="N41" s="1413">
        <v>3.1899999999999998E-2</v>
      </c>
      <c r="O41" s="1414">
        <v>3.1899999999999998E-2</v>
      </c>
      <c r="P41" s="1414">
        <v>3.1899999999999998E-2</v>
      </c>
      <c r="Q41" s="1414">
        <v>3.1899999999999998E-2</v>
      </c>
      <c r="R41" s="1415">
        <v>3.1899999999999998E-2</v>
      </c>
      <c r="S41" s="53"/>
      <c r="T41" s="853">
        <v>3.4799999999999998E-2</v>
      </c>
      <c r="U41" s="121">
        <v>3.4799999999999998E-2</v>
      </c>
      <c r="V41" s="121">
        <v>3.4799999999999998E-2</v>
      </c>
      <c r="W41" s="1103"/>
      <c r="X41" s="54"/>
      <c r="Y41" s="54"/>
      <c r="Z41" s="54"/>
      <c r="AA41" s="55"/>
      <c r="AF41" s="1" t="s">
        <v>931</v>
      </c>
      <c r="AG41" s="1" t="s">
        <v>931</v>
      </c>
      <c r="AH41" s="1" t="s">
        <v>947</v>
      </c>
    </row>
    <row r="42" spans="1:34" ht="12" customHeight="1">
      <c r="A42" s="56" t="s">
        <v>353</v>
      </c>
      <c r="B42" s="21"/>
      <c r="C42" s="118">
        <v>0.1154</v>
      </c>
      <c r="D42" s="117">
        <v>0.1154</v>
      </c>
      <c r="E42" s="117">
        <v>0.1154</v>
      </c>
      <c r="F42" s="117">
        <v>0.109</v>
      </c>
      <c r="G42" s="117">
        <v>0.109</v>
      </c>
      <c r="H42" s="117">
        <v>0.109</v>
      </c>
      <c r="I42" s="653">
        <v>0.109</v>
      </c>
      <c r="J42" s="796">
        <v>0.109</v>
      </c>
      <c r="K42" s="1007">
        <v>4.4929999999999998E-2</v>
      </c>
      <c r="L42" s="144">
        <v>4.4929999999999998E-2</v>
      </c>
      <c r="M42" s="144">
        <v>4.4929999999999998E-2</v>
      </c>
      <c r="N42" s="144">
        <v>5.3100000000000001E-2</v>
      </c>
      <c r="O42" s="144">
        <v>5.3100000000000001E-2</v>
      </c>
      <c r="P42" s="144">
        <v>5.3100000000000001E-2</v>
      </c>
      <c r="Q42" s="144">
        <v>5.3100000000000001E-2</v>
      </c>
      <c r="R42" s="144">
        <v>5.3100000000000001E-2</v>
      </c>
      <c r="S42" s="53"/>
      <c r="T42" s="1007">
        <f>K42</f>
        <v>4.4929999999999998E-2</v>
      </c>
      <c r="U42" s="117">
        <f>L42</f>
        <v>4.4929999999999998E-2</v>
      </c>
      <c r="V42" s="1115">
        <f>M42</f>
        <v>4.4929999999999998E-2</v>
      </c>
      <c r="W42" s="1104"/>
      <c r="X42" s="57"/>
      <c r="Y42" s="57"/>
      <c r="Z42" s="57"/>
      <c r="AA42" s="58"/>
      <c r="AF42" s="1" t="s">
        <v>931</v>
      </c>
      <c r="AG42" s="1" t="s">
        <v>931</v>
      </c>
      <c r="AH42" s="1" t="s">
        <v>948</v>
      </c>
    </row>
    <row r="43" spans="1:34" ht="12" customHeight="1">
      <c r="A43" s="56" t="s">
        <v>354</v>
      </c>
      <c r="B43" s="21"/>
      <c r="C43" s="118">
        <v>3.5799999999999998E-2</v>
      </c>
      <c r="D43" s="117">
        <v>3.5799999999999998E-2</v>
      </c>
      <c r="E43" s="117">
        <v>3.5799999999999998E-2</v>
      </c>
      <c r="F43" s="117">
        <v>2.5000000000000001E-2</v>
      </c>
      <c r="G43" s="117">
        <v>2.5000000000000001E-2</v>
      </c>
      <c r="H43" s="117">
        <v>2.5000000000000001E-2</v>
      </c>
      <c r="I43" s="653">
        <v>2.5000000000000001E-2</v>
      </c>
      <c r="J43" s="796">
        <v>2.5000000000000001E-2</v>
      </c>
      <c r="K43" s="1007">
        <v>1.1173000000000002E-2</v>
      </c>
      <c r="L43" s="144">
        <v>1.1173000000000002E-2</v>
      </c>
      <c r="M43" s="144">
        <v>1.1173000000000002E-2</v>
      </c>
      <c r="N43" s="1007">
        <v>-1.0500000000000001E-2</v>
      </c>
      <c r="O43" s="144">
        <v>-1.0500000000000001E-2</v>
      </c>
      <c r="P43" s="144">
        <v>-1.0500000000000001E-2</v>
      </c>
      <c r="Q43" s="144">
        <v>-1.0500000000000001E-2</v>
      </c>
      <c r="R43" s="1443">
        <v>-1.0500000000000001E-2</v>
      </c>
      <c r="S43" s="53"/>
      <c r="T43" s="1007">
        <v>1.1173000000000002E-2</v>
      </c>
      <c r="U43" s="117">
        <v>1.1173000000000002E-2</v>
      </c>
      <c r="V43" s="1115">
        <v>1.1173000000000002E-2</v>
      </c>
      <c r="W43" s="1104"/>
      <c r="X43" s="57"/>
      <c r="Y43" s="57"/>
      <c r="Z43" s="57"/>
      <c r="AA43" s="58"/>
      <c r="AF43" s="1" t="s">
        <v>931</v>
      </c>
      <c r="AG43" s="1" t="s">
        <v>931</v>
      </c>
      <c r="AH43" s="1" t="s">
        <v>948</v>
      </c>
    </row>
    <row r="44" spans="1:34" ht="12" customHeight="1">
      <c r="A44" s="137" t="s">
        <v>355</v>
      </c>
      <c r="B44" s="21"/>
      <c r="C44" s="120">
        <v>0.40200000000000002</v>
      </c>
      <c r="D44" s="119">
        <v>0.39949999999999997</v>
      </c>
      <c r="E44" s="119">
        <v>0.40080000000000005</v>
      </c>
      <c r="F44" s="119">
        <v>0.4</v>
      </c>
      <c r="G44" s="119">
        <v>0.4</v>
      </c>
      <c r="H44" s="119">
        <v>0.4</v>
      </c>
      <c r="I44" s="655">
        <v>0.4</v>
      </c>
      <c r="J44" s="797">
        <v>0.4</v>
      </c>
      <c r="K44" s="1126">
        <v>0.7</v>
      </c>
      <c r="L44" s="1416">
        <v>0.7</v>
      </c>
      <c r="M44" s="1416">
        <v>0.7</v>
      </c>
      <c r="N44" s="1126">
        <v>0.66</v>
      </c>
      <c r="O44" s="1416">
        <v>0.66</v>
      </c>
      <c r="P44" s="1416">
        <v>0.66</v>
      </c>
      <c r="Q44" s="1416">
        <v>0.66</v>
      </c>
      <c r="R44" s="1444">
        <v>0.66</v>
      </c>
      <c r="S44" s="59"/>
      <c r="T44" s="1126">
        <v>0.7</v>
      </c>
      <c r="U44" s="119">
        <v>0.7</v>
      </c>
      <c r="V44" s="1116">
        <v>0.7</v>
      </c>
      <c r="W44" s="103"/>
      <c r="X44" s="61"/>
      <c r="Y44" s="61"/>
      <c r="Z44" s="61"/>
      <c r="AA44" s="62"/>
      <c r="AF44" s="1" t="s">
        <v>931</v>
      </c>
      <c r="AG44" s="1" t="s">
        <v>931</v>
      </c>
      <c r="AH44" s="1" t="s">
        <v>948</v>
      </c>
    </row>
    <row r="45" spans="1:34" ht="5.7" customHeight="1">
      <c r="A45" s="17"/>
      <c r="K45" s="144"/>
      <c r="L45" s="144"/>
      <c r="M45" s="144"/>
      <c r="N45" s="144"/>
      <c r="O45" s="144"/>
      <c r="P45" s="144"/>
      <c r="Q45" s="144"/>
      <c r="R45" s="144"/>
      <c r="S45" s="59"/>
      <c r="T45" s="144"/>
      <c r="U45" s="144"/>
      <c r="V45" s="144"/>
      <c r="W45" s="145"/>
      <c r="X45" s="145"/>
      <c r="Y45" s="145"/>
      <c r="Z45" s="145"/>
      <c r="AA45" s="145"/>
    </row>
    <row r="46" spans="1:34" s="604" customFormat="1" ht="12" customHeight="1">
      <c r="A46" s="71" t="s">
        <v>356</v>
      </c>
      <c r="B46" s="2"/>
      <c r="C46" s="657"/>
      <c r="D46" s="2"/>
      <c r="E46" s="2"/>
      <c r="F46" s="2"/>
      <c r="G46" s="2"/>
      <c r="H46" s="2"/>
      <c r="I46" s="2"/>
      <c r="J46" s="638"/>
      <c r="K46" s="27"/>
      <c r="L46" s="27"/>
      <c r="M46" s="27"/>
      <c r="N46" s="1355"/>
      <c r="O46" s="1355"/>
      <c r="P46" s="1355"/>
      <c r="Q46" s="1355"/>
      <c r="R46" s="1355"/>
      <c r="S46" s="603"/>
      <c r="T46" s="27"/>
      <c r="U46" s="27"/>
      <c r="V46" s="27"/>
      <c r="W46" s="603"/>
      <c r="X46" s="603"/>
      <c r="Y46" s="603"/>
      <c r="Z46" s="603"/>
      <c r="AA46" s="603"/>
      <c r="AB46" s="1"/>
    </row>
    <row r="47" spans="1:34" s="604" customFormat="1" ht="12" customHeight="1">
      <c r="A47" s="126" t="s">
        <v>357</v>
      </c>
      <c r="B47" s="123"/>
      <c r="C47" s="798"/>
      <c r="D47" s="658"/>
      <c r="E47" s="658"/>
      <c r="F47" s="128">
        <v>8958</v>
      </c>
      <c r="G47" s="128">
        <v>10651.470209999999</v>
      </c>
      <c r="H47" s="128">
        <v>11884.69994</v>
      </c>
      <c r="I47" s="909">
        <v>7436.3770000000004</v>
      </c>
      <c r="J47" s="812">
        <v>4629.0448500000002</v>
      </c>
      <c r="K47" s="1001">
        <v>5008.7809000000007</v>
      </c>
      <c r="L47" s="128">
        <v>5497.9521600000007</v>
      </c>
      <c r="M47" s="128">
        <v>5518.6840499999989</v>
      </c>
      <c r="N47" s="1498">
        <v>4958.0981340496774</v>
      </c>
      <c r="O47" s="1498">
        <v>4890.7329313906903</v>
      </c>
      <c r="P47" s="1498">
        <v>5181.6725087825516</v>
      </c>
      <c r="Q47" s="1498">
        <v>5371.6550303160802</v>
      </c>
      <c r="R47" s="1499">
        <v>5506.6520925308614</v>
      </c>
      <c r="S47" s="218"/>
      <c r="T47" s="1127">
        <v>3015.2216100000001</v>
      </c>
      <c r="U47" s="128">
        <v>2967.009779999999</v>
      </c>
      <c r="V47" s="1117">
        <v>4786.7592700000005</v>
      </c>
      <c r="W47" s="1142"/>
      <c r="X47" s="607"/>
      <c r="Y47" s="607"/>
      <c r="Z47" s="607"/>
      <c r="AA47" s="608"/>
      <c r="AB47" s="1"/>
      <c r="AF47" s="1" t="s">
        <v>931</v>
      </c>
      <c r="AG47" s="1" t="s">
        <v>931</v>
      </c>
      <c r="AH47" s="1" t="s">
        <v>949</v>
      </c>
    </row>
    <row r="48" spans="1:34" ht="5.7" customHeight="1">
      <c r="A48" s="17"/>
      <c r="K48" s="144"/>
      <c r="L48" s="144"/>
      <c r="M48" s="144"/>
      <c r="N48" s="144"/>
      <c r="O48" s="144"/>
      <c r="P48" s="144"/>
      <c r="Q48" s="144"/>
      <c r="R48" s="144"/>
      <c r="S48" s="59"/>
      <c r="T48" s="144"/>
      <c r="U48" s="1327"/>
      <c r="V48" s="1327"/>
      <c r="W48" s="145"/>
      <c r="X48" s="145"/>
      <c r="Y48" s="145"/>
      <c r="Z48" s="145"/>
      <c r="AA48" s="145"/>
    </row>
    <row r="49" spans="1:34" s="613" customFormat="1" ht="12" customHeight="1">
      <c r="A49" s="71" t="s">
        <v>358</v>
      </c>
      <c r="B49" s="2"/>
      <c r="C49" s="2"/>
      <c r="D49" s="2"/>
      <c r="E49" s="2"/>
      <c r="F49" s="2"/>
      <c r="G49" s="2"/>
      <c r="H49" s="2"/>
      <c r="I49" s="2"/>
      <c r="J49" s="638"/>
      <c r="K49" s="27"/>
      <c r="L49" s="27"/>
      <c r="M49" s="27"/>
      <c r="N49" s="27"/>
      <c r="O49" s="27"/>
      <c r="P49" s="27"/>
      <c r="Q49" s="27"/>
      <c r="R49" s="27"/>
      <c r="S49" s="603"/>
      <c r="T49" s="27"/>
      <c r="U49" s="27"/>
      <c r="V49" s="27"/>
      <c r="W49" s="603"/>
      <c r="X49" s="603"/>
      <c r="Y49" s="603"/>
      <c r="Z49" s="603"/>
      <c r="AA49" s="603"/>
      <c r="AB49" s="1"/>
    </row>
    <row r="50" spans="1:34" ht="12" customHeight="1">
      <c r="A50" s="42" t="s">
        <v>359</v>
      </c>
      <c r="B50" s="21"/>
      <c r="C50" s="659"/>
      <c r="D50" s="659"/>
      <c r="E50" s="659"/>
      <c r="F50" s="659"/>
      <c r="G50" s="659"/>
      <c r="H50" s="659"/>
      <c r="I50" s="659"/>
      <c r="J50" s="723"/>
      <c r="K50" s="1417">
        <v>170372.82190614694</v>
      </c>
      <c r="L50" s="1418">
        <v>142455.77851836776</v>
      </c>
      <c r="M50" s="1418">
        <v>127877.64901803236</v>
      </c>
      <c r="N50" s="1417">
        <f t="shared" ref="N50:R51" si="23" xml:space="preserve"> N15</f>
        <v>133277.91121939773</v>
      </c>
      <c r="O50" s="1418">
        <f t="shared" si="23"/>
        <v>144272.76088655071</v>
      </c>
      <c r="P50" s="1418">
        <f t="shared" si="23"/>
        <v>132011.23597452333</v>
      </c>
      <c r="Q50" s="1418">
        <f t="shared" si="23"/>
        <v>133863.7612123123</v>
      </c>
      <c r="R50" s="34">
        <f t="shared" si="23"/>
        <v>134632.28290931464</v>
      </c>
      <c r="S50" s="43"/>
      <c r="T50" s="1102">
        <v>170677.0157604987</v>
      </c>
      <c r="U50" s="33">
        <f>U15</f>
        <v>142628.60228247431</v>
      </c>
      <c r="V50" s="1328">
        <f>V15</f>
        <v>139840.16449190769</v>
      </c>
      <c r="W50" s="1102"/>
      <c r="X50" s="33"/>
      <c r="Y50" s="33"/>
      <c r="Z50" s="33"/>
      <c r="AA50" s="34"/>
      <c r="AF50" s="1" t="s">
        <v>931</v>
      </c>
      <c r="AG50" s="1" t="s">
        <v>931</v>
      </c>
      <c r="AH50" s="1" t="s">
        <v>950</v>
      </c>
    </row>
    <row r="51" spans="1:34" ht="12" customHeight="1">
      <c r="A51" s="44" t="s">
        <v>360</v>
      </c>
      <c r="B51" s="21"/>
      <c r="C51" s="660"/>
      <c r="D51" s="660"/>
      <c r="E51" s="660"/>
      <c r="F51" s="660"/>
      <c r="G51" s="660"/>
      <c r="H51" s="660"/>
      <c r="I51" s="660"/>
      <c r="J51" s="724"/>
      <c r="K51" s="1419">
        <v>30311.082209330387</v>
      </c>
      <c r="L51" s="27">
        <v>34194.931201595246</v>
      </c>
      <c r="M51" s="27">
        <v>36953.63126374803</v>
      </c>
      <c r="N51" s="1419">
        <f t="shared" si="23"/>
        <v>57804.142527885037</v>
      </c>
      <c r="O51" s="27">
        <f t="shared" si="23"/>
        <v>54545.132151302802</v>
      </c>
      <c r="P51" s="27">
        <f t="shared" si="23"/>
        <v>51447.516596086207</v>
      </c>
      <c r="Q51" s="27">
        <f t="shared" si="23"/>
        <v>48968.444138593295</v>
      </c>
      <c r="R51" s="36">
        <f t="shared" si="23"/>
        <v>46496.530218301566</v>
      </c>
      <c r="S51" s="43"/>
      <c r="T51" s="1101">
        <v>32475.15105233949</v>
      </c>
      <c r="U51" s="35">
        <f>U16</f>
        <v>39590.069729306255</v>
      </c>
      <c r="V51" s="1329">
        <f>V16</f>
        <v>46925</v>
      </c>
      <c r="W51" s="1101"/>
      <c r="X51" s="35"/>
      <c r="Y51" s="35"/>
      <c r="Z51" s="35"/>
      <c r="AA51" s="36"/>
      <c r="AF51" s="1" t="s">
        <v>931</v>
      </c>
      <c r="AG51" s="1" t="s">
        <v>931</v>
      </c>
      <c r="AH51" s="1" t="s">
        <v>950</v>
      </c>
    </row>
    <row r="52" spans="1:34" ht="12" customHeight="1">
      <c r="A52" s="137" t="s">
        <v>361</v>
      </c>
      <c r="B52" s="21"/>
      <c r="C52" s="598"/>
      <c r="D52" s="598"/>
      <c r="E52" s="598"/>
      <c r="F52" s="598"/>
      <c r="G52" s="598"/>
      <c r="H52" s="598"/>
      <c r="I52" s="598"/>
      <c r="J52" s="725"/>
      <c r="K52" s="1128">
        <v>5535.0826435169929</v>
      </c>
      <c r="L52" s="1420">
        <v>5572.8627877568151</v>
      </c>
      <c r="M52" s="1420">
        <v>5503.031456065165</v>
      </c>
      <c r="N52" s="1128">
        <v>7581.7611693806084</v>
      </c>
      <c r="O52" s="1420">
        <v>6714.0616984297449</v>
      </c>
      <c r="P52" s="1420">
        <v>6647.8375347103047</v>
      </c>
      <c r="Q52" s="1420">
        <v>6664.2480647962147</v>
      </c>
      <c r="R52" s="50">
        <v>6751.4386926603429</v>
      </c>
      <c r="S52" s="59"/>
      <c r="T52" s="1128">
        <v>5504.6754100000007</v>
      </c>
      <c r="U52" s="1445">
        <v>5218.6033700000007</v>
      </c>
      <c r="V52" s="1330">
        <f>'[6]Calcs - CRCO'!$I$167*1000</f>
        <v>5671.9721</v>
      </c>
      <c r="W52" s="103"/>
      <c r="X52" s="61"/>
      <c r="Y52" s="61"/>
      <c r="Z52" s="61"/>
      <c r="AA52" s="62"/>
      <c r="AF52" s="1" t="s">
        <v>931</v>
      </c>
      <c r="AG52" s="1" t="s">
        <v>931</v>
      </c>
      <c r="AH52" s="1" t="s">
        <v>951</v>
      </c>
    </row>
    <row r="53" spans="1:34" ht="5.7" customHeight="1">
      <c r="A53" s="17"/>
      <c r="K53" s="144"/>
      <c r="L53" s="144"/>
      <c r="M53" s="144"/>
      <c r="N53" s="144"/>
      <c r="O53" s="144"/>
      <c r="P53" s="144"/>
      <c r="Q53" s="144"/>
      <c r="R53" s="144"/>
      <c r="S53" s="59"/>
      <c r="T53" s="144"/>
      <c r="U53" s="144"/>
      <c r="V53" s="144"/>
      <c r="W53" s="145"/>
      <c r="X53" s="145"/>
      <c r="Y53" s="145"/>
      <c r="Z53" s="145"/>
      <c r="AA53" s="145"/>
      <c r="AF53" s="1" t="s">
        <v>931</v>
      </c>
      <c r="AG53" s="1" t="s">
        <v>931</v>
      </c>
    </row>
    <row r="54" spans="1:34" s="613" customFormat="1" ht="12" customHeight="1">
      <c r="A54" s="71" t="s">
        <v>362</v>
      </c>
      <c r="B54" s="2"/>
      <c r="C54" s="2"/>
      <c r="D54" s="2"/>
      <c r="E54" s="2"/>
      <c r="F54" s="2"/>
      <c r="G54" s="2"/>
      <c r="H54" s="2"/>
      <c r="I54" s="2"/>
      <c r="J54" s="638"/>
      <c r="K54" s="27"/>
      <c r="L54" s="27"/>
      <c r="M54" s="27"/>
      <c r="N54" s="27"/>
      <c r="O54" s="27"/>
      <c r="P54" s="27"/>
      <c r="Q54" s="27"/>
      <c r="R54" s="27"/>
      <c r="S54" s="603"/>
      <c r="T54" s="27"/>
      <c r="U54" s="27"/>
      <c r="V54" s="27"/>
      <c r="W54" s="603"/>
      <c r="X54" s="603"/>
      <c r="Y54" s="603"/>
      <c r="Z54" s="603"/>
      <c r="AA54" s="603"/>
      <c r="AB54" s="1"/>
    </row>
    <row r="55" spans="1:34" s="613" customFormat="1" ht="12" customHeight="1">
      <c r="A55" s="122" t="s">
        <v>363</v>
      </c>
      <c r="B55" s="123"/>
      <c r="C55" s="662"/>
      <c r="D55" s="663"/>
      <c r="E55" s="663"/>
      <c r="F55" s="663"/>
      <c r="G55" s="663"/>
      <c r="H55" s="663"/>
      <c r="I55" s="664"/>
      <c r="J55" s="726"/>
      <c r="K55" s="662"/>
      <c r="L55" s="663"/>
      <c r="M55" s="663"/>
      <c r="N55" s="663"/>
      <c r="O55" s="663"/>
      <c r="P55" s="663"/>
      <c r="Q55" s="663"/>
      <c r="R55" s="1093"/>
      <c r="S55" s="617"/>
      <c r="T55" s="662"/>
      <c r="U55" s="663"/>
      <c r="V55" s="663"/>
      <c r="W55" s="1143"/>
      <c r="X55" s="665"/>
      <c r="Y55" s="665"/>
      <c r="Z55" s="665"/>
      <c r="AA55" s="666"/>
    </row>
    <row r="56" spans="1:34" ht="12" customHeight="1">
      <c r="A56" s="44" t="s">
        <v>364</v>
      </c>
      <c r="B56" s="21"/>
      <c r="C56" s="667"/>
      <c r="D56" s="660"/>
      <c r="E56" s="660"/>
      <c r="F56" s="660"/>
      <c r="G56" s="660"/>
      <c r="H56" s="660"/>
      <c r="I56" s="660"/>
      <c r="J56" s="727"/>
      <c r="K56" s="667"/>
      <c r="L56" s="660"/>
      <c r="M56" s="660"/>
      <c r="N56" s="660"/>
      <c r="O56" s="660"/>
      <c r="P56" s="660"/>
      <c r="Q56" s="660"/>
      <c r="R56" s="668"/>
      <c r="S56" s="43"/>
      <c r="T56" s="667"/>
      <c r="U56" s="660"/>
      <c r="V56" s="660"/>
      <c r="W56" s="1100"/>
      <c r="X56" s="669"/>
      <c r="Y56" s="669"/>
      <c r="Z56" s="669"/>
      <c r="AA56" s="670"/>
    </row>
    <row r="57" spans="1:34" ht="12" customHeight="1">
      <c r="A57" s="137" t="s">
        <v>365</v>
      </c>
      <c r="B57" s="21"/>
      <c r="C57" s="597"/>
      <c r="D57" s="598"/>
      <c r="E57" s="598"/>
      <c r="F57" s="598"/>
      <c r="G57" s="598"/>
      <c r="H57" s="598"/>
      <c r="I57" s="598"/>
      <c r="J57" s="728"/>
      <c r="K57" s="597"/>
      <c r="L57" s="598"/>
      <c r="M57" s="598"/>
      <c r="N57" s="598"/>
      <c r="O57" s="598"/>
      <c r="P57" s="598"/>
      <c r="Q57" s="598"/>
      <c r="R57" s="599"/>
      <c r="S57" s="59"/>
      <c r="T57" s="597"/>
      <c r="U57" s="598"/>
      <c r="V57" s="598"/>
      <c r="W57" s="1144"/>
      <c r="X57" s="601"/>
      <c r="Y57" s="601"/>
      <c r="Z57" s="601"/>
      <c r="AA57" s="602"/>
    </row>
    <row r="58" spans="1:34" ht="12" customHeight="1">
      <c r="A58" s="138"/>
      <c r="B58" s="139"/>
      <c r="C58" s="139"/>
      <c r="D58" s="139"/>
      <c r="E58" s="139"/>
      <c r="F58" s="139"/>
      <c r="G58" s="139"/>
      <c r="H58" s="139"/>
      <c r="I58" s="139"/>
      <c r="J58" s="729"/>
      <c r="K58" s="140"/>
      <c r="L58" s="140"/>
      <c r="M58" s="140"/>
      <c r="N58" s="140"/>
      <c r="O58" s="140"/>
      <c r="P58" s="140"/>
      <c r="Q58" s="140"/>
      <c r="R58" s="140"/>
      <c r="S58" s="671"/>
      <c r="T58" s="140"/>
      <c r="U58" s="140"/>
      <c r="V58" s="140"/>
      <c r="W58" s="624"/>
      <c r="X58" s="624"/>
      <c r="Y58" s="624"/>
      <c r="Z58" s="624"/>
      <c r="AA58" s="624"/>
    </row>
    <row r="59" spans="1:34" ht="15.6" customHeight="1">
      <c r="A59" s="15" t="s">
        <v>366</v>
      </c>
      <c r="B59" s="15"/>
      <c r="C59" s="15"/>
      <c r="D59" s="15"/>
      <c r="E59" s="15"/>
      <c r="F59" s="15"/>
      <c r="G59" s="15"/>
      <c r="H59" s="15"/>
      <c r="I59" s="15"/>
      <c r="J59" s="685"/>
      <c r="K59" s="17"/>
      <c r="L59" s="17"/>
      <c r="M59" s="17"/>
      <c r="N59" s="17"/>
      <c r="O59" s="17"/>
      <c r="P59" s="17"/>
      <c r="Q59" s="17"/>
      <c r="R59" s="18"/>
      <c r="S59" s="18"/>
      <c r="T59" s="17"/>
      <c r="U59" s="17"/>
      <c r="V59" s="17"/>
      <c r="W59" s="19"/>
      <c r="X59" s="19"/>
      <c r="Y59" s="19"/>
      <c r="Z59" s="19"/>
      <c r="AA59" s="19"/>
    </row>
    <row r="60" spans="1:34" ht="12" customHeight="1">
      <c r="A60" s="66" t="s">
        <v>367</v>
      </c>
      <c r="B60" s="21"/>
      <c r="C60" s="67"/>
      <c r="D60" s="22"/>
      <c r="E60" s="22"/>
      <c r="F60" s="22"/>
      <c r="G60" s="22"/>
      <c r="H60" s="22"/>
      <c r="I60" s="647"/>
      <c r="J60" s="718"/>
      <c r="K60" s="67"/>
      <c r="L60" s="22"/>
      <c r="M60" s="23"/>
      <c r="N60" s="157"/>
      <c r="O60" s="22"/>
      <c r="P60" s="22"/>
      <c r="Q60" s="22"/>
      <c r="R60" s="23"/>
      <c r="S60" s="26"/>
      <c r="T60" s="67"/>
      <c r="U60" s="647"/>
      <c r="V60" s="647"/>
      <c r="W60" s="33"/>
      <c r="X60" s="33"/>
      <c r="Y60" s="33"/>
      <c r="Z60" s="33"/>
      <c r="AA60" s="34"/>
      <c r="AF60" s="1" t="s">
        <v>931</v>
      </c>
      <c r="AG60" s="1" t="s">
        <v>931</v>
      </c>
      <c r="AH60" s="1" t="s">
        <v>954</v>
      </c>
    </row>
    <row r="61" spans="1:34" s="143" customFormat="1" ht="12" customHeight="1">
      <c r="A61" s="146" t="s">
        <v>957</v>
      </c>
      <c r="B61" s="7"/>
      <c r="C61" s="147">
        <f t="shared" ref="C61:O61" si="24">C18-C60</f>
        <v>572692.66545497626</v>
      </c>
      <c r="D61" s="148">
        <f t="shared" si="24"/>
        <v>635977.52671386418</v>
      </c>
      <c r="E61" s="148">
        <f t="shared" si="24"/>
        <v>583336.31757030333</v>
      </c>
      <c r="F61" s="148">
        <f t="shared" si="24"/>
        <v>573075.10170120792</v>
      </c>
      <c r="G61" s="148">
        <f t="shared" si="24"/>
        <v>577164.61819707043</v>
      </c>
      <c r="H61" s="148">
        <f t="shared" si="24"/>
        <v>567866.7639570391</v>
      </c>
      <c r="I61" s="148">
        <f t="shared" si="24"/>
        <v>602995.23376340931</v>
      </c>
      <c r="J61" s="707">
        <f t="shared" si="24"/>
        <v>619030.27283228538</v>
      </c>
      <c r="K61" s="147">
        <f>K18-K60</f>
        <v>689955.37778031058</v>
      </c>
      <c r="L61" s="148">
        <f>L18-L60</f>
        <v>674270.83242374472</v>
      </c>
      <c r="M61" s="149">
        <f>M18-M60</f>
        <v>688739.42261568108</v>
      </c>
      <c r="N61" s="1173">
        <f t="shared" si="24"/>
        <v>758911.57684834499</v>
      </c>
      <c r="O61" s="148">
        <f t="shared" si="24"/>
        <v>770018.79954953259</v>
      </c>
      <c r="P61" s="148">
        <f t="shared" ref="P61:R61" si="25">P18-P60</f>
        <v>696737.90630166326</v>
      </c>
      <c r="Q61" s="148">
        <f t="shared" si="25"/>
        <v>720194.95390332956</v>
      </c>
      <c r="R61" s="149">
        <f t="shared" si="25"/>
        <v>729122.11112990498</v>
      </c>
      <c r="S61" s="68"/>
      <c r="T61" s="147">
        <f>T18-T60</f>
        <v>681321.6748757204</v>
      </c>
      <c r="U61" s="148">
        <f>U18-U60</f>
        <v>551130.21024065849</v>
      </c>
      <c r="V61" s="148">
        <f>V18-V60</f>
        <v>626180.16449190769</v>
      </c>
      <c r="W61" s="69"/>
      <c r="X61" s="69"/>
      <c r="Y61" s="69"/>
      <c r="Z61" s="69"/>
      <c r="AA61" s="70"/>
      <c r="AF61" s="1" t="s">
        <v>931</v>
      </c>
      <c r="AG61" s="1" t="s">
        <v>931</v>
      </c>
      <c r="AH61" s="1" t="s">
        <v>955</v>
      </c>
    </row>
    <row r="62" spans="1:34" s="77" customFormat="1" ht="12" customHeight="1">
      <c r="A62" s="17"/>
      <c r="B62" s="2"/>
      <c r="C62" s="2"/>
      <c r="D62" s="2"/>
      <c r="E62" s="2"/>
      <c r="F62" s="2"/>
      <c r="G62" s="2"/>
      <c r="H62" s="2"/>
      <c r="I62" s="2"/>
      <c r="J62" s="638"/>
      <c r="K62" s="65"/>
      <c r="L62" s="65"/>
      <c r="M62" s="65"/>
      <c r="N62" s="65"/>
      <c r="O62" s="65"/>
      <c r="P62" s="65"/>
      <c r="Q62" s="65"/>
      <c r="R62" s="65"/>
      <c r="S62" s="64"/>
      <c r="T62" s="65"/>
      <c r="U62" s="65"/>
      <c r="V62" s="65"/>
      <c r="W62" s="63"/>
      <c r="X62" s="63"/>
      <c r="Y62" s="63"/>
      <c r="Z62" s="63"/>
      <c r="AA62" s="63"/>
    </row>
    <row r="63" spans="1:34" ht="15.6" customHeight="1">
      <c r="A63" s="15" t="s">
        <v>369</v>
      </c>
      <c r="B63" s="15"/>
      <c r="C63" s="15"/>
      <c r="D63" s="15"/>
      <c r="E63" s="15"/>
      <c r="F63" s="15"/>
      <c r="G63" s="15"/>
      <c r="H63" s="15"/>
      <c r="I63" s="15"/>
      <c r="J63" s="685"/>
      <c r="K63" s="17"/>
      <c r="L63" s="17"/>
      <c r="M63" s="17"/>
      <c r="N63" s="17"/>
      <c r="O63" s="17"/>
      <c r="P63" s="17"/>
      <c r="Q63" s="17"/>
      <c r="R63" s="18"/>
      <c r="S63" s="18"/>
      <c r="T63" s="17"/>
      <c r="U63" s="17"/>
      <c r="V63" s="17"/>
      <c r="W63" s="19"/>
      <c r="X63" s="19"/>
      <c r="Y63" s="19"/>
      <c r="Z63" s="19"/>
      <c r="AA63" s="19"/>
    </row>
    <row r="64" spans="1:34" s="90" customFormat="1" ht="12" customHeight="1">
      <c r="A64" s="42" t="s">
        <v>370</v>
      </c>
      <c r="B64" s="2"/>
      <c r="C64" s="72">
        <f>'T1'!C64</f>
        <v>2.8000000000000001E-2</v>
      </c>
      <c r="D64" s="73">
        <f>'T1'!D64</f>
        <v>2.5999999999999999E-2</v>
      </c>
      <c r="E64" s="73">
        <f>'T1'!E64</f>
        <v>1.4999999999999999E-2</v>
      </c>
      <c r="F64" s="73">
        <f>'T1'!F64</f>
        <v>0</v>
      </c>
      <c r="G64" s="73">
        <f>'T1'!G64</f>
        <v>7.0000000000000001E-3</v>
      </c>
      <c r="H64" s="73">
        <f>'T1'!H64</f>
        <v>2.7E-2</v>
      </c>
      <c r="I64" s="73">
        <f>'T1'!I64</f>
        <v>2.5000000000000001E-2</v>
      </c>
      <c r="J64" s="730">
        <f>'T1'!J64</f>
        <v>1.7999999999999999E-2</v>
      </c>
      <c r="K64" s="72">
        <f>'T1'!K64</f>
        <v>0.02</v>
      </c>
      <c r="L64" s="73">
        <f>'T1'!L64</f>
        <v>0.02</v>
      </c>
      <c r="M64" s="74">
        <f>'T1'!M64</f>
        <v>0.02</v>
      </c>
      <c r="N64" s="1174">
        <f>'T1'!N64</f>
        <v>6.1359439712091124E-2</v>
      </c>
      <c r="O64" s="73">
        <f>'T1'!O64</f>
        <v>8.5674714548986675E-3</v>
      </c>
      <c r="P64" s="73">
        <f>'T1'!P64</f>
        <v>1.1558271762361905E-3</v>
      </c>
      <c r="Q64" s="73">
        <f>'T1'!Q64</f>
        <v>4.9967691413776993E-3</v>
      </c>
      <c r="R64" s="74">
        <f>'T1'!R64</f>
        <v>1.5726789585522205E-2</v>
      </c>
      <c r="S64" s="75"/>
      <c r="T64" s="72">
        <f>'T1'!T64</f>
        <v>8.9999999999999993E-3</v>
      </c>
      <c r="U64" s="73">
        <f>'T1'!U64</f>
        <v>2.5999999999999999E-2</v>
      </c>
      <c r="V64" s="73">
        <f>'T1'!V64</f>
        <v>9.0999999999999998E-2</v>
      </c>
      <c r="W64" s="73"/>
      <c r="X64" s="73"/>
      <c r="Y64" s="73"/>
      <c r="Z64" s="73"/>
      <c r="AA64" s="76"/>
      <c r="AF64" s="1" t="s">
        <v>931</v>
      </c>
      <c r="AG64" s="1" t="s">
        <v>931</v>
      </c>
      <c r="AH64" s="1" t="s">
        <v>950</v>
      </c>
    </row>
    <row r="65" spans="1:34" s="77" customFormat="1" ht="12" customHeight="1">
      <c r="A65" s="44" t="s">
        <v>371</v>
      </c>
      <c r="B65" s="2"/>
      <c r="C65" s="78">
        <f>'T1'!C65</f>
        <v>92.851020823042745</v>
      </c>
      <c r="D65" s="79">
        <f>'T1'!D65</f>
        <v>95.265147364441859</v>
      </c>
      <c r="E65" s="79">
        <f>'T1'!E65</f>
        <v>96.694124574908471</v>
      </c>
      <c r="F65" s="79">
        <f>'T1'!F65</f>
        <v>96.694124574908471</v>
      </c>
      <c r="G65" s="79">
        <f>'T1'!G65</f>
        <v>97.370983446932826</v>
      </c>
      <c r="H65" s="79">
        <f>'T1'!H65</f>
        <v>100</v>
      </c>
      <c r="I65" s="79">
        <f>'T1'!I65</f>
        <v>102.49999999999999</v>
      </c>
      <c r="J65" s="708">
        <f>'T1'!J65</f>
        <v>104.34499999999998</v>
      </c>
      <c r="K65" s="78">
        <f>'T1'!K65</f>
        <v>106.44304700754891</v>
      </c>
      <c r="L65" s="79">
        <f>'T1'!L65</f>
        <v>108.5719079476999</v>
      </c>
      <c r="M65" s="80">
        <f>'T1'!M65</f>
        <v>110.7433461066539</v>
      </c>
      <c r="N65" s="1162">
        <f>'T1'!N65</f>
        <v>118.73399586480322</v>
      </c>
      <c r="O65" s="79">
        <f>'T1'!O65</f>
        <v>119.75124598510098</v>
      </c>
      <c r="P65" s="79">
        <f>'T1'!P65</f>
        <v>119.88965772959871</v>
      </c>
      <c r="Q65" s="79">
        <f>'T1'!Q65</f>
        <v>120.48871867171231</v>
      </c>
      <c r="R65" s="80">
        <f>'T1'!R65</f>
        <v>122.3836193976915</v>
      </c>
      <c r="S65" s="81"/>
      <c r="T65" s="78">
        <f>'T1'!T65</f>
        <v>105.28410499999997</v>
      </c>
      <c r="U65" s="79">
        <f>'T1'!U65</f>
        <v>108.02149172999997</v>
      </c>
      <c r="V65" s="79">
        <f>'T1'!V65</f>
        <v>117.85144747742996</v>
      </c>
      <c r="W65" s="79"/>
      <c r="X65" s="79"/>
      <c r="Y65" s="79"/>
      <c r="Z65" s="79"/>
      <c r="AA65" s="82"/>
      <c r="AF65" s="1" t="s">
        <v>931</v>
      </c>
      <c r="AG65" s="1" t="s">
        <v>931</v>
      </c>
      <c r="AH65" s="1" t="s">
        <v>950</v>
      </c>
    </row>
    <row r="66" spans="1:34" s="77" customFormat="1" ht="12" customHeight="1">
      <c r="A66" s="83" t="s">
        <v>952</v>
      </c>
      <c r="B66" s="84"/>
      <c r="C66" s="85">
        <f>(C61)/(C65/100)</f>
        <v>616786.61190642696</v>
      </c>
      <c r="D66" s="86">
        <f t="shared" ref="D66:O66" si="26">(D61)/(D65/100)</f>
        <v>667586.77681030449</v>
      </c>
      <c r="E66" s="86">
        <f t="shared" si="26"/>
        <v>603280.00293171429</v>
      </c>
      <c r="F66" s="86">
        <f t="shared" si="26"/>
        <v>592667.96635327046</v>
      </c>
      <c r="G66" s="86">
        <f t="shared" si="26"/>
        <v>592748.06288839132</v>
      </c>
      <c r="H66" s="86">
        <f t="shared" si="26"/>
        <v>567866.7639570391</v>
      </c>
      <c r="I66" s="783">
        <f t="shared" si="26"/>
        <v>588288.03293991159</v>
      </c>
      <c r="J66" s="689">
        <f t="shared" si="26"/>
        <v>593253.41207751737</v>
      </c>
      <c r="K66" s="85">
        <f>(K61)/(K65/100)</f>
        <v>648192.05873670557</v>
      </c>
      <c r="L66" s="86">
        <f t="shared" si="26"/>
        <v>621036.18253494008</v>
      </c>
      <c r="M66" s="627">
        <f>(M61)/(M65/100)</f>
        <v>621923.97722241015</v>
      </c>
      <c r="N66" s="155">
        <f t="shared" si="26"/>
        <v>639169.57508318149</v>
      </c>
      <c r="O66" s="86">
        <f t="shared" si="26"/>
        <v>643015.27154492866</v>
      </c>
      <c r="P66" s="86">
        <f t="shared" ref="P66:R66" si="27">(P61)/(P65/100)</f>
        <v>581149.29969447269</v>
      </c>
      <c r="Q66" s="86">
        <f t="shared" si="27"/>
        <v>597728.12080905051</v>
      </c>
      <c r="R66" s="627">
        <f t="shared" si="27"/>
        <v>595767.7299611374</v>
      </c>
      <c r="S66" s="87"/>
      <c r="T66" s="85">
        <f>(T61)/(T65/100)</f>
        <v>647126.81451366341</v>
      </c>
      <c r="U66" s="86">
        <f>(U61)/(U65/100)</f>
        <v>510204.22085839178</v>
      </c>
      <c r="V66" s="86">
        <f>(V61)/(V65/100)</f>
        <v>531330.05821742595</v>
      </c>
      <c r="W66" s="88"/>
      <c r="X66" s="88"/>
      <c r="Y66" s="88"/>
      <c r="Z66" s="88"/>
      <c r="AA66" s="89"/>
      <c r="AF66" s="1" t="s">
        <v>931</v>
      </c>
      <c r="AG66" s="1" t="s">
        <v>931</v>
      </c>
      <c r="AH66" s="1" t="s">
        <v>955</v>
      </c>
    </row>
    <row r="67" spans="1:34" s="77" customFormat="1" ht="12" customHeight="1">
      <c r="A67" s="91" t="s">
        <v>333</v>
      </c>
      <c r="B67" s="2"/>
      <c r="C67" s="38"/>
      <c r="D67" s="40">
        <f t="shared" ref="D67:O67" si="28">D66/C66-1</f>
        <v>8.2362625782131049E-2</v>
      </c>
      <c r="E67" s="40">
        <f t="shared" si="28"/>
        <v>-9.632721334871952E-2</v>
      </c>
      <c r="F67" s="40">
        <f t="shared" si="28"/>
        <v>-1.759056578516327E-2</v>
      </c>
      <c r="G67" s="40">
        <f t="shared" si="28"/>
        <v>1.3514571339778847E-4</v>
      </c>
      <c r="H67" s="40">
        <f t="shared" si="28"/>
        <v>-4.1976179238964684E-2</v>
      </c>
      <c r="I67" s="40">
        <f t="shared" si="28"/>
        <v>3.5961373827501308E-2</v>
      </c>
      <c r="J67" s="709">
        <f t="shared" si="28"/>
        <v>8.4403878025391954E-3</v>
      </c>
      <c r="K67" s="38">
        <f t="shared" si="28"/>
        <v>9.2605698577945317E-2</v>
      </c>
      <c r="L67" s="40">
        <f t="shared" si="28"/>
        <v>-4.1894799289412754E-2</v>
      </c>
      <c r="M67" s="92">
        <f t="shared" si="28"/>
        <v>1.4295377828812406E-3</v>
      </c>
      <c r="N67" s="995">
        <f t="shared" si="28"/>
        <v>2.7729430754209528E-2</v>
      </c>
      <c r="O67" s="40">
        <f t="shared" si="28"/>
        <v>6.0167076338806247E-3</v>
      </c>
      <c r="P67" s="40">
        <f t="shared" ref="P67" si="29">P66/O66-1</f>
        <v>-9.6212290109090048E-2</v>
      </c>
      <c r="Q67" s="40">
        <f t="shared" ref="Q67" si="30">Q66/P66-1</f>
        <v>2.8527645345686192E-2</v>
      </c>
      <c r="R67" s="92">
        <f t="shared" ref="R67" si="31">R66/Q66-1</f>
        <v>-3.2797366890813251E-3</v>
      </c>
      <c r="S67" s="39"/>
      <c r="T67" s="38">
        <f>+T66/J66-1</f>
        <v>9.0810101281148192E-2</v>
      </c>
      <c r="U67" s="40">
        <f>+U66/T66-1</f>
        <v>-0.21158541198477976</v>
      </c>
      <c r="V67" s="40">
        <f>+V66/U66-1</f>
        <v>4.1406629924564342E-2</v>
      </c>
      <c r="W67" s="40"/>
      <c r="X67" s="40"/>
      <c r="Y67" s="40"/>
      <c r="Z67" s="40"/>
      <c r="AA67" s="41"/>
      <c r="AF67" s="1" t="s">
        <v>931</v>
      </c>
      <c r="AG67" s="1" t="s">
        <v>931</v>
      </c>
      <c r="AH67" s="1" t="s">
        <v>955</v>
      </c>
    </row>
    <row r="68" spans="1:34" s="77" customFormat="1" ht="12" customHeight="1">
      <c r="A68" s="93" t="s">
        <v>373</v>
      </c>
      <c r="B68" s="4"/>
      <c r="C68" s="94">
        <f>'T1'!C68</f>
        <v>9607.8779999999988</v>
      </c>
      <c r="D68" s="95">
        <f>'T1'!D68</f>
        <v>9754.9330000000009</v>
      </c>
      <c r="E68" s="95">
        <f>'T1'!E68</f>
        <v>9979.4030000000002</v>
      </c>
      <c r="F68" s="95">
        <f>'T1'!F68</f>
        <v>10153.9</v>
      </c>
      <c r="G68" s="95">
        <f>'T1'!G68</f>
        <v>10874.798000000001</v>
      </c>
      <c r="H68" s="95">
        <f>'T1'!H68</f>
        <v>11767.620999999999</v>
      </c>
      <c r="I68" s="95">
        <v>12194.153</v>
      </c>
      <c r="J68" s="731">
        <f>'T1'!J68</f>
        <v>12593.8988214</v>
      </c>
      <c r="K68" s="94">
        <f>'T1'!K68</f>
        <v>12647.945</v>
      </c>
      <c r="L68" s="95">
        <f>'T1'!L68</f>
        <v>12891</v>
      </c>
      <c r="M68" s="96">
        <f>'T1'!M68</f>
        <v>13183</v>
      </c>
      <c r="N68" s="1154">
        <f>'T1'!N68</f>
        <v>11956</v>
      </c>
      <c r="O68" s="95">
        <f>'T1'!O68</f>
        <v>12930</v>
      </c>
      <c r="P68" s="95">
        <f>'T1'!P68</f>
        <v>13247</v>
      </c>
      <c r="Q68" s="95">
        <f>'T1'!Q68</f>
        <v>13490</v>
      </c>
      <c r="R68" s="96">
        <f>'T1'!R68</f>
        <v>13700</v>
      </c>
      <c r="S68" s="68"/>
      <c r="T68" s="94">
        <f>'T1'!T68</f>
        <v>5099.1790000000001</v>
      </c>
      <c r="U68" s="672">
        <f>'T1'!U68</f>
        <v>5531.451</v>
      </c>
      <c r="V68" s="672">
        <f>'T1'!V68</f>
        <v>10782.061</v>
      </c>
      <c r="W68" s="672"/>
      <c r="X68" s="672"/>
      <c r="Y68" s="672"/>
      <c r="Z68" s="672"/>
      <c r="AA68" s="89"/>
      <c r="AF68" s="1" t="s">
        <v>931</v>
      </c>
      <c r="AG68" s="1" t="s">
        <v>931</v>
      </c>
      <c r="AH68" s="1" t="s">
        <v>950</v>
      </c>
    </row>
    <row r="69" spans="1:34" s="77" customFormat="1" ht="12" customHeight="1">
      <c r="A69" s="91" t="s">
        <v>333</v>
      </c>
      <c r="B69" s="4"/>
      <c r="C69" s="38"/>
      <c r="D69" s="40">
        <f t="shared" ref="D69:O69" si="32">D68/C68-1</f>
        <v>1.5305668952083185E-2</v>
      </c>
      <c r="E69" s="40">
        <f t="shared" si="32"/>
        <v>2.3010921756202674E-2</v>
      </c>
      <c r="F69" s="40">
        <f t="shared" si="32"/>
        <v>1.7485715327860696E-2</v>
      </c>
      <c r="G69" s="40">
        <f t="shared" si="32"/>
        <v>7.0997153802972335E-2</v>
      </c>
      <c r="H69" s="40">
        <f t="shared" si="32"/>
        <v>8.2100191654134402E-2</v>
      </c>
      <c r="I69" s="40">
        <f t="shared" si="32"/>
        <v>3.6246238725737401E-2</v>
      </c>
      <c r="J69" s="709">
        <f t="shared" si="32"/>
        <v>3.2781761996917735E-2</v>
      </c>
      <c r="K69" s="38">
        <f t="shared" si="32"/>
        <v>4.2914572656533867E-3</v>
      </c>
      <c r="L69" s="40">
        <f t="shared" si="32"/>
        <v>1.9216955797957791E-2</v>
      </c>
      <c r="M69" s="92">
        <f t="shared" si="32"/>
        <v>2.2651462260491861E-2</v>
      </c>
      <c r="N69" s="995">
        <f t="shared" si="32"/>
        <v>-9.3074414018053608E-2</v>
      </c>
      <c r="O69" s="40">
        <f t="shared" si="32"/>
        <v>8.1465373034459665E-2</v>
      </c>
      <c r="P69" s="40">
        <f t="shared" ref="P69" si="33">P68/O68-1</f>
        <v>2.4516627996906459E-2</v>
      </c>
      <c r="Q69" s="40">
        <f t="shared" ref="Q69" si="34">Q68/P68-1</f>
        <v>1.8343775949271501E-2</v>
      </c>
      <c r="R69" s="92">
        <f t="shared" ref="R69" si="35">R68/Q68-1</f>
        <v>1.5567086730911894E-2</v>
      </c>
      <c r="S69" s="39"/>
      <c r="T69" s="38">
        <f>+T68/J68-1</f>
        <v>-0.59510719656288691</v>
      </c>
      <c r="U69" s="40">
        <f>+U68/T68-1</f>
        <v>8.4772862454916664E-2</v>
      </c>
      <c r="V69" s="40">
        <f>+V68/U68-1</f>
        <v>0.94922833086653036</v>
      </c>
      <c r="W69" s="40"/>
      <c r="X69" s="40"/>
      <c r="Y69" s="40"/>
      <c r="Z69" s="40"/>
      <c r="AA69" s="41"/>
      <c r="AF69" s="1" t="s">
        <v>931</v>
      </c>
      <c r="AG69" s="1" t="s">
        <v>931</v>
      </c>
      <c r="AH69" s="1" t="s">
        <v>955</v>
      </c>
    </row>
    <row r="70" spans="1:34" s="77" customFormat="1" ht="12" customHeight="1">
      <c r="A70" s="93" t="s">
        <v>374</v>
      </c>
      <c r="B70" s="4"/>
      <c r="C70" s="97">
        <f t="shared" ref="C70:O70" si="36">C66/C68</f>
        <v>64.195924626273055</v>
      </c>
      <c r="D70" s="98">
        <f>D66/D68</f>
        <v>68.43581363504029</v>
      </c>
      <c r="E70" s="98">
        <f t="shared" si="36"/>
        <v>60.452514336951246</v>
      </c>
      <c r="F70" s="98">
        <f t="shared" si="36"/>
        <v>58.368505338172575</v>
      </c>
      <c r="G70" s="98">
        <f t="shared" si="36"/>
        <v>54.506581445318915</v>
      </c>
      <c r="H70" s="98">
        <f t="shared" si="36"/>
        <v>48.256717645566518</v>
      </c>
      <c r="I70" s="98">
        <f t="shared" si="36"/>
        <v>48.243451836294952</v>
      </c>
      <c r="J70" s="710">
        <f t="shared" si="36"/>
        <v>47.106414025610569</v>
      </c>
      <c r="K70" s="97">
        <f t="shared" si="36"/>
        <v>51.248804350169578</v>
      </c>
      <c r="L70" s="98">
        <f t="shared" si="36"/>
        <v>48.175950859897611</v>
      </c>
      <c r="M70" s="99">
        <f t="shared" si="36"/>
        <v>47.176210060108481</v>
      </c>
      <c r="N70" s="1165">
        <f t="shared" si="36"/>
        <v>53.460151813581589</v>
      </c>
      <c r="O70" s="98">
        <f t="shared" si="36"/>
        <v>49.730492772229596</v>
      </c>
      <c r="P70" s="98">
        <f t="shared" ref="P70:R70" si="37">P66/P68</f>
        <v>43.870257393709721</v>
      </c>
      <c r="Q70" s="98">
        <f t="shared" si="37"/>
        <v>44.308978562568605</v>
      </c>
      <c r="R70" s="99">
        <f t="shared" si="37"/>
        <v>43.486695617601271</v>
      </c>
      <c r="S70" s="100"/>
      <c r="T70" s="97">
        <f t="shared" ref="T70:U70" si="38">T66/T68</f>
        <v>126.90804039506426</v>
      </c>
      <c r="U70" s="101">
        <f t="shared" si="38"/>
        <v>92.236959318340126</v>
      </c>
      <c r="V70" s="101">
        <f t="shared" ref="V70" si="39">V66/V68</f>
        <v>49.279081078972375</v>
      </c>
      <c r="W70" s="88"/>
      <c r="X70" s="88"/>
      <c r="Y70" s="88"/>
      <c r="Z70" s="88"/>
      <c r="AA70" s="89"/>
      <c r="AF70" s="1" t="s">
        <v>931</v>
      </c>
      <c r="AG70" s="1" t="s">
        <v>931</v>
      </c>
      <c r="AH70" s="1" t="s">
        <v>955</v>
      </c>
    </row>
    <row r="71" spans="1:34" ht="12" customHeight="1">
      <c r="A71" s="102" t="s">
        <v>333</v>
      </c>
      <c r="B71" s="4"/>
      <c r="C71" s="103"/>
      <c r="D71" s="104">
        <f>+D70/C70-1</f>
        <v>6.6046077433270733E-2</v>
      </c>
      <c r="E71" s="104">
        <f t="shared" ref="E71:O71" si="40">+E70/D70-1</f>
        <v>-0.11665382310880368</v>
      </c>
      <c r="F71" s="104">
        <f t="shared" si="40"/>
        <v>-3.4473487523823843E-2</v>
      </c>
      <c r="G71" s="104">
        <f t="shared" si="40"/>
        <v>-6.6164515786015676E-2</v>
      </c>
      <c r="H71" s="104">
        <f t="shared" si="40"/>
        <v>-0.11466255329225283</v>
      </c>
      <c r="I71" s="104">
        <f t="shared" si="40"/>
        <v>-2.7490077897551757E-4</v>
      </c>
      <c r="J71" s="711">
        <f t="shared" si="40"/>
        <v>-2.3568749071743555E-2</v>
      </c>
      <c r="K71" s="103">
        <f t="shared" si="40"/>
        <v>8.7936864018282046E-2</v>
      </c>
      <c r="L71" s="104">
        <f t="shared" si="40"/>
        <v>-5.9959515724034684E-2</v>
      </c>
      <c r="M71" s="105">
        <f t="shared" si="40"/>
        <v>-2.0751864404223497E-2</v>
      </c>
      <c r="N71" s="996">
        <f t="shared" si="40"/>
        <v>0.13320149595456199</v>
      </c>
      <c r="O71" s="104">
        <f t="shared" si="40"/>
        <v>-6.9765216050218348E-2</v>
      </c>
      <c r="P71" s="104">
        <f t="shared" ref="P71" si="41">+P70/O70-1</f>
        <v>-0.11783988156643277</v>
      </c>
      <c r="Q71" s="104">
        <f t="shared" ref="Q71" si="42">+Q70/P70-1</f>
        <v>1.0000423861697971E-2</v>
      </c>
      <c r="R71" s="105">
        <f t="shared" ref="R71" si="43">+R70/Q70-1</f>
        <v>-1.8557930506255982E-2</v>
      </c>
      <c r="S71" s="39"/>
      <c r="T71" s="103">
        <f>+T70/J70-1</f>
        <v>1.6940713493085582</v>
      </c>
      <c r="U71" s="104">
        <f>+U70/T70-1</f>
        <v>-0.27319845904793094</v>
      </c>
      <c r="V71" s="104">
        <f>+V70/U70-1</f>
        <v>-0.46573389405765175</v>
      </c>
      <c r="W71" s="104"/>
      <c r="X71" s="104"/>
      <c r="Y71" s="104"/>
      <c r="Z71" s="104"/>
      <c r="AA71" s="106"/>
      <c r="AF71" s="1" t="s">
        <v>931</v>
      </c>
      <c r="AG71" s="1" t="s">
        <v>931</v>
      </c>
      <c r="AH71" s="1" t="s">
        <v>955</v>
      </c>
    </row>
    <row r="72" spans="1:34" s="604" customFormat="1" ht="12" customHeight="1">
      <c r="A72" s="107"/>
      <c r="B72" s="4"/>
      <c r="C72" s="39"/>
      <c r="D72" s="39"/>
      <c r="E72" s="39"/>
      <c r="F72" s="39"/>
      <c r="G72" s="39"/>
      <c r="H72" s="39"/>
      <c r="I72" s="39"/>
      <c r="J72" s="732"/>
      <c r="K72" s="39"/>
      <c r="L72" s="39"/>
      <c r="M72" s="39"/>
      <c r="N72" s="39"/>
      <c r="O72" s="39"/>
      <c r="P72" s="39"/>
      <c r="Q72" s="39"/>
      <c r="R72" s="39"/>
      <c r="S72" s="39"/>
      <c r="T72" s="77"/>
      <c r="U72" s="77"/>
      <c r="V72" s="77"/>
      <c r="W72" s="77"/>
      <c r="X72" s="77"/>
      <c r="Y72" s="77"/>
      <c r="Z72" s="77"/>
      <c r="AA72" s="77"/>
    </row>
    <row r="73" spans="1:34" s="604" customFormat="1" ht="12" customHeight="1">
      <c r="A73" s="108" t="s">
        <v>376</v>
      </c>
      <c r="B73" s="1"/>
      <c r="C73" s="1"/>
      <c r="D73" s="1"/>
      <c r="E73" s="1"/>
      <c r="F73" s="1"/>
      <c r="G73" s="1"/>
      <c r="H73" s="1"/>
      <c r="I73" s="1"/>
      <c r="J73" s="108"/>
      <c r="K73" s="1"/>
      <c r="L73" s="1"/>
      <c r="M73" s="1"/>
      <c r="N73" s="1"/>
      <c r="O73" s="1"/>
      <c r="P73" s="1"/>
      <c r="Q73" s="1"/>
      <c r="R73" s="1"/>
      <c r="S73" s="1"/>
      <c r="T73" s="1"/>
      <c r="U73" s="1"/>
      <c r="V73" s="1"/>
      <c r="W73" s="1"/>
      <c r="X73" s="1"/>
      <c r="Y73" s="1"/>
      <c r="Z73" s="1"/>
      <c r="AA73" s="1"/>
    </row>
    <row r="74" spans="1:34" s="613" customFormat="1" ht="12" customHeight="1">
      <c r="A74" s="129" t="s">
        <v>384</v>
      </c>
      <c r="B74" s="130"/>
      <c r="C74" s="130"/>
      <c r="D74" s="130"/>
      <c r="E74" s="130"/>
      <c r="F74" s="130"/>
      <c r="G74" s="130"/>
      <c r="H74" s="130"/>
      <c r="I74" s="130"/>
      <c r="J74" s="713"/>
      <c r="K74" s="109"/>
      <c r="L74" s="109"/>
      <c r="M74" s="75"/>
      <c r="N74" s="630"/>
      <c r="O74" s="154"/>
      <c r="P74" s="154"/>
      <c r="Q74" s="154"/>
      <c r="R74" s="154"/>
      <c r="S74" s="604"/>
      <c r="T74" s="1106"/>
      <c r="U74" s="604"/>
      <c r="V74" s="604"/>
      <c r="W74" s="604"/>
      <c r="X74" s="604"/>
      <c r="Y74" s="604"/>
      <c r="Z74" s="604"/>
      <c r="AA74" s="604"/>
    </row>
    <row r="75" spans="1:34" s="613" customFormat="1" ht="12" customHeight="1">
      <c r="A75" s="129" t="s">
        <v>378</v>
      </c>
      <c r="B75" s="130"/>
      <c r="C75" s="130"/>
      <c r="D75" s="130"/>
      <c r="E75" s="130"/>
      <c r="F75" s="130"/>
      <c r="G75" s="130"/>
      <c r="H75" s="130"/>
      <c r="I75" s="130"/>
      <c r="J75" s="713"/>
      <c r="K75" s="109"/>
      <c r="L75" s="109"/>
      <c r="M75" s="75"/>
      <c r="N75" s="630"/>
      <c r="O75" s="154"/>
      <c r="P75" s="154"/>
      <c r="Q75" s="154"/>
      <c r="R75" s="154"/>
      <c r="S75" s="604"/>
      <c r="T75" s="1106"/>
      <c r="U75" s="604"/>
      <c r="V75" s="604"/>
      <c r="W75" s="604"/>
      <c r="X75" s="604"/>
      <c r="Y75" s="604"/>
      <c r="Z75" s="604"/>
      <c r="AA75" s="604"/>
    </row>
    <row r="76" spans="1:34" s="613" customFormat="1" ht="12" customHeight="1">
      <c r="A76" s="129" t="s">
        <v>379</v>
      </c>
      <c r="B76" s="131"/>
      <c r="C76" s="131"/>
      <c r="D76" s="131"/>
      <c r="E76" s="131"/>
      <c r="F76" s="131"/>
      <c r="G76" s="131"/>
      <c r="H76" s="131"/>
      <c r="I76" s="131"/>
      <c r="J76" s="714"/>
      <c r="K76" s="132"/>
      <c r="L76" s="132"/>
      <c r="M76" s="132"/>
      <c r="N76" s="632"/>
      <c r="O76" s="109"/>
      <c r="P76" s="109"/>
      <c r="Q76" s="109"/>
      <c r="R76" s="109"/>
      <c r="S76" s="109"/>
      <c r="T76" s="1"/>
      <c r="U76" s="1"/>
      <c r="V76" s="1"/>
      <c r="W76" s="1"/>
      <c r="X76" s="1"/>
      <c r="Y76" s="1"/>
      <c r="Z76" s="1"/>
      <c r="AA76" s="1"/>
    </row>
    <row r="77" spans="1:34" ht="12" customHeight="1">
      <c r="A77" s="129"/>
      <c r="B77" s="110"/>
      <c r="C77" s="110"/>
      <c r="D77" s="110"/>
      <c r="E77" s="110"/>
      <c r="F77" s="110"/>
      <c r="G77" s="110"/>
      <c r="H77" s="110"/>
      <c r="I77" s="110"/>
      <c r="J77" s="715"/>
      <c r="K77" s="111"/>
      <c r="L77" s="111"/>
      <c r="M77" s="111"/>
      <c r="N77" s="153"/>
      <c r="O77" s="633"/>
      <c r="P77" s="633"/>
      <c r="Q77" s="633"/>
      <c r="R77" s="633"/>
      <c r="S77" s="634"/>
      <c r="T77" s="1107"/>
      <c r="U77" s="613"/>
      <c r="V77" s="613"/>
      <c r="W77" s="613"/>
      <c r="X77" s="613"/>
      <c r="Y77" s="613"/>
      <c r="Z77" s="613"/>
      <c r="AA77" s="613"/>
    </row>
    <row r="79" spans="1:34">
      <c r="N79" s="84" t="s">
        <v>939</v>
      </c>
    </row>
    <row r="80" spans="1:34">
      <c r="M80" s="1496" t="s">
        <v>940</v>
      </c>
      <c r="N80" s="26">
        <f>N18</f>
        <v>758911.57684834499</v>
      </c>
      <c r="O80" s="26">
        <f t="shared" ref="O80:R80" si="44">O18</f>
        <v>770018.79954953259</v>
      </c>
      <c r="P80" s="26">
        <f t="shared" si="44"/>
        <v>696737.90630166326</v>
      </c>
      <c r="Q80" s="26">
        <f t="shared" si="44"/>
        <v>720194.95390332956</v>
      </c>
      <c r="R80" s="26">
        <f t="shared" si="44"/>
        <v>729122.11112990498</v>
      </c>
    </row>
    <row r="81" spans="13:18">
      <c r="M81" s="1496" t="s">
        <v>941</v>
      </c>
      <c r="N81" s="26">
        <v>758911.57686880557</v>
      </c>
      <c r="O81" s="26">
        <v>770018.79971879441</v>
      </c>
      <c r="P81" s="26">
        <v>696737.90683130675</v>
      </c>
      <c r="Q81" s="26">
        <v>720194.95479253109</v>
      </c>
      <c r="R81" s="26">
        <v>729122.11092724348</v>
      </c>
    </row>
    <row r="82" spans="13:18">
      <c r="N82" s="1497">
        <f>ROUND(N80-N81,0)</f>
        <v>0</v>
      </c>
      <c r="O82" s="1497">
        <f t="shared" ref="O82:R82" si="45">ROUND(O80-O81,0)</f>
        <v>0</v>
      </c>
      <c r="P82" s="1497">
        <f t="shared" si="45"/>
        <v>0</v>
      </c>
      <c r="Q82" s="1497">
        <f t="shared" si="45"/>
        <v>0</v>
      </c>
      <c r="R82" s="1497">
        <f t="shared" si="45"/>
        <v>0</v>
      </c>
    </row>
  </sheetData>
  <mergeCells count="6">
    <mergeCell ref="C7:J7"/>
    <mergeCell ref="A1:X1"/>
    <mergeCell ref="W7:AA7"/>
    <mergeCell ref="T7:V7"/>
    <mergeCell ref="K7:M7"/>
    <mergeCell ref="N7:R7"/>
  </mergeCells>
  <pageMargins left="0.7" right="0.7" top="0.75" bottom="0.75" header="0.3" footer="0.3"/>
  <pageSetup paperSize="9" scale="61" orientation="portrait" r:id="rId1"/>
  <customProperties>
    <customPr name="_pios_id" r:id="rId2"/>
  </customProperties>
  <ignoredErrors>
    <ignoredError sqref="S68:U68 D68:O68 P68:R68 T70:U7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J80"/>
  <sheetViews>
    <sheetView showGridLines="0" zoomScaleNormal="100" workbookViewId="0">
      <pane xSplit="2" ySplit="9" topLeftCell="C18" activePane="bottomRight" state="frozen"/>
      <selection activeCell="AF64" sqref="AF64:AF71"/>
      <selection pane="topRight" activeCell="AF64" sqref="AF64:AF71"/>
      <selection pane="bottomLeft" activeCell="AF64" sqref="AF64:AF71"/>
      <selection pane="bottomRight" activeCell="N31" sqref="N31:R31"/>
    </sheetView>
  </sheetViews>
  <sheetFormatPr defaultColWidth="1.33203125" defaultRowHeight="12"/>
  <cols>
    <col min="1" max="1" width="30.6640625" style="2" customWidth="1"/>
    <col min="2" max="2" width="0.44140625" style="2" customWidth="1"/>
    <col min="3" max="9" width="7" style="2" customWidth="1"/>
    <col min="10" max="10" width="7.5546875" style="638" customWidth="1"/>
    <col min="11" max="11" width="7" style="2" customWidth="1"/>
    <col min="12" max="13" width="7" style="2" bestFit="1" customWidth="1"/>
    <col min="14" max="18" width="9" style="2" bestFit="1" customWidth="1"/>
    <col min="19" max="19" width="1.33203125" style="2" customWidth="1"/>
    <col min="20" max="21" width="7" style="1" bestFit="1" customWidth="1"/>
    <col min="22" max="22" width="7.44140625" style="1" customWidth="1"/>
    <col min="23" max="27" width="4.44140625" style="1" bestFit="1" customWidth="1"/>
    <col min="28" max="31" width="2.6640625" style="1" customWidth="1"/>
    <col min="32" max="38" width="20.6640625" style="1" customWidth="1"/>
    <col min="39" max="16384" width="1.33203125" style="1"/>
  </cols>
  <sheetData>
    <row r="1" spans="1:36" ht="12" customHeight="1">
      <c r="A1" s="1556"/>
      <c r="B1" s="1556"/>
      <c r="C1" s="1556"/>
      <c r="D1" s="1556"/>
      <c r="E1" s="1556"/>
      <c r="F1" s="1556"/>
      <c r="G1" s="1556"/>
      <c r="H1" s="1556"/>
      <c r="I1" s="1556"/>
      <c r="J1" s="1556"/>
      <c r="K1" s="1556" t="s">
        <v>315</v>
      </c>
      <c r="L1" s="1556"/>
      <c r="M1" s="1556"/>
      <c r="N1" s="1556"/>
      <c r="O1" s="1556"/>
      <c r="P1" s="1556"/>
      <c r="Q1" s="1556"/>
      <c r="R1" s="1556"/>
      <c r="S1" s="1556"/>
      <c r="T1" s="1556"/>
      <c r="U1" s="1556"/>
      <c r="V1" s="1556"/>
      <c r="W1" s="1556"/>
      <c r="X1" s="1556"/>
    </row>
    <row r="2" spans="1:36" ht="12" customHeight="1">
      <c r="J2" s="2"/>
      <c r="T2" s="2"/>
      <c r="U2" s="2"/>
      <c r="V2" s="2"/>
      <c r="W2" s="2"/>
      <c r="X2" s="2"/>
      <c r="Y2" s="2"/>
      <c r="Z2" s="2"/>
      <c r="AA2" s="2"/>
      <c r="AB2" s="2"/>
    </row>
    <row r="3" spans="1:36" ht="12" customHeight="1">
      <c r="A3" s="674" t="s">
        <v>316</v>
      </c>
      <c r="J3" s="2"/>
      <c r="T3" s="2"/>
      <c r="U3" s="2"/>
      <c r="V3" s="2"/>
      <c r="W3" s="2"/>
      <c r="X3" s="2"/>
      <c r="Y3" s="2"/>
      <c r="Z3" s="2"/>
      <c r="AA3" s="2"/>
      <c r="AB3" s="2"/>
    </row>
    <row r="4" spans="1:36" ht="12" customHeight="1">
      <c r="A4" s="83" t="s">
        <v>317</v>
      </c>
      <c r="J4" s="2"/>
      <c r="T4" s="2"/>
      <c r="U4" s="2"/>
      <c r="V4" s="2"/>
      <c r="W4" s="2"/>
      <c r="X4" s="2"/>
      <c r="Y4" s="2"/>
      <c r="Z4" s="2"/>
      <c r="AA4" s="2"/>
      <c r="AB4" s="2"/>
    </row>
    <row r="5" spans="1:36" ht="12" customHeight="1">
      <c r="A5" s="146" t="s">
        <v>385</v>
      </c>
      <c r="J5" s="2"/>
      <c r="T5" s="2"/>
      <c r="U5" s="2"/>
      <c r="V5" s="2"/>
      <c r="W5" s="2"/>
      <c r="X5" s="2"/>
      <c r="Y5" s="2"/>
      <c r="Z5" s="2"/>
      <c r="AA5" s="2"/>
      <c r="AB5" s="2"/>
    </row>
    <row r="6" spans="1:36" ht="12" customHeight="1">
      <c r="J6" s="2"/>
      <c r="T6" s="2"/>
      <c r="U6" s="2"/>
      <c r="V6" s="2"/>
      <c r="W6" s="2"/>
      <c r="X6" s="2"/>
      <c r="Y6" s="2"/>
      <c r="Z6" s="2"/>
      <c r="AA6" s="2"/>
      <c r="AB6" s="2"/>
      <c r="AF6" s="1" t="s">
        <v>930</v>
      </c>
    </row>
    <row r="7" spans="1:36" s="9" customFormat="1" ht="12" customHeight="1">
      <c r="C7" s="1550" t="s">
        <v>319</v>
      </c>
      <c r="D7" s="1551"/>
      <c r="E7" s="1551"/>
      <c r="F7" s="1551"/>
      <c r="G7" s="1551"/>
      <c r="H7" s="1551"/>
      <c r="I7" s="1551"/>
      <c r="J7" s="1552"/>
      <c r="K7" s="1553" t="s">
        <v>386</v>
      </c>
      <c r="L7" s="1554"/>
      <c r="M7" s="1554"/>
      <c r="N7" s="1553" t="s">
        <v>321</v>
      </c>
      <c r="O7" s="1554"/>
      <c r="P7" s="1554"/>
      <c r="Q7" s="1554"/>
      <c r="R7" s="1555"/>
      <c r="S7" s="10"/>
      <c r="T7" s="1550" t="s">
        <v>387</v>
      </c>
      <c r="U7" s="1551"/>
      <c r="V7" s="1551"/>
      <c r="W7" s="1550" t="s">
        <v>323</v>
      </c>
      <c r="X7" s="1551"/>
      <c r="Y7" s="1551"/>
      <c r="Z7" s="1551"/>
      <c r="AA7" s="1552"/>
      <c r="AF7" s="9" t="s">
        <v>319</v>
      </c>
      <c r="AG7" s="9" t="s">
        <v>320</v>
      </c>
      <c r="AH7" s="9" t="s">
        <v>321</v>
      </c>
      <c r="AI7" s="9" t="s">
        <v>322</v>
      </c>
      <c r="AJ7" s="9" t="s">
        <v>323</v>
      </c>
    </row>
    <row r="8" spans="1:36" ht="12" customHeight="1">
      <c r="A8" s="1"/>
      <c r="B8" s="1"/>
      <c r="C8" s="1"/>
      <c r="D8" s="1"/>
      <c r="E8" s="1"/>
      <c r="F8" s="1"/>
      <c r="G8" s="1"/>
      <c r="H8" s="1"/>
      <c r="I8" s="1"/>
      <c r="J8" s="108"/>
      <c r="K8" s="1"/>
      <c r="L8" s="1"/>
      <c r="M8" s="1"/>
      <c r="N8" s="1"/>
      <c r="O8" s="1"/>
      <c r="P8" s="1"/>
      <c r="Q8" s="1"/>
      <c r="R8" s="1"/>
      <c r="S8" s="1"/>
    </row>
    <row r="9" spans="1:36" ht="12" customHeight="1">
      <c r="A9" s="11" t="s">
        <v>324</v>
      </c>
      <c r="C9" s="12">
        <v>2012</v>
      </c>
      <c r="D9" s="3">
        <v>2013</v>
      </c>
      <c r="E9" s="3">
        <v>2014</v>
      </c>
      <c r="F9" s="3">
        <v>2015</v>
      </c>
      <c r="G9" s="3">
        <v>2016</v>
      </c>
      <c r="H9" s="3">
        <v>2017</v>
      </c>
      <c r="I9" s="3">
        <v>2018</v>
      </c>
      <c r="J9" s="13">
        <v>2019</v>
      </c>
      <c r="K9" s="12">
        <v>2020</v>
      </c>
      <c r="L9" s="3">
        <v>2021</v>
      </c>
      <c r="M9" s="1074">
        <v>2022</v>
      </c>
      <c r="N9" s="12">
        <v>2023</v>
      </c>
      <c r="O9" s="3">
        <v>2024</v>
      </c>
      <c r="P9" s="3">
        <v>2025</v>
      </c>
      <c r="Q9" s="3">
        <v>2026</v>
      </c>
      <c r="R9" s="13">
        <v>2027</v>
      </c>
      <c r="S9" s="14"/>
      <c r="T9" s="12">
        <v>2020</v>
      </c>
      <c r="U9" s="3">
        <v>2021</v>
      </c>
      <c r="V9" s="13">
        <v>2022</v>
      </c>
      <c r="W9" s="12">
        <v>2023</v>
      </c>
      <c r="X9" s="3">
        <v>2024</v>
      </c>
      <c r="Y9" s="3">
        <v>2025</v>
      </c>
      <c r="Z9" s="3">
        <v>2026</v>
      </c>
      <c r="AA9" s="13">
        <v>2027</v>
      </c>
    </row>
    <row r="10" spans="1:36" ht="12" customHeight="1">
      <c r="T10" s="2"/>
      <c r="U10" s="2"/>
      <c r="V10" s="2"/>
      <c r="W10" s="2"/>
      <c r="X10" s="2"/>
      <c r="Y10" s="2"/>
      <c r="Z10" s="2"/>
      <c r="AA10" s="2"/>
    </row>
    <row r="11" spans="1:36" ht="15.6" customHeight="1">
      <c r="A11" s="15" t="s">
        <v>325</v>
      </c>
      <c r="B11" s="15"/>
      <c r="C11" s="15"/>
      <c r="D11" s="15"/>
      <c r="E11" s="15"/>
      <c r="F11" s="15"/>
      <c r="G11" s="15"/>
      <c r="H11" s="15"/>
      <c r="I11" s="15"/>
      <c r="J11" s="902"/>
      <c r="K11" s="17"/>
      <c r="L11" s="17"/>
      <c r="M11" s="17"/>
      <c r="N11" s="17"/>
      <c r="O11" s="18"/>
      <c r="P11" s="17"/>
      <c r="Q11" s="18"/>
      <c r="R11" s="17"/>
      <c r="S11" s="18"/>
      <c r="T11" s="17"/>
      <c r="U11" s="17"/>
      <c r="V11" s="19"/>
      <c r="W11" s="19"/>
      <c r="X11" s="19"/>
      <c r="Y11" s="19"/>
      <c r="Z11" s="19"/>
      <c r="AA11" s="19"/>
    </row>
    <row r="12" spans="1:36" ht="12" customHeight="1">
      <c r="A12" s="20" t="s">
        <v>326</v>
      </c>
      <c r="B12" s="135"/>
      <c r="C12" s="112">
        <v>13730</v>
      </c>
      <c r="D12" s="113">
        <v>13618</v>
      </c>
      <c r="E12" s="113">
        <v>13213</v>
      </c>
      <c r="F12" s="113">
        <v>13288</v>
      </c>
      <c r="G12" s="113">
        <v>12718</v>
      </c>
      <c r="H12" s="113">
        <v>12059</v>
      </c>
      <c r="I12" s="640">
        <v>12040.897262651501</v>
      </c>
      <c r="J12" s="1133">
        <v>12978.709509158725</v>
      </c>
      <c r="K12" s="112">
        <v>15403.972080073305</v>
      </c>
      <c r="L12" s="113">
        <v>15558.011800874037</v>
      </c>
      <c r="M12" s="113">
        <v>15713.591918882777</v>
      </c>
      <c r="N12" s="113">
        <v>16843.895926777961</v>
      </c>
      <c r="O12" s="113">
        <v>17051.539825871983</v>
      </c>
      <c r="P12" s="113">
        <v>16170.216570671415</v>
      </c>
      <c r="Q12" s="113">
        <v>16413.340328483097</v>
      </c>
      <c r="R12" s="1446">
        <v>16838.097984896543</v>
      </c>
      <c r="S12" s="114"/>
      <c r="T12" s="112">
        <v>13995.118380407899</v>
      </c>
      <c r="U12" s="113">
        <v>14380.302</v>
      </c>
      <c r="V12" s="1485">
        <v>15881.606</v>
      </c>
      <c r="W12" s="67"/>
      <c r="X12" s="649"/>
      <c r="Y12" s="22"/>
      <c r="Z12" s="649"/>
      <c r="AA12" s="23"/>
      <c r="AB12" s="1505"/>
      <c r="AC12" s="1505"/>
      <c r="AD12" s="1505"/>
      <c r="AE12" s="1505"/>
      <c r="AF12" s="1" t="s">
        <v>931</v>
      </c>
      <c r="AG12" s="1" t="s">
        <v>931</v>
      </c>
    </row>
    <row r="13" spans="1:36" ht="12" customHeight="1">
      <c r="A13" s="24" t="s">
        <v>327</v>
      </c>
      <c r="B13" s="24"/>
      <c r="C13" s="667"/>
      <c r="D13" s="660"/>
      <c r="E13" s="660"/>
      <c r="F13" s="660"/>
      <c r="G13" s="660"/>
      <c r="H13" s="660"/>
      <c r="I13" s="641"/>
      <c r="J13" s="1134"/>
      <c r="K13" s="1149">
        <v>2896.6091497190514</v>
      </c>
      <c r="L13" s="1150">
        <v>2925.5752412162419</v>
      </c>
      <c r="M13" s="1150">
        <v>2954.830993628404</v>
      </c>
      <c r="N13" s="1150">
        <v>3486.2286786171844</v>
      </c>
      <c r="O13" s="1150">
        <v>3529.2053224475844</v>
      </c>
      <c r="P13" s="1150">
        <v>3346.7953609535871</v>
      </c>
      <c r="Q13" s="1150">
        <v>3397.1153712778496</v>
      </c>
      <c r="R13" s="1447">
        <v>3485.028662222413</v>
      </c>
      <c r="S13" s="114"/>
      <c r="T13" s="1149">
        <v>2896.6091497190514</v>
      </c>
      <c r="U13" s="1448">
        <v>2693.6010000000001</v>
      </c>
      <c r="V13" s="1487">
        <v>2879.3090000000002</v>
      </c>
      <c r="W13" s="37"/>
      <c r="X13" s="643"/>
      <c r="Y13" s="5"/>
      <c r="Z13" s="643"/>
      <c r="AA13" s="25"/>
      <c r="AB13" s="1505"/>
      <c r="AC13" s="1505"/>
      <c r="AD13" s="1505"/>
      <c r="AE13" s="1505"/>
      <c r="AF13" s="1" t="s">
        <v>931</v>
      </c>
      <c r="AG13" s="1" t="s">
        <v>931</v>
      </c>
    </row>
    <row r="14" spans="1:36" ht="12" customHeight="1">
      <c r="A14" s="24" t="s">
        <v>328</v>
      </c>
      <c r="B14" s="24"/>
      <c r="C14" s="115">
        <v>11400</v>
      </c>
      <c r="D14" s="116">
        <v>11100</v>
      </c>
      <c r="E14" s="116">
        <v>11000</v>
      </c>
      <c r="F14" s="116">
        <v>9062</v>
      </c>
      <c r="G14" s="116">
        <v>9046.2999999999993</v>
      </c>
      <c r="H14" s="116">
        <v>8299</v>
      </c>
      <c r="I14" s="644">
        <v>8952.4452593056121</v>
      </c>
      <c r="J14" s="1135">
        <v>8689.6855608412734</v>
      </c>
      <c r="K14" s="115">
        <v>8549.0595622211767</v>
      </c>
      <c r="L14" s="116">
        <v>8650.9889672872559</v>
      </c>
      <c r="M14" s="116">
        <v>8817.2894711440713</v>
      </c>
      <c r="N14" s="116">
        <v>11084.704296725251</v>
      </c>
      <c r="O14" s="116">
        <v>11918.626954293162</v>
      </c>
      <c r="P14" s="116">
        <v>12065.9670961969</v>
      </c>
      <c r="Q14" s="116">
        <v>11993.200235319551</v>
      </c>
      <c r="R14" s="1335">
        <v>12304.390197130109</v>
      </c>
      <c r="S14" s="26"/>
      <c r="T14" s="115">
        <v>8885.4262291576488</v>
      </c>
      <c r="U14" s="1449">
        <v>9798.3967904249002</v>
      </c>
      <c r="V14" s="1484">
        <v>8317.9532359884906</v>
      </c>
      <c r="W14" s="37"/>
      <c r="X14" s="643"/>
      <c r="Y14" s="5"/>
      <c r="Z14" s="643"/>
      <c r="AA14" s="25"/>
      <c r="AB14" s="1505"/>
      <c r="AC14" s="1505"/>
      <c r="AD14" s="1505"/>
      <c r="AE14" s="1505"/>
      <c r="AF14" s="1" t="s">
        <v>931</v>
      </c>
      <c r="AG14" s="1" t="s">
        <v>931</v>
      </c>
    </row>
    <row r="15" spans="1:36" ht="12" customHeight="1">
      <c r="A15" s="24" t="s">
        <v>329</v>
      </c>
      <c r="B15" s="24"/>
      <c r="C15" s="115">
        <v>4000</v>
      </c>
      <c r="D15" s="116">
        <v>4000</v>
      </c>
      <c r="E15" s="116">
        <v>4000</v>
      </c>
      <c r="F15" s="116">
        <v>4000</v>
      </c>
      <c r="G15" s="116">
        <v>4000</v>
      </c>
      <c r="H15" s="116">
        <v>4000</v>
      </c>
      <c r="I15" s="675">
        <v>4000</v>
      </c>
      <c r="J15" s="1136">
        <v>4000</v>
      </c>
      <c r="K15" s="115">
        <v>4000</v>
      </c>
      <c r="L15" s="116">
        <v>4000</v>
      </c>
      <c r="M15" s="116">
        <v>5116</v>
      </c>
      <c r="N15" s="116">
        <v>3649.9243841714815</v>
      </c>
      <c r="O15" s="116">
        <v>6645.8217269964707</v>
      </c>
      <c r="P15" s="116">
        <v>7703.4638055121068</v>
      </c>
      <c r="Q15" s="116">
        <v>7741.8688636006391</v>
      </c>
      <c r="R15" s="1335">
        <v>7863.5833553889133</v>
      </c>
      <c r="S15" s="26"/>
      <c r="T15" s="115">
        <v>4000</v>
      </c>
      <c r="U15" s="1449">
        <v>2498.8412095751014</v>
      </c>
      <c r="V15" s="1484">
        <v>2755.3604030569427</v>
      </c>
      <c r="W15" s="37"/>
      <c r="X15" s="643"/>
      <c r="Y15" s="5"/>
      <c r="Z15" s="643"/>
      <c r="AA15" s="25"/>
      <c r="AB15" s="1505"/>
      <c r="AC15" s="1505"/>
      <c r="AD15" s="1505"/>
      <c r="AE15" s="1505"/>
      <c r="AF15" s="1" t="s">
        <v>931</v>
      </c>
      <c r="AG15" s="1" t="s">
        <v>931</v>
      </c>
    </row>
    <row r="16" spans="1:36" ht="12" customHeight="1">
      <c r="A16" s="24" t="s">
        <v>330</v>
      </c>
      <c r="B16" s="24"/>
      <c r="C16" s="115"/>
      <c r="D16" s="116"/>
      <c r="E16" s="116"/>
      <c r="F16" s="116">
        <v>2088</v>
      </c>
      <c r="G16" s="116">
        <v>2088</v>
      </c>
      <c r="H16" s="116">
        <v>2088</v>
      </c>
      <c r="I16" s="675">
        <v>2088</v>
      </c>
      <c r="J16" s="1136">
        <v>2088</v>
      </c>
      <c r="K16" s="115">
        <v>1984.9232870630242</v>
      </c>
      <c r="L16" s="116">
        <v>1984.9232870630242</v>
      </c>
      <c r="M16" s="116">
        <v>1984.9232870630242</v>
      </c>
      <c r="N16" s="116">
        <v>3401.4694741928238</v>
      </c>
      <c r="O16" s="116">
        <v>3538.6468701193207</v>
      </c>
      <c r="P16" s="116">
        <v>3394.0459354775439</v>
      </c>
      <c r="Q16" s="116">
        <v>3030.2714044231147</v>
      </c>
      <c r="R16" s="1335">
        <v>2730.5811010851826</v>
      </c>
      <c r="S16" s="26"/>
      <c r="T16" s="115">
        <v>1984.9232870630242</v>
      </c>
      <c r="U16" s="1449">
        <v>2591.6999999999998</v>
      </c>
      <c r="V16" s="1484">
        <v>3054.0944209545669</v>
      </c>
      <c r="W16" s="37"/>
      <c r="X16" s="643"/>
      <c r="Y16" s="5"/>
      <c r="Z16" s="643"/>
      <c r="AA16" s="25"/>
      <c r="AB16" s="1505"/>
      <c r="AC16" s="1505"/>
      <c r="AD16" s="1505"/>
      <c r="AE16" s="1505"/>
      <c r="AF16" s="1" t="s">
        <v>931</v>
      </c>
      <c r="AG16" s="1" t="s">
        <v>931</v>
      </c>
    </row>
    <row r="17" spans="1:33" ht="12" customHeight="1">
      <c r="A17" s="24" t="s">
        <v>331</v>
      </c>
      <c r="B17" s="24"/>
      <c r="C17" s="115"/>
      <c r="D17" s="116"/>
      <c r="E17" s="116"/>
      <c r="F17" s="116"/>
      <c r="G17" s="116"/>
      <c r="H17" s="116"/>
      <c r="I17" s="644"/>
      <c r="J17" s="1135"/>
      <c r="K17" s="115">
        <v>1000</v>
      </c>
      <c r="L17" s="116"/>
      <c r="M17" s="116"/>
      <c r="N17" s="116"/>
      <c r="O17" s="116"/>
      <c r="P17" s="116"/>
      <c r="Q17" s="116"/>
      <c r="R17" s="1335"/>
      <c r="S17" s="26"/>
      <c r="T17" s="115">
        <v>0</v>
      </c>
      <c r="U17" s="1449">
        <v>0</v>
      </c>
      <c r="V17" s="1486">
        <v>0</v>
      </c>
      <c r="W17" s="37"/>
      <c r="X17" s="643"/>
      <c r="Y17" s="5"/>
      <c r="Z17" s="643"/>
      <c r="AA17" s="25"/>
      <c r="AB17" s="1505"/>
      <c r="AC17" s="1505"/>
      <c r="AD17" s="1505"/>
      <c r="AE17" s="1505"/>
      <c r="AF17" s="1" t="s">
        <v>931</v>
      </c>
      <c r="AG17" s="1" t="s">
        <v>931</v>
      </c>
    </row>
    <row r="18" spans="1:33" ht="12" customHeight="1">
      <c r="A18" s="134" t="s">
        <v>332</v>
      </c>
      <c r="B18" s="579"/>
      <c r="C18" s="85">
        <f t="shared" ref="C18:H18" si="0">SUM(C12:C17)</f>
        <v>29130</v>
      </c>
      <c r="D18" s="86">
        <f t="shared" si="0"/>
        <v>28718</v>
      </c>
      <c r="E18" s="86">
        <f t="shared" si="0"/>
        <v>28213</v>
      </c>
      <c r="F18" s="86">
        <f t="shared" si="0"/>
        <v>28438</v>
      </c>
      <c r="G18" s="86">
        <f t="shared" si="0"/>
        <v>27852.3</v>
      </c>
      <c r="H18" s="86">
        <f t="shared" si="0"/>
        <v>26446</v>
      </c>
      <c r="I18" s="86">
        <f t="shared" ref="I18:O18" si="1">I12+SUM(I14:I17)</f>
        <v>27081.342521957115</v>
      </c>
      <c r="J18" s="1132">
        <f t="shared" si="1"/>
        <v>27756.395069999999</v>
      </c>
      <c r="K18" s="85">
        <f t="shared" si="1"/>
        <v>30937.954929357504</v>
      </c>
      <c r="L18" s="86">
        <f t="shared" si="1"/>
        <v>30193.924055224317</v>
      </c>
      <c r="M18" s="86">
        <f t="shared" si="1"/>
        <v>31631.804677089873</v>
      </c>
      <c r="N18" s="86">
        <f t="shared" si="1"/>
        <v>34979.994081867517</v>
      </c>
      <c r="O18" s="86">
        <f t="shared" si="1"/>
        <v>39154.635377280938</v>
      </c>
      <c r="P18" s="86">
        <f t="shared" ref="P18:R18" si="2">P12+SUM(P14:P17)</f>
        <v>39333.693407857965</v>
      </c>
      <c r="Q18" s="86">
        <f t="shared" si="2"/>
        <v>39178.680831826401</v>
      </c>
      <c r="R18" s="1137">
        <f t="shared" si="2"/>
        <v>39736.652638500746</v>
      </c>
      <c r="S18" s="26"/>
      <c r="T18" s="85">
        <f t="shared" ref="T18:U18" si="3">T12+SUM(T14:T17)</f>
        <v>28865.467896628572</v>
      </c>
      <c r="U18" s="86">
        <f t="shared" si="3"/>
        <v>29269.24</v>
      </c>
      <c r="V18" s="86">
        <f t="shared" ref="V18" si="4">V12+SUM(V14:V17)</f>
        <v>30009.014060000001</v>
      </c>
      <c r="W18" s="85"/>
      <c r="X18" s="676"/>
      <c r="Y18" s="86"/>
      <c r="Z18" s="676"/>
      <c r="AA18" s="627"/>
      <c r="AB18" s="1505"/>
      <c r="AC18" s="1505"/>
      <c r="AD18" s="1505"/>
      <c r="AE18" s="1505"/>
      <c r="AF18" s="1" t="s">
        <v>931</v>
      </c>
      <c r="AG18" s="1" t="s">
        <v>931</v>
      </c>
    </row>
    <row r="19" spans="1:33" ht="12" customHeight="1">
      <c r="A19" s="102" t="s">
        <v>333</v>
      </c>
      <c r="B19" s="31"/>
      <c r="C19" s="28"/>
      <c r="D19" s="29">
        <f t="shared" ref="D19:N19" si="5">+D18/C18-1</f>
        <v>-1.4143494679025093E-2</v>
      </c>
      <c r="E19" s="29">
        <f t="shared" si="5"/>
        <v>-1.7584790027160624E-2</v>
      </c>
      <c r="F19" s="29">
        <f t="shared" si="5"/>
        <v>7.9750469641655108E-3</v>
      </c>
      <c r="G19" s="29">
        <f t="shared" si="5"/>
        <v>-2.0595681834165602E-2</v>
      </c>
      <c r="H19" s="29">
        <f t="shared" si="5"/>
        <v>-5.049134182814341E-2</v>
      </c>
      <c r="I19" s="29">
        <f t="shared" si="5"/>
        <v>2.4024144368037348E-2</v>
      </c>
      <c r="J19" s="790">
        <f t="shared" si="5"/>
        <v>2.4926849453477562E-2</v>
      </c>
      <c r="K19" s="28">
        <f t="shared" si="5"/>
        <v>0.11462439021111348</v>
      </c>
      <c r="L19" s="29">
        <f t="shared" si="5"/>
        <v>-2.4049129162935223E-2</v>
      </c>
      <c r="M19" s="29">
        <f t="shared" si="5"/>
        <v>4.7621522106092939E-2</v>
      </c>
      <c r="N19" s="29">
        <f t="shared" si="5"/>
        <v>0.10584882648831773</v>
      </c>
      <c r="O19" s="29">
        <f>+O18/N18-1</f>
        <v>0.11934368215280577</v>
      </c>
      <c r="P19" s="29">
        <f t="shared" ref="P19:Q19" si="6">+P18/O18-1</f>
        <v>4.5730991708052837E-3</v>
      </c>
      <c r="Q19" s="29">
        <f t="shared" si="6"/>
        <v>-3.9409616184326035E-3</v>
      </c>
      <c r="R19" s="1138">
        <f t="shared" ref="R19" si="7">+R18/Q18-1</f>
        <v>1.4241720109705147E-2</v>
      </c>
      <c r="S19" s="27"/>
      <c r="T19" s="28">
        <f>T18/J18-1</f>
        <v>3.9957380049950864E-2</v>
      </c>
      <c r="U19" s="29">
        <f>U18/T18-1</f>
        <v>1.3988067154060868E-2</v>
      </c>
      <c r="V19" s="29">
        <f>V18/U18-1</f>
        <v>2.5274795655780613E-2</v>
      </c>
      <c r="W19" s="28"/>
      <c r="X19" s="29"/>
      <c r="Y19" s="29"/>
      <c r="Z19" s="29"/>
      <c r="AA19" s="30"/>
      <c r="AF19" s="1" t="s">
        <v>931</v>
      </c>
      <c r="AG19" s="1" t="s">
        <v>931</v>
      </c>
    </row>
    <row r="20" spans="1:33" ht="12" customHeight="1">
      <c r="A20" s="31"/>
      <c r="B20" s="31"/>
      <c r="C20" s="31"/>
      <c r="D20" s="31"/>
      <c r="E20" s="31"/>
      <c r="F20" s="31"/>
      <c r="G20" s="31"/>
      <c r="H20" s="31"/>
      <c r="I20" s="31"/>
      <c r="J20" s="691"/>
      <c r="K20" s="32"/>
      <c r="L20" s="32"/>
      <c r="M20" s="32"/>
      <c r="N20" s="32"/>
      <c r="O20" s="32"/>
      <c r="P20" s="32"/>
      <c r="Q20" s="32"/>
      <c r="R20" s="32"/>
      <c r="S20" s="27"/>
      <c r="T20" s="32"/>
      <c r="U20" s="32"/>
      <c r="V20" s="32"/>
      <c r="W20" s="32"/>
      <c r="X20" s="32"/>
      <c r="Y20" s="32"/>
      <c r="Z20" s="32"/>
      <c r="AA20" s="32"/>
    </row>
    <row r="21" spans="1:33" ht="15.6" customHeight="1">
      <c r="A21" s="15" t="s">
        <v>334</v>
      </c>
      <c r="B21" s="15"/>
      <c r="C21" s="15"/>
      <c r="D21" s="15"/>
      <c r="E21" s="15"/>
      <c r="F21" s="15"/>
      <c r="G21" s="15"/>
      <c r="H21" s="15"/>
      <c r="I21" s="15"/>
      <c r="J21" s="685"/>
      <c r="K21" s="17"/>
      <c r="L21" s="17"/>
      <c r="M21" s="17"/>
      <c r="N21" s="17"/>
      <c r="O21" s="18"/>
      <c r="P21" s="17"/>
      <c r="Q21" s="18"/>
      <c r="R21" s="17"/>
      <c r="S21" s="18"/>
      <c r="T21" s="17"/>
      <c r="U21" s="17"/>
      <c r="V21" s="17"/>
      <c r="W21" s="19"/>
      <c r="X21" s="19"/>
      <c r="Y21" s="19"/>
      <c r="Z21" s="19"/>
      <c r="AA21" s="19"/>
    </row>
    <row r="22" spans="1:33" ht="12" customHeight="1">
      <c r="A22" s="135" t="s">
        <v>335</v>
      </c>
      <c r="B22" s="24"/>
      <c r="C22" s="677"/>
      <c r="D22" s="659"/>
      <c r="E22" s="659"/>
      <c r="F22" s="659"/>
      <c r="G22" s="659"/>
      <c r="H22" s="659"/>
      <c r="I22" s="678"/>
      <c r="J22" s="733"/>
      <c r="K22" s="677"/>
      <c r="L22" s="659"/>
      <c r="M22" s="1147"/>
      <c r="N22" s="677"/>
      <c r="O22" s="659"/>
      <c r="P22" s="659"/>
      <c r="Q22" s="659"/>
      <c r="R22" s="1148"/>
      <c r="S22" s="26"/>
      <c r="T22" s="677"/>
      <c r="U22" s="659"/>
      <c r="V22" s="1111"/>
      <c r="W22" s="1099"/>
      <c r="X22" s="679"/>
      <c r="Y22" s="680"/>
      <c r="Z22" s="679"/>
      <c r="AA22" s="1087"/>
      <c r="AF22" s="1" t="s">
        <v>931</v>
      </c>
      <c r="AG22" s="1" t="s">
        <v>931</v>
      </c>
    </row>
    <row r="23" spans="1:33" ht="12" customHeight="1">
      <c r="A23" s="21" t="s">
        <v>336</v>
      </c>
      <c r="B23" s="24"/>
      <c r="C23" s="667"/>
      <c r="D23" s="660"/>
      <c r="E23" s="660"/>
      <c r="F23" s="660"/>
      <c r="G23" s="660"/>
      <c r="H23" s="660"/>
      <c r="I23" s="641"/>
      <c r="J23" s="717"/>
      <c r="K23" s="667"/>
      <c r="L23" s="660"/>
      <c r="M23" s="1084"/>
      <c r="N23" s="667"/>
      <c r="O23" s="660"/>
      <c r="P23" s="660"/>
      <c r="Q23" s="660"/>
      <c r="R23" s="668"/>
      <c r="S23" s="26"/>
      <c r="T23" s="667"/>
      <c r="U23" s="660"/>
      <c r="V23" s="1112"/>
      <c r="W23" s="1100"/>
      <c r="X23" s="651"/>
      <c r="Y23" s="669"/>
      <c r="Z23" s="651"/>
      <c r="AA23" s="1088"/>
      <c r="AF23" s="1" t="s">
        <v>931</v>
      </c>
      <c r="AG23" s="1" t="s">
        <v>931</v>
      </c>
    </row>
    <row r="24" spans="1:33" ht="12" customHeight="1">
      <c r="A24" s="21" t="s">
        <v>337</v>
      </c>
      <c r="B24" s="24"/>
      <c r="C24" s="667"/>
      <c r="D24" s="660"/>
      <c r="E24" s="660"/>
      <c r="F24" s="660"/>
      <c r="G24" s="660"/>
      <c r="H24" s="660"/>
      <c r="I24" s="641"/>
      <c r="J24" s="717"/>
      <c r="K24" s="667"/>
      <c r="L24" s="660"/>
      <c r="M24" s="1084"/>
      <c r="N24" s="667"/>
      <c r="O24" s="660"/>
      <c r="P24" s="660"/>
      <c r="Q24" s="660"/>
      <c r="R24" s="668"/>
      <c r="S24" s="26"/>
      <c r="T24" s="667"/>
      <c r="U24" s="660"/>
      <c r="V24" s="1112"/>
      <c r="W24" s="1100"/>
      <c r="X24" s="651"/>
      <c r="Y24" s="669"/>
      <c r="Z24" s="651"/>
      <c r="AA24" s="1088"/>
      <c r="AB24" s="133"/>
      <c r="AF24" s="1" t="s">
        <v>931</v>
      </c>
      <c r="AG24" s="1" t="s">
        <v>931</v>
      </c>
    </row>
    <row r="25" spans="1:33" ht="12" customHeight="1">
      <c r="A25" s="21" t="s">
        <v>338</v>
      </c>
      <c r="B25" s="24"/>
      <c r="C25" s="667"/>
      <c r="D25" s="660"/>
      <c r="E25" s="660"/>
      <c r="F25" s="660"/>
      <c r="G25" s="660"/>
      <c r="H25" s="660"/>
      <c r="I25" s="641"/>
      <c r="J25" s="717"/>
      <c r="K25" s="667"/>
      <c r="L25" s="660"/>
      <c r="M25" s="1084"/>
      <c r="N25" s="667"/>
      <c r="O25" s="660"/>
      <c r="P25" s="660"/>
      <c r="Q25" s="660"/>
      <c r="R25" s="668"/>
      <c r="S25" s="26"/>
      <c r="T25" s="667"/>
      <c r="U25" s="660"/>
      <c r="V25" s="1112"/>
      <c r="W25" s="1100"/>
      <c r="X25" s="651"/>
      <c r="Y25" s="669"/>
      <c r="Z25" s="651"/>
      <c r="AA25" s="1088"/>
      <c r="AF25" s="1" t="s">
        <v>931</v>
      </c>
      <c r="AG25" s="1" t="s">
        <v>931</v>
      </c>
    </row>
    <row r="26" spans="1:33" ht="12" customHeight="1">
      <c r="A26" s="21" t="s">
        <v>339</v>
      </c>
      <c r="B26" s="24"/>
      <c r="C26" s="667"/>
      <c r="D26" s="660"/>
      <c r="E26" s="660"/>
      <c r="F26" s="660"/>
      <c r="G26" s="660"/>
      <c r="H26" s="660"/>
      <c r="I26" s="641"/>
      <c r="J26" s="717"/>
      <c r="K26" s="667"/>
      <c r="L26" s="660"/>
      <c r="M26" s="1084"/>
      <c r="N26" s="667"/>
      <c r="O26" s="660"/>
      <c r="P26" s="660"/>
      <c r="Q26" s="660"/>
      <c r="R26" s="668"/>
      <c r="S26" s="26"/>
      <c r="T26" s="667"/>
      <c r="U26" s="660"/>
      <c r="V26" s="1112"/>
      <c r="W26" s="1100"/>
      <c r="X26" s="651"/>
      <c r="Y26" s="669"/>
      <c r="Z26" s="651"/>
      <c r="AA26" s="1088"/>
      <c r="AF26" s="1" t="s">
        <v>931</v>
      </c>
      <c r="AG26" s="1" t="s">
        <v>931</v>
      </c>
    </row>
    <row r="27" spans="1:33" ht="12" customHeight="1">
      <c r="A27" s="21" t="s">
        <v>340</v>
      </c>
      <c r="B27" s="24"/>
      <c r="C27" s="667"/>
      <c r="D27" s="660"/>
      <c r="E27" s="660"/>
      <c r="F27" s="660"/>
      <c r="G27" s="660"/>
      <c r="H27" s="660"/>
      <c r="I27" s="641"/>
      <c r="J27" s="717"/>
      <c r="K27" s="667"/>
      <c r="L27" s="660"/>
      <c r="M27" s="1084"/>
      <c r="N27" s="667"/>
      <c r="O27" s="660"/>
      <c r="P27" s="660"/>
      <c r="Q27" s="660"/>
      <c r="R27" s="668"/>
      <c r="S27" s="26"/>
      <c r="T27" s="667"/>
      <c r="U27" s="660"/>
      <c r="V27" s="1112"/>
      <c r="W27" s="1100"/>
      <c r="X27" s="651"/>
      <c r="Y27" s="669"/>
      <c r="Z27" s="651"/>
      <c r="AA27" s="1088"/>
      <c r="AF27" s="1" t="s">
        <v>931</v>
      </c>
      <c r="AG27" s="1" t="s">
        <v>931</v>
      </c>
    </row>
    <row r="28" spans="1:33" ht="12" customHeight="1">
      <c r="A28" s="21" t="s">
        <v>341</v>
      </c>
      <c r="B28" s="24"/>
      <c r="C28" s="37">
        <v>29130</v>
      </c>
      <c r="D28" s="5">
        <v>28718</v>
      </c>
      <c r="E28" s="5">
        <v>28213</v>
      </c>
      <c r="F28" s="5">
        <v>28438</v>
      </c>
      <c r="G28" s="5">
        <v>27852.3</v>
      </c>
      <c r="H28" s="5">
        <v>26446</v>
      </c>
      <c r="I28" s="5">
        <v>27081.342521957115</v>
      </c>
      <c r="J28" s="687">
        <f>J18</f>
        <v>27756.395069999999</v>
      </c>
      <c r="K28" s="37">
        <f>K18</f>
        <v>30937.954929357504</v>
      </c>
      <c r="L28" s="5">
        <f>L18</f>
        <v>30193.924055224317</v>
      </c>
      <c r="M28" s="1076">
        <f>M18</f>
        <v>31631.804677089873</v>
      </c>
      <c r="N28" s="37">
        <v>34979.99408186751</v>
      </c>
      <c r="O28" s="5">
        <v>39154.635377280945</v>
      </c>
      <c r="P28" s="5">
        <v>39333.693407857965</v>
      </c>
      <c r="Q28" s="5">
        <v>39178.680831826401</v>
      </c>
      <c r="R28" s="25">
        <v>39736.652638500746</v>
      </c>
      <c r="S28" s="26"/>
      <c r="T28" s="37">
        <f>T18</f>
        <v>28865.467896628572</v>
      </c>
      <c r="U28" s="5">
        <f>U18</f>
        <v>29269.24</v>
      </c>
      <c r="V28" s="1113">
        <f>V18</f>
        <v>30009.014060000001</v>
      </c>
      <c r="W28" s="1101"/>
      <c r="X28" s="5"/>
      <c r="Y28" s="35"/>
      <c r="Z28" s="5"/>
      <c r="AA28" s="580"/>
      <c r="AF28" s="1" t="s">
        <v>931</v>
      </c>
      <c r="AG28" s="1" t="s">
        <v>931</v>
      </c>
    </row>
    <row r="29" spans="1:33" ht="12" customHeight="1">
      <c r="A29" s="21" t="s">
        <v>342</v>
      </c>
      <c r="B29" s="24"/>
      <c r="C29" s="667"/>
      <c r="D29" s="660"/>
      <c r="E29" s="660"/>
      <c r="F29" s="660"/>
      <c r="G29" s="660"/>
      <c r="H29" s="660"/>
      <c r="I29" s="641"/>
      <c r="J29" s="717"/>
      <c r="K29" s="667"/>
      <c r="L29" s="660"/>
      <c r="M29" s="1084"/>
      <c r="N29" s="667"/>
      <c r="O29" s="660"/>
      <c r="P29" s="660"/>
      <c r="Q29" s="660"/>
      <c r="R29" s="668"/>
      <c r="S29" s="26"/>
      <c r="T29" s="667"/>
      <c r="U29" s="660"/>
      <c r="V29" s="1112"/>
      <c r="W29" s="1100"/>
      <c r="X29" s="651"/>
      <c r="Y29" s="669"/>
      <c r="Z29" s="651"/>
      <c r="AA29" s="1088"/>
      <c r="AF29" s="1" t="s">
        <v>931</v>
      </c>
      <c r="AG29" s="1" t="s">
        <v>931</v>
      </c>
    </row>
    <row r="30" spans="1:33" ht="12" customHeight="1">
      <c r="A30" s="21" t="s">
        <v>343</v>
      </c>
      <c r="B30" s="24"/>
      <c r="C30" s="667"/>
      <c r="D30" s="660"/>
      <c r="E30" s="660"/>
      <c r="F30" s="660"/>
      <c r="G30" s="660"/>
      <c r="H30" s="660"/>
      <c r="I30" s="641"/>
      <c r="J30" s="717"/>
      <c r="K30" s="667"/>
      <c r="L30" s="660"/>
      <c r="M30" s="1084"/>
      <c r="N30" s="667"/>
      <c r="O30" s="660"/>
      <c r="P30" s="660"/>
      <c r="Q30" s="660"/>
      <c r="R30" s="668"/>
      <c r="S30" s="26"/>
      <c r="T30" s="667"/>
      <c r="U30" s="660"/>
      <c r="V30" s="1112"/>
      <c r="W30" s="1100"/>
      <c r="X30" s="651"/>
      <c r="Y30" s="669"/>
      <c r="Z30" s="651"/>
      <c r="AA30" s="1088"/>
      <c r="AF30" s="1" t="s">
        <v>931</v>
      </c>
      <c r="AG30" s="1" t="s">
        <v>931</v>
      </c>
    </row>
    <row r="31" spans="1:33" s="143" customFormat="1" ht="12" customHeight="1">
      <c r="A31" s="141" t="s">
        <v>344</v>
      </c>
      <c r="B31" s="134"/>
      <c r="C31" s="85">
        <f t="shared" ref="C31:H31" si="8">SUM(C22:C30)</f>
        <v>29130</v>
      </c>
      <c r="D31" s="86">
        <f t="shared" si="8"/>
        <v>28718</v>
      </c>
      <c r="E31" s="86">
        <f t="shared" si="8"/>
        <v>28213</v>
      </c>
      <c r="F31" s="86">
        <f t="shared" si="8"/>
        <v>28438</v>
      </c>
      <c r="G31" s="86">
        <f t="shared" si="8"/>
        <v>27852.3</v>
      </c>
      <c r="H31" s="86">
        <f t="shared" si="8"/>
        <v>26446</v>
      </c>
      <c r="I31" s="86">
        <f t="shared" ref="I31:O31" si="9">SUM(I22:I30)</f>
        <v>27081.342521957115</v>
      </c>
      <c r="J31" s="689">
        <f t="shared" si="9"/>
        <v>27756.395069999999</v>
      </c>
      <c r="K31" s="85">
        <f t="shared" si="9"/>
        <v>30937.954929357504</v>
      </c>
      <c r="L31" s="86">
        <f t="shared" si="9"/>
        <v>30193.924055224317</v>
      </c>
      <c r="M31" s="789">
        <f t="shared" si="9"/>
        <v>31631.804677089873</v>
      </c>
      <c r="N31" s="85">
        <f t="shared" si="9"/>
        <v>34979.99408186751</v>
      </c>
      <c r="O31" s="86">
        <f t="shared" si="9"/>
        <v>39154.635377280945</v>
      </c>
      <c r="P31" s="86">
        <f t="shared" ref="P31:R31" si="10">SUM(P22:P30)</f>
        <v>39333.693407857965</v>
      </c>
      <c r="Q31" s="86">
        <f t="shared" si="10"/>
        <v>39178.680831826401</v>
      </c>
      <c r="R31" s="627">
        <f t="shared" si="10"/>
        <v>39736.652638500746</v>
      </c>
      <c r="S31" s="87"/>
      <c r="T31" s="85">
        <f t="shared" ref="T31:U31" si="11">SUM(T22:T30)</f>
        <v>28865.467896628572</v>
      </c>
      <c r="U31" s="86">
        <f t="shared" si="11"/>
        <v>29269.24</v>
      </c>
      <c r="V31" s="86">
        <f t="shared" ref="V31" si="12">SUM(V22:V30)</f>
        <v>30009.014060000001</v>
      </c>
      <c r="W31" s="85"/>
      <c r="X31" s="86"/>
      <c r="Y31" s="86"/>
      <c r="Z31" s="86"/>
      <c r="AA31" s="627"/>
      <c r="AF31" s="1" t="s">
        <v>931</v>
      </c>
      <c r="AG31" s="1" t="s">
        <v>931</v>
      </c>
    </row>
    <row r="32" spans="1:33" ht="12" customHeight="1">
      <c r="A32" s="102" t="s">
        <v>333</v>
      </c>
      <c r="B32" s="681"/>
      <c r="C32" s="28"/>
      <c r="D32" s="29">
        <f t="shared" ref="D32" si="13">+D31/C31-1</f>
        <v>-1.4143494679025093E-2</v>
      </c>
      <c r="E32" s="29">
        <f t="shared" ref="E32" si="14">+E31/D31-1</f>
        <v>-1.7584790027160624E-2</v>
      </c>
      <c r="F32" s="29">
        <f t="shared" ref="F32" si="15">+F31/E31-1</f>
        <v>7.9750469641655108E-3</v>
      </c>
      <c r="G32" s="29">
        <f t="shared" ref="G32" si="16">+G31/F31-1</f>
        <v>-2.0595681834165602E-2</v>
      </c>
      <c r="H32" s="29">
        <f t="shared" ref="H32" si="17">+H31/G31-1</f>
        <v>-5.049134182814341E-2</v>
      </c>
      <c r="I32" s="29">
        <f t="shared" ref="I32" si="18">+I31/H31-1</f>
        <v>2.4024144368037348E-2</v>
      </c>
      <c r="J32" s="790">
        <f t="shared" ref="J32" si="19">+J31/I31-1</f>
        <v>2.4926849453477562E-2</v>
      </c>
      <c r="K32" s="28">
        <f t="shared" ref="K32" si="20">+K31/J31-1</f>
        <v>0.11462439021111348</v>
      </c>
      <c r="L32" s="29">
        <f t="shared" ref="L32" si="21">+L31/K31-1</f>
        <v>-2.4049129162935223E-2</v>
      </c>
      <c r="M32" s="29">
        <f t="shared" ref="M32" si="22">+M31/L31-1</f>
        <v>4.7621522106092939E-2</v>
      </c>
      <c r="N32" s="29">
        <f t="shared" ref="N32" si="23">+N31/M31-1</f>
        <v>0.1058488264883175</v>
      </c>
      <c r="O32" s="29">
        <f>+O31/N31-1</f>
        <v>0.11934368215280622</v>
      </c>
      <c r="P32" s="29">
        <f t="shared" ref="P32" si="24">+P31/O31-1</f>
        <v>4.5730991708050617E-3</v>
      </c>
      <c r="Q32" s="29">
        <f t="shared" ref="Q32" si="25">+Q31/P31-1</f>
        <v>-3.9409616184326035E-3</v>
      </c>
      <c r="R32" s="1138">
        <f t="shared" ref="R32" si="26">+R31/Q31-1</f>
        <v>1.4241720109705147E-2</v>
      </c>
      <c r="S32" s="27"/>
      <c r="T32" s="28">
        <f>T31/J31-1</f>
        <v>3.9957380049950864E-2</v>
      </c>
      <c r="U32" s="29">
        <f>U31/T31-1</f>
        <v>1.3988067154060868E-2</v>
      </c>
      <c r="V32" s="29">
        <f>V31/U31-1</f>
        <v>2.5274795655780613E-2</v>
      </c>
      <c r="W32" s="28"/>
      <c r="X32" s="29"/>
      <c r="Y32" s="29"/>
      <c r="Z32" s="29"/>
      <c r="AA32" s="30"/>
      <c r="AF32" s="1" t="s">
        <v>931</v>
      </c>
      <c r="AG32" s="1" t="s">
        <v>931</v>
      </c>
    </row>
    <row r="33" spans="1:33" ht="12" customHeight="1">
      <c r="A33" s="31"/>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row>
    <row r="34" spans="1:33" ht="15.6" customHeight="1">
      <c r="A34" s="15" t="s">
        <v>345</v>
      </c>
      <c r="B34" s="15"/>
      <c r="C34" s="15"/>
      <c r="D34" s="15"/>
      <c r="E34" s="15"/>
      <c r="F34" s="15"/>
      <c r="G34" s="15"/>
      <c r="H34" s="15"/>
      <c r="I34" s="15"/>
      <c r="J34" s="685"/>
      <c r="K34" s="17"/>
      <c r="L34" s="17"/>
      <c r="M34" s="17"/>
      <c r="N34" s="17"/>
      <c r="O34" s="18"/>
      <c r="P34" s="17"/>
      <c r="Q34" s="18"/>
      <c r="R34" s="17"/>
      <c r="S34" s="18"/>
      <c r="T34" s="17"/>
      <c r="U34" s="17"/>
      <c r="V34" s="17"/>
      <c r="W34" s="17"/>
      <c r="X34" s="17"/>
      <c r="Y34" s="17"/>
      <c r="Z34" s="17"/>
      <c r="AA34" s="17"/>
    </row>
    <row r="35" spans="1:33" ht="12" customHeight="1">
      <c r="A35" s="15" t="s">
        <v>346</v>
      </c>
      <c r="B35" s="15"/>
      <c r="C35" s="15"/>
      <c r="D35" s="15"/>
      <c r="E35" s="15"/>
      <c r="F35" s="15"/>
      <c r="G35" s="15"/>
      <c r="H35" s="15"/>
      <c r="I35" s="15"/>
      <c r="J35" s="685"/>
      <c r="K35" s="17"/>
      <c r="L35" s="17"/>
      <c r="M35" s="17"/>
      <c r="N35" s="17"/>
      <c r="O35" s="17"/>
      <c r="P35" s="17"/>
      <c r="Q35" s="17"/>
      <c r="R35" s="17"/>
      <c r="S35" s="17"/>
      <c r="T35" s="17"/>
      <c r="U35" s="17"/>
      <c r="V35" s="17"/>
      <c r="W35" s="17"/>
      <c r="X35" s="17"/>
      <c r="Y35" s="17"/>
      <c r="Z35" s="17"/>
      <c r="AA35" s="17"/>
    </row>
    <row r="36" spans="1:33" ht="12" customHeight="1">
      <c r="A36" s="42" t="s">
        <v>347</v>
      </c>
      <c r="B36" s="21"/>
      <c r="C36" s="22"/>
      <c r="D36" s="22"/>
      <c r="E36" s="22"/>
      <c r="F36" s="22">
        <v>39505</v>
      </c>
      <c r="G36" s="22">
        <v>39505</v>
      </c>
      <c r="H36" s="22">
        <v>39505</v>
      </c>
      <c r="I36" s="647">
        <v>39505</v>
      </c>
      <c r="J36" s="718">
        <v>39505</v>
      </c>
      <c r="K36" s="67">
        <v>37554.786616582744</v>
      </c>
      <c r="L36" s="22">
        <v>37554.786616582744</v>
      </c>
      <c r="M36" s="1079">
        <v>37554.786616582744</v>
      </c>
      <c r="N36" s="67">
        <v>76654.933598278745</v>
      </c>
      <c r="O36" s="22">
        <v>80280.373326035013</v>
      </c>
      <c r="P36" s="22">
        <v>78357.157308112059</v>
      </c>
      <c r="Q36" s="22">
        <v>71004.0124019535</v>
      </c>
      <c r="R36" s="23">
        <v>64251.301804699513</v>
      </c>
      <c r="S36" s="43"/>
      <c r="T36" s="67">
        <v>46394.733938780322</v>
      </c>
      <c r="U36" s="22">
        <v>48900</v>
      </c>
      <c r="V36" s="1490">
        <v>57624.423036878623</v>
      </c>
      <c r="W36" s="1102"/>
      <c r="X36" s="647"/>
      <c r="Y36" s="647"/>
      <c r="Z36" s="647"/>
      <c r="AA36" s="648"/>
      <c r="AF36" s="1" t="s">
        <v>931</v>
      </c>
      <c r="AG36" s="1" t="s">
        <v>931</v>
      </c>
    </row>
    <row r="37" spans="1:33" ht="12" customHeight="1">
      <c r="A37" s="44" t="s">
        <v>348</v>
      </c>
      <c r="B37" s="21"/>
      <c r="C37" s="5"/>
      <c r="D37" s="5"/>
      <c r="E37" s="5"/>
      <c r="F37" s="5"/>
      <c r="G37" s="5"/>
      <c r="H37" s="5"/>
      <c r="I37" s="642">
        <v>0</v>
      </c>
      <c r="J37" s="719">
        <v>0</v>
      </c>
      <c r="K37" s="37">
        <v>0</v>
      </c>
      <c r="L37" s="5">
        <v>0</v>
      </c>
      <c r="M37" s="1076">
        <v>0</v>
      </c>
      <c r="N37" s="37">
        <v>0</v>
      </c>
      <c r="O37" s="5">
        <v>0</v>
      </c>
      <c r="P37" s="5">
        <v>0</v>
      </c>
      <c r="Q37" s="5">
        <v>0</v>
      </c>
      <c r="R37" s="25">
        <v>0</v>
      </c>
      <c r="S37" s="43"/>
      <c r="T37" s="37">
        <v>0</v>
      </c>
      <c r="U37" s="5">
        <v>0</v>
      </c>
      <c r="V37" s="1113">
        <v>0</v>
      </c>
      <c r="W37" s="1101"/>
      <c r="X37" s="642"/>
      <c r="Y37" s="661"/>
      <c r="Z37" s="642"/>
      <c r="AA37" s="1089"/>
      <c r="AF37" s="1" t="s">
        <v>931</v>
      </c>
      <c r="AG37" s="1" t="s">
        <v>931</v>
      </c>
    </row>
    <row r="38" spans="1:33" ht="12" customHeight="1">
      <c r="A38" s="44" t="s">
        <v>349</v>
      </c>
      <c r="B38" s="21"/>
      <c r="C38" s="5"/>
      <c r="D38" s="5"/>
      <c r="E38" s="5"/>
      <c r="F38" s="5">
        <v>0</v>
      </c>
      <c r="G38" s="5">
        <v>0</v>
      </c>
      <c r="H38" s="5">
        <v>0</v>
      </c>
      <c r="I38" s="642">
        <v>0</v>
      </c>
      <c r="J38" s="719">
        <v>0</v>
      </c>
      <c r="K38" s="37">
        <v>0</v>
      </c>
      <c r="L38" s="5">
        <v>0</v>
      </c>
      <c r="M38" s="1076">
        <v>0</v>
      </c>
      <c r="N38" s="37">
        <v>0</v>
      </c>
      <c r="O38" s="5">
        <v>0</v>
      </c>
      <c r="P38" s="5">
        <v>0</v>
      </c>
      <c r="Q38" s="5">
        <v>0</v>
      </c>
      <c r="R38" s="25">
        <v>0</v>
      </c>
      <c r="S38" s="43"/>
      <c r="T38" s="37">
        <v>0</v>
      </c>
      <c r="U38" s="5">
        <v>0</v>
      </c>
      <c r="V38" s="1113">
        <v>0</v>
      </c>
      <c r="W38" s="1101"/>
      <c r="X38" s="642"/>
      <c r="Y38" s="661"/>
      <c r="Z38" s="642"/>
      <c r="AA38" s="1089"/>
      <c r="AF38" s="1" t="s">
        <v>931</v>
      </c>
      <c r="AG38" s="1" t="s">
        <v>931</v>
      </c>
    </row>
    <row r="39" spans="1:33" ht="12" customHeight="1">
      <c r="A39" s="45" t="s">
        <v>350</v>
      </c>
      <c r="B39" s="21"/>
      <c r="C39" s="148">
        <f>SUM(C36:C38)</f>
        <v>0</v>
      </c>
      <c r="D39" s="148">
        <f>SUM(D36:D38)</f>
        <v>0</v>
      </c>
      <c r="E39" s="148">
        <f>SUM(E36:E38)</f>
        <v>0</v>
      </c>
      <c r="F39" s="148">
        <f>SUM(F36:F38)</f>
        <v>39505</v>
      </c>
      <c r="G39" s="148">
        <f t="shared" ref="G39:O39" si="27">SUM(G36:G38)</f>
        <v>39505</v>
      </c>
      <c r="H39" s="148">
        <f t="shared" si="27"/>
        <v>39505</v>
      </c>
      <c r="I39" s="148">
        <f t="shared" si="27"/>
        <v>39505</v>
      </c>
      <c r="J39" s="707">
        <f t="shared" si="27"/>
        <v>39505</v>
      </c>
      <c r="K39" s="147">
        <f t="shared" si="27"/>
        <v>37554.786616582744</v>
      </c>
      <c r="L39" s="148">
        <f t="shared" si="27"/>
        <v>37554.786616582744</v>
      </c>
      <c r="M39" s="905">
        <f t="shared" si="27"/>
        <v>37554.786616582744</v>
      </c>
      <c r="N39" s="147">
        <f t="shared" si="27"/>
        <v>76654.933598278745</v>
      </c>
      <c r="O39" s="148">
        <f t="shared" si="27"/>
        <v>80280.373326035013</v>
      </c>
      <c r="P39" s="148">
        <f t="shared" ref="P39:R39" si="28">SUM(P36:P38)</f>
        <v>78357.157308112059</v>
      </c>
      <c r="Q39" s="148">
        <f t="shared" si="28"/>
        <v>71004.0124019535</v>
      </c>
      <c r="R39" s="149">
        <f t="shared" si="28"/>
        <v>64251.301804699513</v>
      </c>
      <c r="S39" s="43"/>
      <c r="T39" s="147">
        <f t="shared" ref="T39:U39" si="29">SUM(T36:T38)</f>
        <v>46394.733938780322</v>
      </c>
      <c r="U39" s="148">
        <f t="shared" si="29"/>
        <v>48900</v>
      </c>
      <c r="V39" s="148">
        <f t="shared" ref="V39" si="30">SUM(V36:V38)</f>
        <v>57624.423036878623</v>
      </c>
      <c r="W39" s="147"/>
      <c r="X39" s="148"/>
      <c r="Y39" s="148"/>
      <c r="Z39" s="148"/>
      <c r="AA39" s="149"/>
      <c r="AF39" s="1" t="s">
        <v>931</v>
      </c>
      <c r="AG39" s="1" t="s">
        <v>931</v>
      </c>
    </row>
    <row r="40" spans="1:33" ht="12" customHeight="1">
      <c r="A40" s="15" t="s">
        <v>351</v>
      </c>
      <c r="B40" s="15"/>
      <c r="C40" s="15"/>
      <c r="D40" s="15"/>
      <c r="E40" s="15"/>
      <c r="F40" s="15"/>
      <c r="G40" s="15"/>
      <c r="H40" s="15"/>
      <c r="I40" s="15"/>
      <c r="J40" s="685"/>
      <c r="K40" s="17"/>
      <c r="L40" s="17"/>
      <c r="M40" s="17"/>
      <c r="N40" s="17"/>
      <c r="O40" s="17"/>
      <c r="P40" s="17"/>
      <c r="Q40" s="17"/>
      <c r="R40" s="17"/>
      <c r="S40" s="51"/>
      <c r="T40" s="51"/>
      <c r="U40" s="51"/>
      <c r="V40" s="51"/>
      <c r="W40" s="16"/>
      <c r="X40" s="16"/>
      <c r="Y40" s="16"/>
      <c r="Z40" s="16"/>
      <c r="AA40" s="16"/>
    </row>
    <row r="41" spans="1:33" ht="12" customHeight="1">
      <c r="A41" s="52" t="s">
        <v>352</v>
      </c>
      <c r="B41" s="21"/>
      <c r="C41" s="121"/>
      <c r="D41" s="121"/>
      <c r="E41" s="121"/>
      <c r="F41" s="121">
        <f t="shared" ref="F41:R41" si="31">F16/F39</f>
        <v>5.2854069105176558E-2</v>
      </c>
      <c r="G41" s="121">
        <f t="shared" si="31"/>
        <v>5.2854069105176558E-2</v>
      </c>
      <c r="H41" s="121">
        <f t="shared" si="31"/>
        <v>5.2854069105176558E-2</v>
      </c>
      <c r="I41" s="121">
        <f t="shared" si="31"/>
        <v>5.2854069105176558E-2</v>
      </c>
      <c r="J41" s="720">
        <f t="shared" si="31"/>
        <v>5.2854069105176558E-2</v>
      </c>
      <c r="K41" s="858">
        <f t="shared" si="31"/>
        <v>5.2854069105176558E-2</v>
      </c>
      <c r="L41" s="859">
        <f t="shared" si="31"/>
        <v>5.2854069105176558E-2</v>
      </c>
      <c r="M41" s="1080">
        <f t="shared" si="31"/>
        <v>5.2854069105176558E-2</v>
      </c>
      <c r="N41" s="858">
        <f t="shared" si="31"/>
        <v>4.437378410656144E-2</v>
      </c>
      <c r="O41" s="859">
        <f t="shared" si="31"/>
        <v>4.4078605062636569E-2</v>
      </c>
      <c r="P41" s="859">
        <f t="shared" si="31"/>
        <v>4.3315072318558571E-2</v>
      </c>
      <c r="Q41" s="859">
        <f t="shared" si="31"/>
        <v>4.2677467116488538E-2</v>
      </c>
      <c r="R41" s="1421">
        <f t="shared" si="31"/>
        <v>4.2498455663749067E-2</v>
      </c>
      <c r="S41" s="53"/>
      <c r="T41" s="858">
        <f>T16/T39</f>
        <v>4.2783374718393871E-2</v>
      </c>
      <c r="U41" s="121">
        <f>U16/U39</f>
        <v>5.2999999999999999E-2</v>
      </c>
      <c r="V41" s="121">
        <f>V16/V39</f>
        <v>5.2999999999999999E-2</v>
      </c>
      <c r="W41" s="1103"/>
      <c r="X41" s="652"/>
      <c r="Y41" s="54"/>
      <c r="Z41" s="652"/>
      <c r="AA41" s="1090"/>
      <c r="AF41" s="1" t="s">
        <v>931</v>
      </c>
      <c r="AG41" s="1" t="s">
        <v>931</v>
      </c>
    </row>
    <row r="42" spans="1:33" ht="12" customHeight="1">
      <c r="A42" s="56" t="s">
        <v>353</v>
      </c>
      <c r="B42" s="21"/>
      <c r="C42" s="118"/>
      <c r="D42" s="117"/>
      <c r="E42" s="117"/>
      <c r="F42" s="117">
        <v>5.2999999999999999E-2</v>
      </c>
      <c r="G42" s="117">
        <v>5.2999999999999999E-2</v>
      </c>
      <c r="H42" s="117">
        <v>5.2999999999999999E-2</v>
      </c>
      <c r="I42" s="653">
        <v>5.2999999999999999E-2</v>
      </c>
      <c r="J42" s="721">
        <v>5.2999999999999999E-2</v>
      </c>
      <c r="K42" s="997">
        <v>5.2999999999999999E-2</v>
      </c>
      <c r="L42" s="998">
        <v>5.2999999999999999E-2</v>
      </c>
      <c r="M42" s="1081">
        <v>5.2999999999999999E-2</v>
      </c>
      <c r="N42" s="997">
        <v>5.2999999999999999E-2</v>
      </c>
      <c r="O42" s="998">
        <v>5.2999999999999999E-2</v>
      </c>
      <c r="P42" s="998">
        <v>5.2999999999999999E-2</v>
      </c>
      <c r="Q42" s="998">
        <v>5.2999999999999999E-2</v>
      </c>
      <c r="R42" s="1450">
        <v>5.2999999999999999E-2</v>
      </c>
      <c r="S42" s="53"/>
      <c r="T42" s="997">
        <f>K42</f>
        <v>5.2999999999999999E-2</v>
      </c>
      <c r="U42" s="117">
        <f>L42</f>
        <v>5.2999999999999999E-2</v>
      </c>
      <c r="V42" s="1115">
        <f>M42</f>
        <v>5.2999999999999999E-2</v>
      </c>
      <c r="W42" s="1104"/>
      <c r="X42" s="654"/>
      <c r="Y42" s="57"/>
      <c r="Z42" s="654"/>
      <c r="AA42" s="1091"/>
      <c r="AF42" s="1" t="s">
        <v>931</v>
      </c>
      <c r="AG42" s="1" t="s">
        <v>931</v>
      </c>
    </row>
    <row r="43" spans="1:33" ht="12" customHeight="1">
      <c r="A43" s="56" t="s">
        <v>354</v>
      </c>
      <c r="B43" s="21"/>
      <c r="C43" s="118"/>
      <c r="D43" s="117"/>
      <c r="E43" s="117"/>
      <c r="F43" s="117"/>
      <c r="G43" s="117"/>
      <c r="H43" s="117"/>
      <c r="I43" s="653"/>
      <c r="J43" s="721"/>
      <c r="K43" s="118"/>
      <c r="L43" s="117"/>
      <c r="M43" s="1082"/>
      <c r="N43" s="118" t="s">
        <v>382</v>
      </c>
      <c r="O43" s="117" t="s">
        <v>382</v>
      </c>
      <c r="P43" s="117" t="s">
        <v>382</v>
      </c>
      <c r="Q43" s="117" t="s">
        <v>382</v>
      </c>
      <c r="R43" s="999" t="s">
        <v>382</v>
      </c>
      <c r="S43" s="53"/>
      <c r="T43" s="118"/>
      <c r="U43" s="117"/>
      <c r="V43" s="1115"/>
      <c r="W43" s="1104"/>
      <c r="X43" s="654"/>
      <c r="Y43" s="57"/>
      <c r="Z43" s="654"/>
      <c r="AA43" s="1091"/>
      <c r="AF43" s="1" t="s">
        <v>931</v>
      </c>
      <c r="AG43" s="1" t="s">
        <v>931</v>
      </c>
    </row>
    <row r="44" spans="1:33" ht="12" customHeight="1">
      <c r="A44" s="137" t="s">
        <v>355</v>
      </c>
      <c r="B44" s="21"/>
      <c r="C44" s="120">
        <v>1</v>
      </c>
      <c r="D44" s="119">
        <v>1</v>
      </c>
      <c r="E44" s="119">
        <v>1</v>
      </c>
      <c r="F44" s="119">
        <v>1</v>
      </c>
      <c r="G44" s="119">
        <v>1</v>
      </c>
      <c r="H44" s="119">
        <v>1</v>
      </c>
      <c r="I44" s="655">
        <v>1</v>
      </c>
      <c r="J44" s="722">
        <v>1</v>
      </c>
      <c r="K44" s="120">
        <v>1</v>
      </c>
      <c r="L44" s="119">
        <v>1</v>
      </c>
      <c r="M44" s="1083">
        <v>1</v>
      </c>
      <c r="N44" s="120">
        <v>1</v>
      </c>
      <c r="O44" s="119">
        <v>1</v>
      </c>
      <c r="P44" s="119">
        <v>1</v>
      </c>
      <c r="Q44" s="119">
        <v>1</v>
      </c>
      <c r="R44" s="1000">
        <v>1</v>
      </c>
      <c r="S44" s="59"/>
      <c r="T44" s="120">
        <v>1</v>
      </c>
      <c r="U44" s="119">
        <v>1</v>
      </c>
      <c r="V44" s="1116">
        <v>1</v>
      </c>
      <c r="W44" s="103"/>
      <c r="X44" s="656"/>
      <c r="Y44" s="61"/>
      <c r="Z44" s="656"/>
      <c r="AA44" s="136"/>
      <c r="AF44" s="1" t="s">
        <v>931</v>
      </c>
      <c r="AG44" s="1" t="s">
        <v>931</v>
      </c>
    </row>
    <row r="45" spans="1:33" ht="5.7" customHeight="1">
      <c r="A45" s="17"/>
      <c r="K45" s="144"/>
      <c r="L45" s="144"/>
      <c r="M45" s="144"/>
      <c r="N45" s="144"/>
      <c r="O45" s="144"/>
      <c r="P45" s="144"/>
      <c r="Q45" s="144"/>
      <c r="R45" s="144"/>
      <c r="S45" s="59"/>
      <c r="T45" s="144"/>
      <c r="U45" s="144"/>
      <c r="V45" s="144"/>
      <c r="W45" s="145"/>
      <c r="X45" s="145"/>
      <c r="Y45" s="145"/>
      <c r="Z45" s="145"/>
      <c r="AA45" s="145"/>
    </row>
    <row r="46" spans="1:33" s="604" customFormat="1" ht="12" customHeight="1">
      <c r="A46" s="71" t="s">
        <v>356</v>
      </c>
      <c r="B46" s="2"/>
      <c r="C46" s="2"/>
      <c r="D46" s="2"/>
      <c r="E46" s="2"/>
      <c r="F46" s="2"/>
      <c r="G46" s="2"/>
      <c r="H46" s="2"/>
      <c r="I46" s="2"/>
      <c r="J46" s="638"/>
      <c r="K46" s="27"/>
      <c r="L46" s="27"/>
      <c r="M46" s="27"/>
      <c r="N46" s="27"/>
      <c r="O46" s="27"/>
      <c r="P46" s="27"/>
      <c r="Q46" s="27"/>
      <c r="R46" s="27"/>
      <c r="S46" s="27"/>
      <c r="T46" s="27"/>
      <c r="U46" s="27"/>
      <c r="V46" s="27"/>
      <c r="W46" s="603"/>
      <c r="X46" s="603"/>
      <c r="Y46" s="603"/>
      <c r="Z46" s="603"/>
      <c r="AA46" s="603"/>
    </row>
    <row r="47" spans="1:33" s="604" customFormat="1" ht="12" customHeight="1">
      <c r="A47" s="126" t="s">
        <v>357</v>
      </c>
      <c r="B47" s="123"/>
      <c r="C47" s="658"/>
      <c r="D47" s="658"/>
      <c r="E47" s="658"/>
      <c r="F47" s="128"/>
      <c r="G47" s="128"/>
      <c r="H47" s="128"/>
      <c r="I47" s="128"/>
      <c r="J47" s="734"/>
      <c r="K47" s="127"/>
      <c r="L47" s="128"/>
      <c r="M47" s="1105"/>
      <c r="N47" s="1340"/>
      <c r="O47" s="1341"/>
      <c r="P47" s="1341"/>
      <c r="Q47" s="1341"/>
      <c r="R47" s="1342"/>
      <c r="S47" s="218"/>
      <c r="T47" s="1001"/>
      <c r="U47" s="128"/>
      <c r="V47" s="1117"/>
      <c r="W47" s="1001"/>
      <c r="X47" s="128"/>
      <c r="Y47" s="128"/>
      <c r="Z47" s="128"/>
      <c r="AA47" s="1002"/>
      <c r="AF47" s="1" t="s">
        <v>931</v>
      </c>
      <c r="AG47" s="1" t="s">
        <v>931</v>
      </c>
    </row>
    <row r="48" spans="1:33" ht="5.7" customHeight="1">
      <c r="A48" s="17"/>
      <c r="K48" s="144"/>
      <c r="L48" s="144"/>
      <c r="M48" s="144"/>
      <c r="N48" s="144"/>
      <c r="O48" s="144"/>
      <c r="P48" s="144"/>
      <c r="Q48" s="144"/>
      <c r="R48" s="144"/>
      <c r="S48" s="59"/>
      <c r="T48" s="144"/>
      <c r="U48" s="144"/>
      <c r="V48" s="144"/>
      <c r="W48" s="145"/>
      <c r="X48" s="145"/>
      <c r="Y48" s="145"/>
      <c r="Z48" s="145"/>
      <c r="AA48" s="145"/>
    </row>
    <row r="49" spans="1:33" s="613" customFormat="1" ht="12" customHeight="1">
      <c r="A49" s="71" t="s">
        <v>358</v>
      </c>
      <c r="B49" s="2"/>
      <c r="C49" s="2"/>
      <c r="D49" s="2"/>
      <c r="E49" s="2"/>
      <c r="F49" s="2"/>
      <c r="G49" s="2"/>
      <c r="H49" s="2"/>
      <c r="I49" s="2"/>
      <c r="J49" s="638"/>
      <c r="K49" s="27"/>
      <c r="L49" s="27"/>
      <c r="M49" s="27"/>
      <c r="N49" s="27"/>
      <c r="O49" s="27"/>
      <c r="P49" s="27"/>
      <c r="Q49" s="27"/>
      <c r="R49" s="27"/>
      <c r="S49" s="27"/>
      <c r="T49" s="27"/>
      <c r="U49" s="27"/>
      <c r="V49" s="27"/>
      <c r="W49" s="603"/>
      <c r="X49" s="603"/>
      <c r="Y49" s="603"/>
      <c r="Z49" s="603"/>
      <c r="AA49" s="603"/>
    </row>
    <row r="50" spans="1:33" ht="12" customHeight="1">
      <c r="A50" s="42" t="s">
        <v>359</v>
      </c>
      <c r="B50" s="21"/>
      <c r="C50" s="659"/>
      <c r="D50" s="659"/>
      <c r="E50" s="659"/>
      <c r="F50" s="659"/>
      <c r="G50" s="659"/>
      <c r="H50" s="659"/>
      <c r="I50" s="659"/>
      <c r="J50" s="735"/>
      <c r="K50" s="67">
        <v>0</v>
      </c>
      <c r="L50" s="22">
        <v>0</v>
      </c>
      <c r="M50" s="23">
        <v>0</v>
      </c>
      <c r="N50" s="157">
        <v>0</v>
      </c>
      <c r="O50" s="22">
        <v>0</v>
      </c>
      <c r="P50" s="22">
        <v>0</v>
      </c>
      <c r="Q50" s="22">
        <v>0</v>
      </c>
      <c r="R50" s="22">
        <v>0</v>
      </c>
      <c r="S50" s="43"/>
      <c r="T50" s="67">
        <v>0</v>
      </c>
      <c r="U50" s="22"/>
      <c r="V50" s="1114"/>
      <c r="W50" s="1102"/>
      <c r="X50" s="22"/>
      <c r="Y50" s="22"/>
      <c r="Z50" s="22"/>
      <c r="AA50" s="23"/>
      <c r="AF50" s="1" t="s">
        <v>931</v>
      </c>
      <c r="AG50" s="1" t="s">
        <v>931</v>
      </c>
    </row>
    <row r="51" spans="1:33" ht="12" customHeight="1">
      <c r="A51" s="44" t="s">
        <v>360</v>
      </c>
      <c r="B51" s="21"/>
      <c r="C51" s="660"/>
      <c r="D51" s="660"/>
      <c r="E51" s="660"/>
      <c r="F51" s="660"/>
      <c r="G51" s="660"/>
      <c r="H51" s="660"/>
      <c r="I51" s="660"/>
      <c r="J51" s="736"/>
      <c r="K51" s="37">
        <v>0</v>
      </c>
      <c r="L51" s="5">
        <v>0</v>
      </c>
      <c r="M51" s="25">
        <v>0</v>
      </c>
      <c r="N51" s="156">
        <v>0</v>
      </c>
      <c r="O51" s="5">
        <v>0</v>
      </c>
      <c r="P51" s="5">
        <v>0</v>
      </c>
      <c r="Q51" s="5">
        <v>0</v>
      </c>
      <c r="R51" s="5">
        <v>0</v>
      </c>
      <c r="S51" s="43"/>
      <c r="T51" s="37">
        <v>0</v>
      </c>
      <c r="U51" s="5"/>
      <c r="V51" s="1113"/>
      <c r="W51" s="1101"/>
      <c r="X51" s="5"/>
      <c r="Y51" s="35"/>
      <c r="Z51" s="5"/>
      <c r="AA51" s="580"/>
      <c r="AF51" s="1" t="s">
        <v>931</v>
      </c>
      <c r="AG51" s="1" t="s">
        <v>931</v>
      </c>
    </row>
    <row r="52" spans="1:33" ht="12" customHeight="1">
      <c r="A52" s="137" t="s">
        <v>361</v>
      </c>
      <c r="B52" s="21"/>
      <c r="C52" s="598"/>
      <c r="D52" s="598"/>
      <c r="E52" s="598"/>
      <c r="F52" s="598"/>
      <c r="G52" s="598"/>
      <c r="H52" s="598"/>
      <c r="I52" s="598"/>
      <c r="J52" s="737"/>
      <c r="K52" s="46">
        <v>0</v>
      </c>
      <c r="L52" s="47">
        <v>0</v>
      </c>
      <c r="M52" s="48">
        <v>0</v>
      </c>
      <c r="N52" s="158">
        <v>0</v>
      </c>
      <c r="O52" s="47">
        <v>0</v>
      </c>
      <c r="P52" s="47">
        <v>0</v>
      </c>
      <c r="Q52" s="47">
        <v>0</v>
      </c>
      <c r="R52" s="47">
        <v>0</v>
      </c>
      <c r="S52" s="59"/>
      <c r="T52" s="46">
        <v>0</v>
      </c>
      <c r="U52" s="119"/>
      <c r="V52" s="1116"/>
      <c r="W52" s="103"/>
      <c r="X52" s="119"/>
      <c r="Y52" s="60"/>
      <c r="Z52" s="119"/>
      <c r="AA52" s="1092"/>
      <c r="AF52" s="1" t="s">
        <v>931</v>
      </c>
      <c r="AG52" s="1" t="s">
        <v>931</v>
      </c>
    </row>
    <row r="53" spans="1:33" ht="5.7" customHeight="1">
      <c r="A53" s="17"/>
      <c r="K53" s="144"/>
      <c r="L53" s="144"/>
      <c r="M53" s="144"/>
      <c r="N53" s="144"/>
      <c r="O53" s="144"/>
      <c r="P53" s="144"/>
      <c r="Q53" s="144"/>
      <c r="R53" s="144"/>
      <c r="S53" s="59"/>
      <c r="T53" s="144"/>
      <c r="U53" s="144"/>
      <c r="V53" s="144"/>
      <c r="W53" s="145"/>
      <c r="X53" s="145"/>
      <c r="Y53" s="145"/>
      <c r="Z53" s="145"/>
      <c r="AA53" s="145"/>
      <c r="AF53" s="1" t="s">
        <v>931</v>
      </c>
      <c r="AG53" s="1" t="s">
        <v>931</v>
      </c>
    </row>
    <row r="54" spans="1:33" s="613" customFormat="1" ht="12" customHeight="1">
      <c r="A54" s="71" t="s">
        <v>362</v>
      </c>
      <c r="B54" s="2"/>
      <c r="C54" s="2"/>
      <c r="D54" s="2"/>
      <c r="E54" s="2"/>
      <c r="F54" s="2"/>
      <c r="G54" s="2"/>
      <c r="H54" s="2"/>
      <c r="I54" s="2"/>
      <c r="J54" s="638"/>
      <c r="K54" s="27"/>
      <c r="L54" s="27"/>
      <c r="M54" s="27"/>
      <c r="N54" s="27"/>
      <c r="O54" s="27"/>
      <c r="P54" s="27"/>
      <c r="Q54" s="27"/>
      <c r="R54" s="27"/>
      <c r="S54" s="27"/>
      <c r="T54" s="27"/>
      <c r="U54" s="27"/>
      <c r="V54" s="27"/>
      <c r="W54" s="603"/>
      <c r="X54" s="603"/>
      <c r="Y54" s="603"/>
      <c r="Z54" s="603"/>
      <c r="AA54" s="603"/>
    </row>
    <row r="55" spans="1:33" s="613" customFormat="1" ht="12" customHeight="1">
      <c r="A55" s="122" t="s">
        <v>363</v>
      </c>
      <c r="B55" s="123"/>
      <c r="C55" s="662"/>
      <c r="D55" s="663"/>
      <c r="E55" s="663"/>
      <c r="F55" s="663"/>
      <c r="G55" s="663"/>
      <c r="H55" s="663"/>
      <c r="I55" s="664"/>
      <c r="J55" s="726"/>
      <c r="K55" s="662"/>
      <c r="L55" s="663"/>
      <c r="M55" s="663"/>
      <c r="N55" s="663"/>
      <c r="O55" s="663"/>
      <c r="P55" s="663"/>
      <c r="Q55" s="663"/>
      <c r="R55" s="1093"/>
      <c r="S55" s="218"/>
      <c r="T55" s="662"/>
      <c r="U55" s="663"/>
      <c r="V55" s="663"/>
      <c r="W55" s="1143"/>
      <c r="X55" s="665"/>
      <c r="Y55" s="665"/>
      <c r="Z55" s="665"/>
      <c r="AA55" s="666"/>
    </row>
    <row r="56" spans="1:33" ht="12" customHeight="1">
      <c r="A56" s="44" t="s">
        <v>364</v>
      </c>
      <c r="B56" s="21"/>
      <c r="C56" s="667"/>
      <c r="D56" s="660"/>
      <c r="E56" s="660"/>
      <c r="F56" s="660"/>
      <c r="G56" s="660"/>
      <c r="H56" s="660"/>
      <c r="I56" s="660"/>
      <c r="J56" s="727"/>
      <c r="K56" s="667"/>
      <c r="L56" s="660"/>
      <c r="M56" s="660"/>
      <c r="N56" s="660"/>
      <c r="O56" s="660"/>
      <c r="P56" s="660"/>
      <c r="Q56" s="660"/>
      <c r="R56" s="668"/>
      <c r="S56" s="43"/>
      <c r="T56" s="667"/>
      <c r="U56" s="660"/>
      <c r="V56" s="660"/>
      <c r="W56" s="1100"/>
      <c r="X56" s="669"/>
      <c r="Y56" s="669"/>
      <c r="Z56" s="669"/>
      <c r="AA56" s="1088"/>
    </row>
    <row r="57" spans="1:33" ht="12" customHeight="1">
      <c r="A57" s="137" t="s">
        <v>365</v>
      </c>
      <c r="B57" s="21"/>
      <c r="C57" s="597"/>
      <c r="D57" s="598"/>
      <c r="E57" s="598"/>
      <c r="F57" s="598"/>
      <c r="G57" s="598"/>
      <c r="H57" s="598"/>
      <c r="I57" s="598"/>
      <c r="J57" s="728"/>
      <c r="K57" s="597"/>
      <c r="L57" s="598"/>
      <c r="M57" s="598"/>
      <c r="N57" s="598"/>
      <c r="O57" s="598"/>
      <c r="P57" s="598"/>
      <c r="Q57" s="598"/>
      <c r="R57" s="599"/>
      <c r="S57" s="59"/>
      <c r="T57" s="597"/>
      <c r="U57" s="598"/>
      <c r="V57" s="598"/>
      <c r="W57" s="1144"/>
      <c r="X57" s="600"/>
      <c r="Y57" s="601"/>
      <c r="Z57" s="600"/>
      <c r="AA57" s="1094"/>
    </row>
    <row r="58" spans="1:33" ht="12" customHeight="1">
      <c r="A58" s="138"/>
      <c r="B58" s="139"/>
      <c r="C58" s="139"/>
      <c r="D58" s="139"/>
      <c r="E58" s="139"/>
      <c r="F58" s="139"/>
      <c r="G58" s="139"/>
      <c r="H58" s="139"/>
      <c r="I58" s="139"/>
      <c r="J58" s="729"/>
      <c r="K58" s="140"/>
      <c r="L58" s="140"/>
      <c r="M58" s="140"/>
      <c r="N58" s="140"/>
      <c r="O58" s="140"/>
      <c r="P58" s="140"/>
      <c r="Q58" s="140"/>
      <c r="R58" s="140"/>
      <c r="S58" s="1451"/>
      <c r="T58" s="140"/>
      <c r="U58" s="140"/>
      <c r="V58" s="140"/>
      <c r="W58" s="624"/>
      <c r="X58" s="624"/>
      <c r="Y58" s="624"/>
      <c r="Z58" s="624"/>
      <c r="AA58" s="624"/>
    </row>
    <row r="59" spans="1:33" ht="15.6" customHeight="1">
      <c r="A59" s="15" t="s">
        <v>366</v>
      </c>
      <c r="B59" s="15"/>
      <c r="C59" s="15"/>
      <c r="D59" s="15"/>
      <c r="E59" s="15"/>
      <c r="F59" s="15"/>
      <c r="G59" s="15"/>
      <c r="H59" s="15"/>
      <c r="I59" s="15"/>
      <c r="J59" s="685"/>
      <c r="K59" s="17"/>
      <c r="L59" s="17"/>
      <c r="M59" s="17"/>
      <c r="N59" s="17"/>
      <c r="O59" s="18"/>
      <c r="P59" s="17"/>
      <c r="Q59" s="18"/>
      <c r="R59" s="17"/>
      <c r="S59" s="18"/>
      <c r="T59" s="17"/>
      <c r="U59" s="17"/>
      <c r="V59" s="17"/>
      <c r="W59" s="19"/>
      <c r="X59" s="19"/>
      <c r="Y59" s="19"/>
      <c r="Z59" s="19"/>
      <c r="AA59" s="19"/>
    </row>
    <row r="60" spans="1:33" ht="12" customHeight="1">
      <c r="A60" s="66" t="s">
        <v>367</v>
      </c>
      <c r="B60" s="21"/>
      <c r="C60" s="67"/>
      <c r="D60" s="22"/>
      <c r="E60" s="22"/>
      <c r="F60" s="22"/>
      <c r="G60" s="22"/>
      <c r="H60" s="22"/>
      <c r="I60" s="647"/>
      <c r="J60" s="718"/>
      <c r="K60" s="67"/>
      <c r="L60" s="22"/>
      <c r="M60" s="1079"/>
      <c r="N60" s="67"/>
      <c r="O60" s="22"/>
      <c r="P60" s="22"/>
      <c r="Q60" s="22"/>
      <c r="R60" s="23"/>
      <c r="S60" s="26"/>
      <c r="T60" s="67"/>
      <c r="U60" s="22"/>
      <c r="V60" s="22"/>
      <c r="W60" s="33"/>
      <c r="X60" s="22"/>
      <c r="Y60" s="33"/>
      <c r="Z60" s="22"/>
      <c r="AA60" s="1095"/>
      <c r="AF60" s="1" t="s">
        <v>931</v>
      </c>
      <c r="AG60" s="1" t="s">
        <v>931</v>
      </c>
    </row>
    <row r="61" spans="1:33" s="143" customFormat="1" ht="12" customHeight="1">
      <c r="A61" s="146" t="s">
        <v>368</v>
      </c>
      <c r="B61" s="7"/>
      <c r="C61" s="147">
        <f t="shared" ref="C61:R61" si="32">C18-C60</f>
        <v>29130</v>
      </c>
      <c r="D61" s="148">
        <f t="shared" si="32"/>
        <v>28718</v>
      </c>
      <c r="E61" s="148">
        <f t="shared" si="32"/>
        <v>28213</v>
      </c>
      <c r="F61" s="148">
        <f t="shared" si="32"/>
        <v>28438</v>
      </c>
      <c r="G61" s="148">
        <f t="shared" si="32"/>
        <v>27852.3</v>
      </c>
      <c r="H61" s="148">
        <f t="shared" si="32"/>
        <v>26446</v>
      </c>
      <c r="I61" s="148">
        <f t="shared" si="32"/>
        <v>27081.342521957115</v>
      </c>
      <c r="J61" s="707">
        <f t="shared" si="32"/>
        <v>27756.395069999999</v>
      </c>
      <c r="K61" s="147">
        <f t="shared" si="32"/>
        <v>30937.954929357504</v>
      </c>
      <c r="L61" s="148">
        <f t="shared" si="32"/>
        <v>30193.924055224317</v>
      </c>
      <c r="M61" s="905">
        <f t="shared" si="32"/>
        <v>31631.804677089873</v>
      </c>
      <c r="N61" s="147">
        <f t="shared" si="32"/>
        <v>34979.994081867517</v>
      </c>
      <c r="O61" s="148">
        <f t="shared" si="32"/>
        <v>39154.635377280938</v>
      </c>
      <c r="P61" s="148">
        <f t="shared" si="32"/>
        <v>39333.693407857965</v>
      </c>
      <c r="Q61" s="148">
        <f t="shared" si="32"/>
        <v>39178.680831826401</v>
      </c>
      <c r="R61" s="149">
        <f t="shared" si="32"/>
        <v>39736.652638500746</v>
      </c>
      <c r="S61" s="68"/>
      <c r="T61" s="147">
        <f>T18-T60</f>
        <v>28865.467896628572</v>
      </c>
      <c r="U61" s="148">
        <f>U18-U60</f>
        <v>29269.24</v>
      </c>
      <c r="V61" s="148">
        <f>V18-V60</f>
        <v>30009.014060000001</v>
      </c>
      <c r="W61" s="69"/>
      <c r="X61" s="148"/>
      <c r="Y61" s="69"/>
      <c r="Z61" s="148"/>
      <c r="AA61" s="1096"/>
      <c r="AF61" s="1" t="s">
        <v>931</v>
      </c>
      <c r="AG61" s="1" t="s">
        <v>931</v>
      </c>
    </row>
    <row r="62" spans="1:33" s="77" customFormat="1" ht="12" customHeight="1">
      <c r="A62" s="17"/>
      <c r="B62" s="2"/>
      <c r="C62" s="2"/>
      <c r="D62" s="2"/>
      <c r="E62" s="2"/>
      <c r="F62" s="2"/>
      <c r="G62" s="2"/>
      <c r="H62" s="2"/>
      <c r="I62" s="2"/>
      <c r="J62" s="638"/>
      <c r="K62" s="65"/>
      <c r="L62" s="65"/>
      <c r="M62" s="65"/>
      <c r="N62" s="65"/>
      <c r="O62" s="65"/>
      <c r="P62" s="65"/>
      <c r="Q62" s="65"/>
      <c r="R62" s="65"/>
      <c r="S62" s="64"/>
      <c r="T62" s="65"/>
      <c r="U62" s="65"/>
      <c r="V62" s="65"/>
      <c r="W62" s="63"/>
      <c r="X62" s="63"/>
      <c r="Y62" s="63"/>
      <c r="Z62" s="63"/>
      <c r="AA62" s="63"/>
    </row>
    <row r="63" spans="1:33" ht="15.6" customHeight="1">
      <c r="A63" s="15" t="s">
        <v>369</v>
      </c>
      <c r="B63" s="15"/>
      <c r="C63" s="15"/>
      <c r="D63" s="15"/>
      <c r="E63" s="15"/>
      <c r="F63" s="15"/>
      <c r="G63" s="15"/>
      <c r="H63" s="15"/>
      <c r="I63" s="15"/>
      <c r="J63" s="685"/>
      <c r="K63" s="17"/>
      <c r="L63" s="17"/>
      <c r="M63" s="17"/>
      <c r="N63" s="17"/>
      <c r="O63" s="18"/>
      <c r="P63" s="17"/>
      <c r="Q63" s="18"/>
      <c r="R63" s="17"/>
      <c r="S63" s="18"/>
      <c r="T63" s="17"/>
      <c r="U63" s="17"/>
      <c r="V63" s="17"/>
      <c r="W63" s="19"/>
      <c r="X63" s="19"/>
      <c r="Y63" s="19"/>
      <c r="Z63" s="19"/>
      <c r="AA63" s="19"/>
    </row>
    <row r="64" spans="1:33" s="90" customFormat="1" ht="12" customHeight="1">
      <c r="A64" s="42" t="s">
        <v>370</v>
      </c>
      <c r="B64" s="2"/>
      <c r="C64" s="72">
        <f>'T1'!C64</f>
        <v>2.8000000000000001E-2</v>
      </c>
      <c r="D64" s="73">
        <f>'T1'!D64</f>
        <v>2.5999999999999999E-2</v>
      </c>
      <c r="E64" s="73">
        <f>'T1'!E64</f>
        <v>1.4999999999999999E-2</v>
      </c>
      <c r="F64" s="73">
        <f>'T1'!F64</f>
        <v>0</v>
      </c>
      <c r="G64" s="73">
        <f>'T1'!G64</f>
        <v>7.0000000000000001E-3</v>
      </c>
      <c r="H64" s="73">
        <f>'T1'!H64</f>
        <v>2.7E-2</v>
      </c>
      <c r="I64" s="73">
        <f>'T1'!I64</f>
        <v>2.5000000000000001E-2</v>
      </c>
      <c r="J64" s="738">
        <f>'T1'!J64</f>
        <v>1.7999999999999999E-2</v>
      </c>
      <c r="K64" s="72">
        <f>'T1'!K64</f>
        <v>0.02</v>
      </c>
      <c r="L64" s="73">
        <f>'T1'!L64</f>
        <v>0.02</v>
      </c>
      <c r="M64" s="73">
        <f>'T1'!M64</f>
        <v>0.02</v>
      </c>
      <c r="N64" s="73">
        <f>'T1'!N64</f>
        <v>6.1359439712091124E-2</v>
      </c>
      <c r="O64" s="73">
        <f>'T1'!O64</f>
        <v>8.5674714548986675E-3</v>
      </c>
      <c r="P64" s="73">
        <f>'T1'!P64</f>
        <v>1.1558271762361905E-3</v>
      </c>
      <c r="Q64" s="73">
        <f>'T1'!Q64</f>
        <v>4.9967691413776993E-3</v>
      </c>
      <c r="R64" s="74">
        <f>'T1'!R64</f>
        <v>1.5726789585522205E-2</v>
      </c>
      <c r="S64" s="75"/>
      <c r="T64" s="72">
        <f>'T1'!T64</f>
        <v>8.9999999999999993E-3</v>
      </c>
      <c r="U64" s="73">
        <f>'T1'!U64</f>
        <v>2.5999999999999999E-2</v>
      </c>
      <c r="V64" s="73">
        <f>'T1'!V64</f>
        <v>9.0999999999999998E-2</v>
      </c>
      <c r="W64" s="73"/>
      <c r="X64" s="73"/>
      <c r="Y64" s="73"/>
      <c r="Z64" s="73"/>
      <c r="AA64" s="74"/>
      <c r="AF64" s="1" t="s">
        <v>931</v>
      </c>
      <c r="AG64" s="1" t="s">
        <v>931</v>
      </c>
    </row>
    <row r="65" spans="1:33" s="77" customFormat="1" ht="12" customHeight="1">
      <c r="A65" s="44" t="s">
        <v>371</v>
      </c>
      <c r="B65" s="2"/>
      <c r="C65" s="78">
        <f>'T1'!C65</f>
        <v>92.851020823042745</v>
      </c>
      <c r="D65" s="79">
        <f>'T1'!D65</f>
        <v>95.265147364441859</v>
      </c>
      <c r="E65" s="79">
        <f>'T1'!E65</f>
        <v>96.694124574908471</v>
      </c>
      <c r="F65" s="79">
        <f>'T1'!F65</f>
        <v>96.694124574908471</v>
      </c>
      <c r="G65" s="79">
        <f>'T1'!G65</f>
        <v>97.370983446932826</v>
      </c>
      <c r="H65" s="79">
        <f>'T1'!H65</f>
        <v>100</v>
      </c>
      <c r="I65" s="79">
        <f>'T1'!I65</f>
        <v>102.49999999999999</v>
      </c>
      <c r="J65" s="739">
        <f>'T1'!J65</f>
        <v>104.34499999999998</v>
      </c>
      <c r="K65" s="78">
        <f>'T1'!K65</f>
        <v>106.44304700754891</v>
      </c>
      <c r="L65" s="79">
        <f>'T1'!L65</f>
        <v>108.5719079476999</v>
      </c>
      <c r="M65" s="79">
        <f>'T1'!M65</f>
        <v>110.7433461066539</v>
      </c>
      <c r="N65" s="79">
        <f>'T1'!N65</f>
        <v>118.73399586480322</v>
      </c>
      <c r="O65" s="79">
        <f>'T1'!O65</f>
        <v>119.75124598510098</v>
      </c>
      <c r="P65" s="79">
        <f>'T1'!P65</f>
        <v>119.88965772959871</v>
      </c>
      <c r="Q65" s="79">
        <f>'T1'!Q65</f>
        <v>120.48871867171231</v>
      </c>
      <c r="R65" s="80">
        <f>'T1'!R65</f>
        <v>122.3836193976915</v>
      </c>
      <c r="S65" s="81"/>
      <c r="T65" s="78">
        <f>'T1'!T65</f>
        <v>105.28410499999997</v>
      </c>
      <c r="U65" s="79">
        <f>'T1'!U65</f>
        <v>108.02149172999997</v>
      </c>
      <c r="V65" s="79">
        <f>'T1'!V65</f>
        <v>117.85144747742996</v>
      </c>
      <c r="W65" s="79"/>
      <c r="X65" s="79"/>
      <c r="Y65" s="79"/>
      <c r="Z65" s="79"/>
      <c r="AA65" s="80"/>
      <c r="AF65" s="1" t="s">
        <v>931</v>
      </c>
      <c r="AG65" s="1" t="s">
        <v>931</v>
      </c>
    </row>
    <row r="66" spans="1:33" s="77" customFormat="1" ht="12" customHeight="1">
      <c r="A66" s="83" t="s">
        <v>372</v>
      </c>
      <c r="B66" s="84"/>
      <c r="C66" s="85">
        <f>((C61)/(C65/100))</f>
        <v>31372.837629342292</v>
      </c>
      <c r="D66" s="85">
        <f t="shared" ref="D66:O66" si="33">((D61)/(D65/100))</f>
        <v>30145.33729752999</v>
      </c>
      <c r="E66" s="85">
        <f t="shared" si="33"/>
        <v>29177.574256999997</v>
      </c>
      <c r="F66" s="85">
        <f t="shared" si="33"/>
        <v>29410.266781999995</v>
      </c>
      <c r="G66" s="85">
        <f t="shared" si="33"/>
        <v>28604.312099999996</v>
      </c>
      <c r="H66" s="85">
        <f t="shared" si="33"/>
        <v>26446</v>
      </c>
      <c r="I66" s="85">
        <f t="shared" si="33"/>
        <v>26420.82197264109</v>
      </c>
      <c r="J66" s="85">
        <f t="shared" si="33"/>
        <v>26600.599041640715</v>
      </c>
      <c r="K66" s="85">
        <f t="shared" si="33"/>
        <v>29065.266167327387</v>
      </c>
      <c r="L66" s="85">
        <f t="shared" si="33"/>
        <v>27810.070418739448</v>
      </c>
      <c r="M66" s="85">
        <f t="shared" si="33"/>
        <v>28563.165001919071</v>
      </c>
      <c r="N66" s="85">
        <f t="shared" si="33"/>
        <v>29460.807603660185</v>
      </c>
      <c r="O66" s="85">
        <f t="shared" si="33"/>
        <v>32696.641321086892</v>
      </c>
      <c r="P66" s="85">
        <f t="shared" ref="P66:R66" si="34">((P61)/(P65/100))</f>
        <v>32808.245642482259</v>
      </c>
      <c r="Q66" s="85">
        <f t="shared" si="34"/>
        <v>32516.472300260721</v>
      </c>
      <c r="R66" s="1098">
        <f t="shared" si="34"/>
        <v>32468.930755654939</v>
      </c>
      <c r="S66" s="87"/>
      <c r="T66" s="85">
        <f t="shared" ref="T66:U66" si="35">((T61)/(T65/100))</f>
        <v>27416.738639349769</v>
      </c>
      <c r="U66" s="86">
        <f t="shared" si="35"/>
        <v>27095.756160411624</v>
      </c>
      <c r="V66" s="86">
        <f t="shared" ref="V66" si="36">((V61)/(V65/100))</f>
        <v>25463.424253441699</v>
      </c>
      <c r="W66" s="88"/>
      <c r="X66" s="88"/>
      <c r="Y66" s="88"/>
      <c r="Z66" s="88"/>
      <c r="AA66" s="1097"/>
      <c r="AF66" s="1" t="s">
        <v>931</v>
      </c>
      <c r="AG66" s="1" t="s">
        <v>931</v>
      </c>
    </row>
    <row r="67" spans="1:33" s="77" customFormat="1" ht="12" customHeight="1">
      <c r="A67" s="91" t="s">
        <v>333</v>
      </c>
      <c r="B67" s="2"/>
      <c r="C67" s="38"/>
      <c r="D67" s="40">
        <f>D66/C66-1</f>
        <v>-3.9126213137451349E-2</v>
      </c>
      <c r="E67" s="40">
        <f t="shared" ref="E67:J67" si="37">E66/D66-1</f>
        <v>-3.210324140606946E-2</v>
      </c>
      <c r="F67" s="40">
        <f t="shared" si="37"/>
        <v>7.9750469641655108E-3</v>
      </c>
      <c r="G67" s="40">
        <f t="shared" si="37"/>
        <v>-2.7403854850214016E-2</v>
      </c>
      <c r="H67" s="40">
        <f t="shared" si="37"/>
        <v>-7.5454081624287572E-2</v>
      </c>
      <c r="I67" s="40">
        <f t="shared" si="37"/>
        <v>-9.520542750854899E-4</v>
      </c>
      <c r="J67" s="740">
        <f t="shared" si="37"/>
        <v>6.8043707794476216E-3</v>
      </c>
      <c r="K67" s="38">
        <f>K66/J66-1</f>
        <v>9.2654572245853162E-2</v>
      </c>
      <c r="L67" s="40">
        <f>L66/K66-1</f>
        <v>-4.3185420747975822E-2</v>
      </c>
      <c r="M67" s="40">
        <f>M66/L66-1</f>
        <v>2.7079923633424485E-2</v>
      </c>
      <c r="N67" s="40">
        <f>N66/M66-1</f>
        <v>3.1426580411547667E-2</v>
      </c>
      <c r="O67" s="40">
        <f>O66/N66-1</f>
        <v>0.10983520075073194</v>
      </c>
      <c r="P67" s="40">
        <f t="shared" ref="P67:R67" si="38">P66/O66-1</f>
        <v>3.4133267787168631E-3</v>
      </c>
      <c r="Q67" s="40">
        <f t="shared" si="38"/>
        <v>-8.8932930276446331E-3</v>
      </c>
      <c r="R67" s="92">
        <f t="shared" si="38"/>
        <v>-1.4620757186319944E-3</v>
      </c>
      <c r="S67" s="39"/>
      <c r="T67" s="38">
        <f>+T66/J66-1</f>
        <v>3.0681248810655148E-2</v>
      </c>
      <c r="U67" s="40">
        <f>+U66/T66-1</f>
        <v>-1.170753688688031E-2</v>
      </c>
      <c r="V67" s="40">
        <f>+V66/U66-1</f>
        <v>-6.0243083725223801E-2</v>
      </c>
      <c r="W67" s="40"/>
      <c r="X67" s="40"/>
      <c r="Y67" s="40"/>
      <c r="Z67" s="40"/>
      <c r="AA67" s="92"/>
      <c r="AF67" s="1" t="s">
        <v>931</v>
      </c>
      <c r="AG67" s="1" t="s">
        <v>931</v>
      </c>
    </row>
    <row r="68" spans="1:33" s="77" customFormat="1" ht="12" customHeight="1">
      <c r="A68" s="93" t="s">
        <v>373</v>
      </c>
      <c r="B68" s="4"/>
      <c r="C68" s="94">
        <f>'T1'!C68</f>
        <v>9607.8779999999988</v>
      </c>
      <c r="D68" s="95">
        <f>'T1'!D68</f>
        <v>9754.9330000000009</v>
      </c>
      <c r="E68" s="95">
        <f>'T1'!E68</f>
        <v>9979.4030000000002</v>
      </c>
      <c r="F68" s="95">
        <f>'T1'!F68</f>
        <v>10153.9</v>
      </c>
      <c r="G68" s="95">
        <f>'T1'!G68</f>
        <v>10874.798000000001</v>
      </c>
      <c r="H68" s="95">
        <f>'T1'!H68</f>
        <v>11767.620999999999</v>
      </c>
      <c r="I68" s="95">
        <v>12194.153</v>
      </c>
      <c r="J68" s="741">
        <f>'T1'!J68</f>
        <v>12593.8988214</v>
      </c>
      <c r="K68" s="94">
        <f>'T1'!K68</f>
        <v>12647.945</v>
      </c>
      <c r="L68" s="95">
        <f>'T1'!L68</f>
        <v>12891</v>
      </c>
      <c r="M68" s="95">
        <f>'T1'!M68</f>
        <v>13183</v>
      </c>
      <c r="N68" s="95">
        <f>'T1'!N68</f>
        <v>11956</v>
      </c>
      <c r="O68" s="95">
        <f>'T1'!O68</f>
        <v>12930</v>
      </c>
      <c r="P68" s="95">
        <f>'T1'!P68</f>
        <v>13247</v>
      </c>
      <c r="Q68" s="95">
        <f>'T1'!Q68</f>
        <v>13490</v>
      </c>
      <c r="R68" s="96">
        <f>'T1'!R68</f>
        <v>13700</v>
      </c>
      <c r="S68" s="68"/>
      <c r="T68" s="94">
        <f>'T1'!T68</f>
        <v>5099.1790000000001</v>
      </c>
      <c r="U68" s="672">
        <f>'T1'!U68</f>
        <v>5531.451</v>
      </c>
      <c r="V68" s="672">
        <f>'T1'!V68</f>
        <v>10782.061</v>
      </c>
      <c r="W68" s="88"/>
      <c r="X68" s="673"/>
      <c r="Y68" s="88"/>
      <c r="Z68" s="673"/>
      <c r="AA68" s="1097"/>
      <c r="AF68" s="1" t="s">
        <v>931</v>
      </c>
      <c r="AG68" s="1" t="s">
        <v>931</v>
      </c>
    </row>
    <row r="69" spans="1:33" s="77" customFormat="1" ht="12" customHeight="1">
      <c r="A69" s="91" t="s">
        <v>333</v>
      </c>
      <c r="B69" s="4"/>
      <c r="C69" s="38"/>
      <c r="D69" s="40">
        <f>D68/C68-1</f>
        <v>1.5305668952083185E-2</v>
      </c>
      <c r="E69" s="40">
        <f t="shared" ref="E69:J69" si="39">E68/D68-1</f>
        <v>2.3010921756202674E-2</v>
      </c>
      <c r="F69" s="40">
        <f t="shared" si="39"/>
        <v>1.7485715327860696E-2</v>
      </c>
      <c r="G69" s="40">
        <f t="shared" si="39"/>
        <v>7.0997153802972335E-2</v>
      </c>
      <c r="H69" s="40">
        <f t="shared" si="39"/>
        <v>8.2100191654134402E-2</v>
      </c>
      <c r="I69" s="40">
        <f t="shared" si="39"/>
        <v>3.6246238725737401E-2</v>
      </c>
      <c r="J69" s="740">
        <f t="shared" si="39"/>
        <v>3.2781761996917735E-2</v>
      </c>
      <c r="K69" s="38">
        <f>K68/J68-1</f>
        <v>4.2914572656533867E-3</v>
      </c>
      <c r="L69" s="40">
        <f>L68/K68-1</f>
        <v>1.9216955797957791E-2</v>
      </c>
      <c r="M69" s="40">
        <f>M68/L68-1</f>
        <v>2.2651462260491861E-2</v>
      </c>
      <c r="N69" s="40">
        <f>N68/M68-1</f>
        <v>-9.3074414018053608E-2</v>
      </c>
      <c r="O69" s="40">
        <f>O68/N68-1</f>
        <v>8.1465373034459665E-2</v>
      </c>
      <c r="P69" s="40">
        <f t="shared" ref="P69:R69" si="40">P68/O68-1</f>
        <v>2.4516627996906459E-2</v>
      </c>
      <c r="Q69" s="40">
        <f t="shared" si="40"/>
        <v>1.8343775949271501E-2</v>
      </c>
      <c r="R69" s="92">
        <f t="shared" si="40"/>
        <v>1.5567086730911894E-2</v>
      </c>
      <c r="S69" s="39"/>
      <c r="T69" s="38">
        <f>+T68/J68-1</f>
        <v>-0.59510719656288691</v>
      </c>
      <c r="U69" s="40">
        <f>+U68/T68-1</f>
        <v>8.4772862454916664E-2</v>
      </c>
      <c r="V69" s="40">
        <f>+V68/U68-1</f>
        <v>0.94922833086653036</v>
      </c>
      <c r="W69" s="40"/>
      <c r="X69" s="150"/>
      <c r="Y69" s="40"/>
      <c r="Z69" s="150"/>
      <c r="AA69" s="92"/>
      <c r="AF69" s="1" t="s">
        <v>931</v>
      </c>
      <c r="AG69" s="1" t="s">
        <v>931</v>
      </c>
    </row>
    <row r="70" spans="1:33" s="77" customFormat="1" ht="12" customHeight="1">
      <c r="A70" s="93" t="s">
        <v>374</v>
      </c>
      <c r="B70" s="4"/>
      <c r="C70" s="97">
        <f>C66/C68</f>
        <v>3.2653243129588341</v>
      </c>
      <c r="D70" s="98">
        <f>D66/D68</f>
        <v>3.0902659503176482</v>
      </c>
      <c r="E70" s="98">
        <f t="shared" ref="E70:J70" si="41">E66/E68</f>
        <v>2.9237795344070179</v>
      </c>
      <c r="F70" s="98">
        <f t="shared" si="41"/>
        <v>2.8964503079604875</v>
      </c>
      <c r="G70" s="98">
        <f t="shared" si="41"/>
        <v>2.6303304300456887</v>
      </c>
      <c r="H70" s="98">
        <f t="shared" si="41"/>
        <v>2.2473531396023039</v>
      </c>
      <c r="I70" s="98">
        <f t="shared" si="41"/>
        <v>2.1666795531137826</v>
      </c>
      <c r="J70" s="742">
        <f t="shared" si="41"/>
        <v>2.1121814156899554</v>
      </c>
      <c r="K70" s="97">
        <f>K66/K68</f>
        <v>2.2980228145621591</v>
      </c>
      <c r="L70" s="98">
        <f>L66/L68</f>
        <v>2.1573245224373165</v>
      </c>
      <c r="M70" s="98">
        <f>M66/M68</f>
        <v>2.1666665403867915</v>
      </c>
      <c r="N70" s="98">
        <f>N66/N68</f>
        <v>2.4641023422265125</v>
      </c>
      <c r="O70" s="98">
        <f>O66/O68</f>
        <v>2.5287425615689787</v>
      </c>
      <c r="P70" s="98">
        <f t="shared" ref="P70:R70" si="42">P66/P68</f>
        <v>2.4766547627751385</v>
      </c>
      <c r="Q70" s="98">
        <f t="shared" si="42"/>
        <v>2.4104130689592824</v>
      </c>
      <c r="R70" s="99">
        <f t="shared" si="42"/>
        <v>2.3699949456682439</v>
      </c>
      <c r="S70" s="100"/>
      <c r="T70" s="97">
        <f>T66/T68</f>
        <v>5.3766966484898386</v>
      </c>
      <c r="U70" s="101">
        <f>U66/U68</f>
        <v>4.898489774276519</v>
      </c>
      <c r="V70" s="101">
        <f>V66/V68</f>
        <v>2.3616472076573949</v>
      </c>
      <c r="W70" s="88"/>
      <c r="X70" s="98"/>
      <c r="Y70" s="88"/>
      <c r="Z70" s="98"/>
      <c r="AA70" s="1097"/>
      <c r="AF70" s="1" t="s">
        <v>931</v>
      </c>
      <c r="AG70" s="1" t="s">
        <v>931</v>
      </c>
    </row>
    <row r="71" spans="1:33" ht="12" customHeight="1">
      <c r="A71" s="102" t="s">
        <v>333</v>
      </c>
      <c r="B71" s="4"/>
      <c r="C71" s="103"/>
      <c r="D71" s="104">
        <f t="shared" ref="D71:N71" si="43">D70/C70-1</f>
        <v>-5.3611324898554691E-2</v>
      </c>
      <c r="E71" s="104">
        <f t="shared" si="43"/>
        <v>-5.3874462129551381E-2</v>
      </c>
      <c r="F71" s="104">
        <f t="shared" si="43"/>
        <v>-9.3472254405368993E-3</v>
      </c>
      <c r="G71" s="104">
        <f t="shared" si="43"/>
        <v>-9.1877936653498193E-2</v>
      </c>
      <c r="H71" s="104">
        <f t="shared" si="43"/>
        <v>-0.1456004485477258</v>
      </c>
      <c r="I71" s="104">
        <f t="shared" si="43"/>
        <v>-3.5897156110853756E-2</v>
      </c>
      <c r="J71" s="743">
        <f t="shared" si="43"/>
        <v>-2.5152836904518971E-2</v>
      </c>
      <c r="K71" s="103">
        <f t="shared" si="43"/>
        <v>8.7985528843173455E-2</v>
      </c>
      <c r="L71" s="104">
        <f t="shared" si="43"/>
        <v>-6.1225802996063727E-2</v>
      </c>
      <c r="M71" s="104">
        <f t="shared" si="43"/>
        <v>4.3303721124536843E-3</v>
      </c>
      <c r="N71" s="104">
        <f t="shared" si="43"/>
        <v>0.13727807038854389</v>
      </c>
      <c r="O71" s="104">
        <f>O70/N70-1</f>
        <v>2.623276567484556E-2</v>
      </c>
      <c r="P71" s="104">
        <f t="shared" ref="P71:Q71" si="44">P70/O70-1</f>
        <v>-2.0598300351112764E-2</v>
      </c>
      <c r="Q71" s="104">
        <f t="shared" si="44"/>
        <v>-2.6746438305204512E-2</v>
      </c>
      <c r="R71" s="105">
        <f t="shared" ref="R71" si="45">R70/Q70-1</f>
        <v>-1.6768131492287952E-2</v>
      </c>
      <c r="S71" s="39"/>
      <c r="T71" s="103">
        <f>+T70/J70-1</f>
        <v>1.5455657400212055</v>
      </c>
      <c r="U71" s="104">
        <f>+U70/T70-1</f>
        <v>-8.8940646176799754E-2</v>
      </c>
      <c r="V71" s="104">
        <f>+V70/U70-1</f>
        <v>-0.51788258902588047</v>
      </c>
      <c r="W71" s="104"/>
      <c r="X71" s="61"/>
      <c r="Y71" s="104"/>
      <c r="Z71" s="61"/>
      <c r="AA71" s="105"/>
      <c r="AF71" s="1" t="s">
        <v>931</v>
      </c>
      <c r="AG71" s="1" t="s">
        <v>931</v>
      </c>
    </row>
    <row r="72" spans="1:33" s="604" customFormat="1" ht="12" customHeight="1">
      <c r="A72" s="107"/>
      <c r="B72" s="4"/>
      <c r="C72" s="4"/>
      <c r="D72" s="4"/>
      <c r="E72" s="4"/>
      <c r="F72" s="4"/>
      <c r="G72" s="4"/>
      <c r="H72" s="4"/>
      <c r="I72" s="4"/>
      <c r="J72" s="712"/>
      <c r="K72" s="39"/>
      <c r="L72" s="39"/>
      <c r="M72" s="39"/>
      <c r="N72" s="39"/>
      <c r="O72" s="39"/>
      <c r="P72" s="39"/>
      <c r="Q72" s="39"/>
      <c r="R72" s="39"/>
      <c r="S72" s="39"/>
      <c r="T72" s="77"/>
      <c r="U72" s="77"/>
      <c r="V72" s="77"/>
      <c r="W72" s="77"/>
      <c r="X72" s="77"/>
    </row>
    <row r="73" spans="1:33" s="604" customFormat="1" ht="12" customHeight="1">
      <c r="A73" s="108" t="s">
        <v>376</v>
      </c>
      <c r="B73" s="1"/>
      <c r="C73" s="1"/>
      <c r="D73" s="1"/>
      <c r="E73" s="1"/>
      <c r="F73" s="1"/>
      <c r="G73" s="1"/>
      <c r="H73" s="1"/>
      <c r="I73" s="1"/>
      <c r="J73" s="108"/>
      <c r="K73" s="1"/>
      <c r="L73" s="1"/>
      <c r="M73" s="1"/>
      <c r="N73" s="1"/>
      <c r="O73" s="1"/>
      <c r="P73" s="1"/>
      <c r="Q73" s="1"/>
      <c r="R73" s="1"/>
      <c r="S73" s="1"/>
      <c r="T73" s="1"/>
      <c r="U73" s="1"/>
      <c r="V73" s="1"/>
      <c r="W73" s="1"/>
      <c r="X73" s="1"/>
    </row>
    <row r="74" spans="1:33" s="613" customFormat="1" ht="12" customHeight="1">
      <c r="A74" s="129" t="s">
        <v>384</v>
      </c>
      <c r="B74" s="130"/>
      <c r="C74" s="130"/>
      <c r="D74" s="130"/>
      <c r="E74" s="130"/>
      <c r="F74" s="130"/>
      <c r="G74" s="130"/>
      <c r="H74" s="130"/>
      <c r="I74" s="130"/>
      <c r="J74" s="713"/>
      <c r="K74" s="109"/>
      <c r="L74" s="109"/>
      <c r="M74" s="75"/>
      <c r="N74" s="1452"/>
      <c r="O74" s="154"/>
      <c r="P74" s="154"/>
      <c r="Q74" s="154"/>
      <c r="R74" s="154"/>
      <c r="S74" s="1106"/>
      <c r="T74" s="1106"/>
      <c r="U74" s="1106"/>
      <c r="V74" s="604"/>
      <c r="W74" s="604"/>
      <c r="X74" s="604"/>
    </row>
    <row r="75" spans="1:33" s="613" customFormat="1" ht="12" customHeight="1">
      <c r="A75" s="129" t="s">
        <v>378</v>
      </c>
      <c r="B75" s="130"/>
      <c r="C75" s="130"/>
      <c r="D75" s="130"/>
      <c r="E75" s="130"/>
      <c r="F75" s="130"/>
      <c r="G75" s="130"/>
      <c r="H75" s="130"/>
      <c r="I75" s="130"/>
      <c r="J75" s="713"/>
      <c r="K75" s="109"/>
      <c r="L75" s="109"/>
      <c r="M75" s="75"/>
      <c r="N75" s="1452"/>
      <c r="O75" s="154"/>
      <c r="P75" s="154"/>
      <c r="Q75" s="154"/>
      <c r="R75" s="154"/>
      <c r="S75" s="1106"/>
      <c r="T75" s="1106"/>
      <c r="U75" s="1106"/>
      <c r="V75" s="604"/>
      <c r="W75" s="604"/>
      <c r="X75" s="604"/>
    </row>
    <row r="76" spans="1:33" s="613" customFormat="1" ht="12" customHeight="1">
      <c r="A76" s="129" t="s">
        <v>379</v>
      </c>
      <c r="B76" s="131"/>
      <c r="C76" s="131"/>
      <c r="D76" s="131"/>
      <c r="E76" s="131"/>
      <c r="F76" s="131"/>
      <c r="G76" s="131"/>
      <c r="H76" s="131"/>
      <c r="I76" s="131"/>
      <c r="J76" s="714"/>
      <c r="K76" s="132"/>
      <c r="L76" s="132"/>
      <c r="M76" s="132"/>
      <c r="N76" s="1453"/>
      <c r="O76" s="109"/>
      <c r="P76" s="109"/>
      <c r="Q76" s="109"/>
      <c r="R76" s="109"/>
      <c r="S76" s="109"/>
      <c r="T76" s="1"/>
      <c r="U76" s="1"/>
      <c r="V76" s="1"/>
      <c r="W76" s="1"/>
      <c r="X76" s="1"/>
    </row>
    <row r="77" spans="1:33" ht="12" customHeight="1">
      <c r="A77" s="129"/>
      <c r="B77" s="110"/>
      <c r="C77" s="110"/>
      <c r="D77" s="110"/>
      <c r="E77" s="110"/>
      <c r="F77" s="110"/>
      <c r="G77" s="110"/>
      <c r="H77" s="110"/>
      <c r="I77" s="110"/>
      <c r="J77" s="715"/>
      <c r="K77" s="111"/>
      <c r="L77" s="111"/>
      <c r="M77" s="111"/>
      <c r="N77" s="153"/>
      <c r="O77" s="132"/>
      <c r="P77" s="132"/>
      <c r="Q77" s="132"/>
      <c r="R77" s="132"/>
      <c r="S77" s="1107"/>
      <c r="T77" s="1107"/>
      <c r="V77" s="613"/>
      <c r="W77" s="613"/>
      <c r="X77" s="613"/>
    </row>
    <row r="78" spans="1:33" ht="12" customHeight="1">
      <c r="A78" s="638"/>
      <c r="B78" s="638"/>
      <c r="C78" s="638"/>
      <c r="D78" s="638"/>
      <c r="E78" s="638"/>
      <c r="F78" s="638"/>
      <c r="G78" s="638"/>
      <c r="H78" s="638"/>
      <c r="I78" s="638"/>
      <c r="K78" s="638"/>
      <c r="L78" s="638"/>
      <c r="M78" s="638"/>
      <c r="N78" s="638"/>
      <c r="O78" s="111"/>
      <c r="P78" s="111"/>
      <c r="Q78" s="111"/>
      <c r="R78" s="111"/>
      <c r="S78" s="1"/>
    </row>
    <row r="79" spans="1:33" ht="12" customHeight="1">
      <c r="O79" s="111"/>
      <c r="P79" s="111"/>
      <c r="Q79" s="111"/>
      <c r="R79" s="111"/>
      <c r="S79" s="111"/>
      <c r="V79" s="613"/>
      <c r="W79" s="613"/>
      <c r="X79" s="613"/>
    </row>
    <row r="80" spans="1:33">
      <c r="O80" s="638"/>
      <c r="P80" s="638"/>
      <c r="Q80" s="638"/>
      <c r="R80" s="638"/>
      <c r="S80" s="638"/>
      <c r="T80" s="108"/>
    </row>
  </sheetData>
  <mergeCells count="6">
    <mergeCell ref="C7:J7"/>
    <mergeCell ref="A1:X1"/>
    <mergeCell ref="K7:M7"/>
    <mergeCell ref="N7:R7"/>
    <mergeCell ref="T7:V7"/>
    <mergeCell ref="W7:AA7"/>
  </mergeCells>
  <pageMargins left="0.7" right="0.7" top="0.75" bottom="0.75" header="0.3" footer="0.3"/>
  <pageSetup paperSize="9" scale="59" orientation="portrait" r:id="rId1"/>
  <customProperties>
    <customPr name="_pios_id" r:id="rId2"/>
  </customProperties>
  <ignoredErrors>
    <ignoredError sqref="S68:T70 K68:O70 P68:R68 P70:R70 U68 U70"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J120"/>
  <sheetViews>
    <sheetView showGridLines="0" zoomScaleNormal="100" workbookViewId="0">
      <pane xSplit="2" ySplit="9" topLeftCell="C49" activePane="bottomRight" state="frozen"/>
      <selection activeCell="AF64" sqref="AF64:AF71"/>
      <selection pane="topRight" activeCell="AF64" sqref="AF64:AF71"/>
      <selection pane="bottomLeft" activeCell="AF64" sqref="AF64:AF71"/>
      <selection pane="bottomRight" activeCell="O70" sqref="O70:R70"/>
    </sheetView>
  </sheetViews>
  <sheetFormatPr defaultColWidth="1.33203125" defaultRowHeight="12"/>
  <cols>
    <col min="1" max="1" width="34.6640625" style="2" customWidth="1"/>
    <col min="2" max="2" width="0.44140625" style="2" customWidth="1"/>
    <col min="3" max="9" width="7.5546875" style="2" customWidth="1"/>
    <col min="10" max="10" width="7.5546875" style="638" customWidth="1"/>
    <col min="11" max="18" width="7.5546875" style="2" customWidth="1"/>
    <col min="19" max="19" width="1.33203125" style="2" customWidth="1"/>
    <col min="20" max="21" width="7.5546875" style="1" customWidth="1"/>
    <col min="22" max="22" width="7.44140625" style="1" customWidth="1"/>
    <col min="23" max="27" width="7.5546875" style="1" customWidth="1"/>
    <col min="28" max="30" width="1.6640625" style="1" customWidth="1"/>
    <col min="31" max="31" width="43.6640625" style="1" bestFit="1" customWidth="1"/>
    <col min="32" max="38" width="20.6640625" style="1" customWidth="1"/>
    <col min="39" max="16384" width="1.33203125" style="1"/>
  </cols>
  <sheetData>
    <row r="1" spans="1:36" ht="12" customHeight="1">
      <c r="A1" s="1556"/>
      <c r="B1" s="1556"/>
      <c r="C1" s="1556"/>
      <c r="D1" s="1556"/>
      <c r="E1" s="1556"/>
      <c r="F1" s="1556"/>
      <c r="G1" s="1556"/>
      <c r="H1" s="1556"/>
      <c r="I1" s="1556"/>
      <c r="J1" s="1556"/>
      <c r="K1" s="1556" t="s">
        <v>315</v>
      </c>
      <c r="L1" s="1556"/>
      <c r="M1" s="1556"/>
      <c r="N1" s="1556"/>
      <c r="O1" s="1556"/>
      <c r="P1" s="1556"/>
      <c r="Q1" s="1556"/>
      <c r="R1" s="1556"/>
      <c r="S1" s="1556"/>
      <c r="T1" s="1556"/>
      <c r="U1" s="1556"/>
      <c r="V1" s="1556"/>
      <c r="W1" s="1556"/>
      <c r="X1" s="1556"/>
    </row>
    <row r="2" spans="1:36" ht="12" customHeight="1">
      <c r="J2" s="2"/>
      <c r="T2" s="2"/>
      <c r="U2" s="2"/>
      <c r="V2" s="2"/>
      <c r="W2" s="2"/>
      <c r="X2" s="2"/>
      <c r="Y2" s="2"/>
    </row>
    <row r="3" spans="1:36" ht="12" customHeight="1">
      <c r="A3" s="6" t="s">
        <v>316</v>
      </c>
      <c r="J3" s="2"/>
      <c r="T3" s="2"/>
      <c r="U3" s="2"/>
      <c r="V3" s="2"/>
      <c r="W3" s="2"/>
      <c r="X3" s="2"/>
      <c r="Y3" s="2"/>
    </row>
    <row r="4" spans="1:36" ht="12" customHeight="1">
      <c r="A4" s="7" t="s">
        <v>317</v>
      </c>
      <c r="J4" s="2"/>
      <c r="T4" s="2"/>
      <c r="U4" s="2"/>
      <c r="V4" s="2"/>
      <c r="W4" s="2"/>
      <c r="X4" s="2"/>
      <c r="Y4" s="2"/>
    </row>
    <row r="5" spans="1:36" ht="12" customHeight="1">
      <c r="A5" s="8" t="s">
        <v>388</v>
      </c>
      <c r="J5" s="2"/>
      <c r="T5" s="2"/>
      <c r="U5" s="2"/>
      <c r="V5" s="2"/>
      <c r="W5" s="2"/>
      <c r="X5" s="2"/>
      <c r="Y5" s="2"/>
    </row>
    <row r="6" spans="1:36" ht="12" customHeight="1">
      <c r="J6" s="2"/>
      <c r="T6" s="2"/>
      <c r="U6" s="2"/>
      <c r="V6" s="2"/>
      <c r="W6" s="2"/>
      <c r="X6" s="2"/>
      <c r="Y6" s="2"/>
      <c r="AF6" s="1" t="s">
        <v>930</v>
      </c>
    </row>
    <row r="7" spans="1:36" s="9" customFormat="1" ht="12" customHeight="1">
      <c r="C7" s="1550" t="s">
        <v>319</v>
      </c>
      <c r="D7" s="1551"/>
      <c r="E7" s="1551"/>
      <c r="F7" s="1551"/>
      <c r="G7" s="1551"/>
      <c r="H7" s="1551"/>
      <c r="I7" s="1551"/>
      <c r="J7" s="1552"/>
      <c r="K7" s="1553" t="s">
        <v>386</v>
      </c>
      <c r="L7" s="1554"/>
      <c r="M7" s="1555"/>
      <c r="N7" s="1553" t="s">
        <v>321</v>
      </c>
      <c r="O7" s="1554"/>
      <c r="P7" s="1554"/>
      <c r="Q7" s="1554"/>
      <c r="R7" s="1555"/>
      <c r="S7" s="10"/>
      <c r="T7" s="1550" t="s">
        <v>387</v>
      </c>
      <c r="U7" s="1551"/>
      <c r="V7" s="1551"/>
      <c r="W7" s="1550" t="s">
        <v>323</v>
      </c>
      <c r="X7" s="1551"/>
      <c r="Y7" s="1551"/>
      <c r="Z7" s="1551"/>
      <c r="AA7" s="1552"/>
      <c r="AF7" s="9" t="s">
        <v>319</v>
      </c>
      <c r="AG7" s="9" t="s">
        <v>320</v>
      </c>
      <c r="AH7" s="9" t="s">
        <v>321</v>
      </c>
      <c r="AI7" s="9" t="s">
        <v>322</v>
      </c>
      <c r="AJ7" s="9" t="s">
        <v>323</v>
      </c>
    </row>
    <row r="8" spans="1:36" ht="12" customHeight="1">
      <c r="A8" s="1"/>
      <c r="B8" s="1"/>
      <c r="C8" s="1"/>
      <c r="D8" s="1"/>
      <c r="E8" s="1"/>
      <c r="F8" s="1"/>
      <c r="G8" s="1"/>
      <c r="H8" s="1"/>
      <c r="I8" s="1"/>
      <c r="J8" s="108"/>
      <c r="K8" s="1"/>
      <c r="L8" s="1"/>
      <c r="M8" s="1"/>
      <c r="N8" s="1"/>
      <c r="O8" s="1"/>
      <c r="P8" s="1"/>
      <c r="Q8" s="1"/>
      <c r="R8" s="1"/>
      <c r="S8" s="1"/>
    </row>
    <row r="9" spans="1:36" ht="12" customHeight="1">
      <c r="A9" s="11" t="s">
        <v>324</v>
      </c>
      <c r="C9" s="12">
        <v>2012</v>
      </c>
      <c r="D9" s="3">
        <v>2013</v>
      </c>
      <c r="E9" s="3">
        <v>2014</v>
      </c>
      <c r="F9" s="3">
        <v>2015</v>
      </c>
      <c r="G9" s="3">
        <v>2016</v>
      </c>
      <c r="H9" s="3">
        <v>2017</v>
      </c>
      <c r="I9" s="3">
        <v>2018</v>
      </c>
      <c r="J9" s="13">
        <v>2019</v>
      </c>
      <c r="K9" s="12">
        <v>2020</v>
      </c>
      <c r="L9" s="3">
        <v>2021</v>
      </c>
      <c r="M9" s="3">
        <v>2022</v>
      </c>
      <c r="N9" s="3">
        <v>2023</v>
      </c>
      <c r="O9" s="13">
        <v>2024</v>
      </c>
      <c r="P9" s="13">
        <v>2025</v>
      </c>
      <c r="Q9" s="13">
        <v>2026</v>
      </c>
      <c r="R9" s="13">
        <v>2027</v>
      </c>
      <c r="S9" s="14"/>
      <c r="T9" s="12">
        <v>2020</v>
      </c>
      <c r="U9" s="3">
        <v>2021</v>
      </c>
      <c r="V9" s="3">
        <v>2022</v>
      </c>
      <c r="W9" s="3">
        <v>2023</v>
      </c>
      <c r="X9" s="13">
        <v>2024</v>
      </c>
      <c r="Y9" s="13">
        <v>2025</v>
      </c>
      <c r="Z9" s="13">
        <v>2026</v>
      </c>
      <c r="AA9" s="13">
        <v>2027</v>
      </c>
    </row>
    <row r="10" spans="1:36" ht="12" customHeight="1">
      <c r="T10" s="2"/>
      <c r="U10" s="2"/>
      <c r="V10" s="2"/>
      <c r="W10" s="2"/>
      <c r="X10" s="2"/>
      <c r="Y10" s="2"/>
      <c r="Z10" s="2"/>
      <c r="AA10" s="2"/>
    </row>
    <row r="11" spans="1:36" ht="15.6" customHeight="1">
      <c r="A11" s="15" t="s">
        <v>325</v>
      </c>
      <c r="B11" s="15"/>
      <c r="C11" s="15"/>
      <c r="D11" s="15"/>
      <c r="E11" s="15"/>
      <c r="F11" s="15"/>
      <c r="G11" s="15"/>
      <c r="H11" s="15"/>
      <c r="I11" s="15"/>
      <c r="J11" s="902"/>
      <c r="K11" s="17"/>
      <c r="L11" s="17"/>
      <c r="M11" s="17"/>
      <c r="N11" s="17"/>
      <c r="O11" s="18"/>
      <c r="P11" s="18"/>
      <c r="Q11" s="18"/>
      <c r="R11" s="18"/>
      <c r="S11" s="18"/>
      <c r="T11" s="17"/>
      <c r="U11" s="17"/>
      <c r="V11" s="19"/>
      <c r="W11" s="19"/>
      <c r="X11" s="19"/>
      <c r="Y11" s="19"/>
      <c r="Z11" s="19"/>
      <c r="AA11" s="19"/>
    </row>
    <row r="12" spans="1:36" ht="12" customHeight="1">
      <c r="A12" s="20" t="s">
        <v>326</v>
      </c>
      <c r="B12" s="20"/>
      <c r="C12" s="112">
        <v>3920</v>
      </c>
      <c r="D12" s="113">
        <v>3459</v>
      </c>
      <c r="E12" s="113">
        <v>3192</v>
      </c>
      <c r="F12" s="113">
        <v>4026</v>
      </c>
      <c r="G12" s="113">
        <v>4093</v>
      </c>
      <c r="H12" s="113">
        <v>4099</v>
      </c>
      <c r="I12" s="113">
        <v>4126</v>
      </c>
      <c r="J12" s="1129">
        <v>4526</v>
      </c>
      <c r="K12" s="112">
        <v>8164</v>
      </c>
      <c r="L12" s="113">
        <v>9373</v>
      </c>
      <c r="M12" s="577">
        <v>9950</v>
      </c>
      <c r="N12" s="1454">
        <v>12875</v>
      </c>
      <c r="O12" s="113">
        <v>13190</v>
      </c>
      <c r="P12" s="113">
        <v>13570</v>
      </c>
      <c r="Q12" s="113">
        <v>13934</v>
      </c>
      <c r="R12" s="1446">
        <v>14184.12</v>
      </c>
      <c r="S12" s="114"/>
      <c r="T12" s="112">
        <v>5703</v>
      </c>
      <c r="U12" s="113">
        <v>6743</v>
      </c>
      <c r="V12" s="1507">
        <v>8977.2703399999991</v>
      </c>
      <c r="W12" s="67"/>
      <c r="X12" s="649"/>
      <c r="Y12" s="22"/>
      <c r="Z12" s="649"/>
      <c r="AA12" s="23"/>
      <c r="AF12" s="1" t="s">
        <v>931</v>
      </c>
      <c r="AG12" s="1" t="s">
        <v>931</v>
      </c>
    </row>
    <row r="13" spans="1:36" ht="12" customHeight="1">
      <c r="A13" s="24" t="s">
        <v>327</v>
      </c>
      <c r="B13" s="24"/>
      <c r="C13" s="37"/>
      <c r="D13" s="5"/>
      <c r="E13" s="5"/>
      <c r="F13" s="5"/>
      <c r="G13" s="5"/>
      <c r="H13" s="5"/>
      <c r="I13" s="5"/>
      <c r="J13" s="1130"/>
      <c r="K13" s="37">
        <v>0</v>
      </c>
      <c r="L13" s="5">
        <v>0</v>
      </c>
      <c r="M13" s="25">
        <v>0</v>
      </c>
      <c r="N13" s="156">
        <v>0</v>
      </c>
      <c r="O13" s="5">
        <v>0</v>
      </c>
      <c r="P13" s="5">
        <v>0</v>
      </c>
      <c r="Q13" s="5">
        <v>0</v>
      </c>
      <c r="R13" s="615">
        <v>0</v>
      </c>
      <c r="S13" s="26"/>
      <c r="T13" s="37">
        <v>0</v>
      </c>
      <c r="U13" s="116">
        <v>0</v>
      </c>
      <c r="V13" s="1488">
        <v>0</v>
      </c>
      <c r="W13" s="37"/>
      <c r="X13" s="643"/>
      <c r="Y13" s="5"/>
      <c r="Z13" s="643"/>
      <c r="AA13" s="25"/>
      <c r="AF13" s="1" t="s">
        <v>931</v>
      </c>
      <c r="AG13" s="1" t="s">
        <v>931</v>
      </c>
    </row>
    <row r="14" spans="1:36" ht="12" customHeight="1">
      <c r="A14" s="24" t="s">
        <v>328</v>
      </c>
      <c r="B14" s="24"/>
      <c r="C14" s="115">
        <v>45252</v>
      </c>
      <c r="D14" s="116">
        <v>48996</v>
      </c>
      <c r="E14" s="116">
        <v>47541.838000000003</v>
      </c>
      <c r="F14" s="784">
        <v>44270.412164200003</v>
      </c>
      <c r="G14" s="116">
        <v>49754.614212217602</v>
      </c>
      <c r="H14" s="784">
        <v>54742.816455627602</v>
      </c>
      <c r="I14" s="116">
        <v>53025.501011894878</v>
      </c>
      <c r="J14" s="1131">
        <v>51128.050029999999</v>
      </c>
      <c r="K14" s="115">
        <f>K30+4604+1</f>
        <v>55100.243628479999</v>
      </c>
      <c r="L14" s="116">
        <f>L30+5121+1</f>
        <v>54929.543279311998</v>
      </c>
      <c r="M14" s="578">
        <f>M30+5312+1</f>
        <v>54359.220078352002</v>
      </c>
      <c r="N14" s="116">
        <v>60483.981014576006</v>
      </c>
      <c r="O14" s="116">
        <v>60694.120470895999</v>
      </c>
      <c r="P14" s="116">
        <v>62013.503839776</v>
      </c>
      <c r="Q14" s="116">
        <v>64059.850798799998</v>
      </c>
      <c r="R14" s="1335">
        <v>64606.328170232002</v>
      </c>
      <c r="S14" s="114"/>
      <c r="T14" s="115">
        <v>50067.9305360992</v>
      </c>
      <c r="U14" s="116">
        <v>50950.278483809998</v>
      </c>
      <c r="V14" s="1508">
        <v>57389.494200680005</v>
      </c>
      <c r="W14" s="37"/>
      <c r="X14" s="643"/>
      <c r="Y14" s="5"/>
      <c r="Z14" s="643"/>
      <c r="AA14" s="25"/>
      <c r="AD14" s="1526"/>
      <c r="AE14" s="1526">
        <v>1037.1804656200038</v>
      </c>
      <c r="AF14" s="1" t="s">
        <v>931</v>
      </c>
      <c r="AG14" s="1" t="s">
        <v>931</v>
      </c>
    </row>
    <row r="15" spans="1:36" ht="12" customHeight="1">
      <c r="A15" s="24" t="s">
        <v>329</v>
      </c>
      <c r="B15" s="24"/>
      <c r="C15" s="115">
        <v>1319</v>
      </c>
      <c r="D15" s="116">
        <v>1317</v>
      </c>
      <c r="E15" s="116">
        <v>1314</v>
      </c>
      <c r="F15" s="116">
        <v>1318</v>
      </c>
      <c r="G15" s="116">
        <v>1317</v>
      </c>
      <c r="H15" s="116">
        <v>1318</v>
      </c>
      <c r="I15" s="116">
        <v>1068</v>
      </c>
      <c r="J15" s="1131">
        <v>1032</v>
      </c>
      <c r="K15" s="115">
        <v>212</v>
      </c>
      <c r="L15" s="116">
        <v>217</v>
      </c>
      <c r="M15" s="578">
        <v>219</v>
      </c>
      <c r="N15" s="1455">
        <v>205</v>
      </c>
      <c r="O15" s="116">
        <v>202</v>
      </c>
      <c r="P15" s="116">
        <v>203</v>
      </c>
      <c r="Q15" s="116">
        <v>192</v>
      </c>
      <c r="R15" s="1335">
        <v>191.76</v>
      </c>
      <c r="S15" s="26"/>
      <c r="T15" s="115">
        <v>186</v>
      </c>
      <c r="U15" s="116">
        <v>217</v>
      </c>
      <c r="V15" s="1509">
        <v>213.34007</v>
      </c>
      <c r="W15" s="37"/>
      <c r="X15" s="643"/>
      <c r="Y15" s="5"/>
      <c r="Z15" s="643"/>
      <c r="AA15" s="25"/>
      <c r="AE15" s="1527">
        <f>V14+AE14</f>
        <v>58426.674666300009</v>
      </c>
      <c r="AF15" s="1" t="s">
        <v>931</v>
      </c>
      <c r="AG15" s="1" t="s">
        <v>931</v>
      </c>
    </row>
    <row r="16" spans="1:36" ht="12" customHeight="1">
      <c r="A16" s="24" t="s">
        <v>330</v>
      </c>
      <c r="B16" s="24"/>
      <c r="C16" s="115">
        <v>427</v>
      </c>
      <c r="D16" s="116">
        <v>365</v>
      </c>
      <c r="E16" s="116">
        <v>304</v>
      </c>
      <c r="F16" s="116">
        <v>244</v>
      </c>
      <c r="G16" s="116">
        <v>183.46559999999999</v>
      </c>
      <c r="H16" s="116">
        <v>123</v>
      </c>
      <c r="I16" s="1118">
        <v>63.001600000000003</v>
      </c>
      <c r="J16" s="1131">
        <v>21</v>
      </c>
      <c r="K16" s="115">
        <v>49.3232</v>
      </c>
      <c r="L16" s="116">
        <v>42.734399999999994</v>
      </c>
      <c r="M16" s="578">
        <v>36.145599999999995</v>
      </c>
      <c r="N16" s="1455">
        <v>29.556799999999999</v>
      </c>
      <c r="O16" s="116">
        <v>23.431999999999999</v>
      </c>
      <c r="P16" s="116">
        <v>18.258399999999998</v>
      </c>
      <c r="Q16" s="116">
        <v>13.571999999999999</v>
      </c>
      <c r="R16" s="1335">
        <v>9.0633119999999998</v>
      </c>
      <c r="S16" s="26"/>
      <c r="T16" s="115">
        <v>49</v>
      </c>
      <c r="U16" s="116">
        <v>43</v>
      </c>
      <c r="V16" s="1488">
        <v>36</v>
      </c>
      <c r="W16" s="37"/>
      <c r="X16" s="643"/>
      <c r="Y16" s="5"/>
      <c r="Z16" s="643"/>
      <c r="AA16" s="25"/>
      <c r="AF16" s="1" t="s">
        <v>931</v>
      </c>
      <c r="AG16" s="1" t="s">
        <v>931</v>
      </c>
    </row>
    <row r="17" spans="1:33" ht="12" customHeight="1">
      <c r="A17" s="24" t="s">
        <v>331</v>
      </c>
      <c r="B17" s="24"/>
      <c r="C17" s="115">
        <v>6000</v>
      </c>
      <c r="D17" s="116">
        <v>6000</v>
      </c>
      <c r="E17" s="116">
        <v>6000</v>
      </c>
      <c r="F17" s="116">
        <v>6000</v>
      </c>
      <c r="G17" s="116">
        <v>6000</v>
      </c>
      <c r="H17" s="116">
        <v>6000</v>
      </c>
      <c r="I17" s="116">
        <v>6000</v>
      </c>
      <c r="J17" s="1131">
        <v>6000</v>
      </c>
      <c r="K17" s="115">
        <v>6000</v>
      </c>
      <c r="L17" s="116">
        <v>6000</v>
      </c>
      <c r="M17" s="578">
        <v>6000</v>
      </c>
      <c r="N17" s="1455">
        <v>6000</v>
      </c>
      <c r="O17" s="116">
        <v>6000</v>
      </c>
      <c r="P17" s="116">
        <v>6000</v>
      </c>
      <c r="Q17" s="116">
        <v>6000</v>
      </c>
      <c r="R17" s="1335">
        <v>6000</v>
      </c>
      <c r="S17" s="26"/>
      <c r="T17" s="115">
        <v>6000</v>
      </c>
      <c r="U17" s="116">
        <v>6000</v>
      </c>
      <c r="V17" s="1488">
        <v>6000</v>
      </c>
      <c r="W17" s="37"/>
      <c r="X17" s="643"/>
      <c r="Y17" s="5"/>
      <c r="Z17" s="643"/>
      <c r="AA17" s="25"/>
      <c r="AF17" s="1" t="s">
        <v>931</v>
      </c>
      <c r="AG17" s="1" t="s">
        <v>931</v>
      </c>
    </row>
    <row r="18" spans="1:33" ht="12" customHeight="1">
      <c r="A18" s="134" t="s">
        <v>332</v>
      </c>
      <c r="B18" s="579"/>
      <c r="C18" s="85">
        <f t="shared" ref="C18:H18" si="0">SUM(C12:C17)</f>
        <v>56918</v>
      </c>
      <c r="D18" s="86">
        <f t="shared" si="0"/>
        <v>60137</v>
      </c>
      <c r="E18" s="86">
        <f t="shared" si="0"/>
        <v>58351.838000000003</v>
      </c>
      <c r="F18" s="86">
        <f t="shared" si="0"/>
        <v>55858.412164200003</v>
      </c>
      <c r="G18" s="86">
        <f t="shared" si="0"/>
        <v>61348.079812217606</v>
      </c>
      <c r="H18" s="86">
        <f t="shared" si="0"/>
        <v>66282.816455627602</v>
      </c>
      <c r="I18" s="86">
        <f t="shared" ref="I18:O18" si="1">I12+SUM(I14:I17)</f>
        <v>64282.502611894881</v>
      </c>
      <c r="J18" s="1132">
        <f t="shared" si="1"/>
        <v>62707.050029999999</v>
      </c>
      <c r="K18" s="85">
        <f t="shared" si="1"/>
        <v>69525.56682847999</v>
      </c>
      <c r="L18" s="86">
        <f t="shared" si="1"/>
        <v>70562.277679311999</v>
      </c>
      <c r="M18" s="627">
        <f t="shared" si="1"/>
        <v>70564.365678352013</v>
      </c>
      <c r="N18" s="155">
        <f t="shared" si="1"/>
        <v>79593.537814576004</v>
      </c>
      <c r="O18" s="86">
        <f t="shared" si="1"/>
        <v>80109.552470896</v>
      </c>
      <c r="P18" s="86">
        <f t="shared" ref="P18:R18" si="2">P12+SUM(P14:P17)</f>
        <v>81804.762239775999</v>
      </c>
      <c r="Q18" s="86">
        <f t="shared" si="2"/>
        <v>84199.422798799991</v>
      </c>
      <c r="R18" s="1137">
        <f t="shared" si="2"/>
        <v>84991.271482231998</v>
      </c>
      <c r="S18" s="26"/>
      <c r="T18" s="85">
        <f t="shared" ref="T18:U18" si="3">T12+SUM(T14:T17)</f>
        <v>62005.9305360992</v>
      </c>
      <c r="U18" s="86">
        <f t="shared" si="3"/>
        <v>63953.278483809998</v>
      </c>
      <c r="V18" s="86">
        <f t="shared" ref="V18" si="4">V12+SUM(V14:V17)</f>
        <v>72616.104610680006</v>
      </c>
      <c r="W18" s="85"/>
      <c r="X18" s="676"/>
      <c r="Y18" s="86"/>
      <c r="Z18" s="676"/>
      <c r="AA18" s="627"/>
      <c r="AF18" s="1" t="s">
        <v>931</v>
      </c>
      <c r="AG18" s="1" t="s">
        <v>931</v>
      </c>
    </row>
    <row r="19" spans="1:33" ht="12" customHeight="1">
      <c r="A19" s="102" t="s">
        <v>333</v>
      </c>
      <c r="B19" s="31"/>
      <c r="C19" s="28"/>
      <c r="D19" s="29">
        <f t="shared" ref="D19:O19" si="5">+D18/C18-1</f>
        <v>5.6555044098527629E-2</v>
      </c>
      <c r="E19" s="29">
        <f t="shared" si="5"/>
        <v>-2.9684919433959123E-2</v>
      </c>
      <c r="F19" s="29">
        <f t="shared" si="5"/>
        <v>-4.2730887685148877E-2</v>
      </c>
      <c r="G19" s="29">
        <f t="shared" si="5"/>
        <v>9.8278261685640356E-2</v>
      </c>
      <c r="H19" s="29">
        <f t="shared" si="5"/>
        <v>8.0438322739927681E-2</v>
      </c>
      <c r="I19" s="29">
        <f t="shared" si="5"/>
        <v>-3.0178467824640731E-2</v>
      </c>
      <c r="J19" s="790">
        <f t="shared" si="5"/>
        <v>-2.4508264580280326E-2</v>
      </c>
      <c r="K19" s="28">
        <f t="shared" si="5"/>
        <v>0.10873604794385816</v>
      </c>
      <c r="L19" s="29">
        <f t="shared" si="5"/>
        <v>1.4911217529367082E-2</v>
      </c>
      <c r="M19" s="30">
        <f t="shared" si="5"/>
        <v>2.9590867935080922E-5</v>
      </c>
      <c r="N19" s="159">
        <f t="shared" si="5"/>
        <v>0.12795654080390872</v>
      </c>
      <c r="O19" s="29">
        <f t="shared" si="5"/>
        <v>6.4831225057757624E-3</v>
      </c>
      <c r="P19" s="29">
        <f>+P18/O18-1</f>
        <v>2.1161143915962688E-2</v>
      </c>
      <c r="Q19" s="29">
        <f t="shared" ref="Q19" si="6">+Q18/P18-1</f>
        <v>2.9272874750311706E-2</v>
      </c>
      <c r="R19" s="1138">
        <f t="shared" ref="R19" si="7">+R18/Q18-1</f>
        <v>9.4044431316848698E-3</v>
      </c>
      <c r="S19" s="27"/>
      <c r="T19" s="28">
        <f>T18/J18-1</f>
        <v>-1.1180871904600376E-2</v>
      </c>
      <c r="U19" s="29">
        <f>+U18/T18-1</f>
        <v>3.1405833778707315E-2</v>
      </c>
      <c r="V19" s="29">
        <f>+V18/U18-1</f>
        <v>0.13545554398846082</v>
      </c>
      <c r="W19" s="28"/>
      <c r="X19" s="29"/>
      <c r="Y19" s="29"/>
      <c r="Z19" s="29"/>
      <c r="AA19" s="30"/>
      <c r="AF19" s="1" t="s">
        <v>931</v>
      </c>
      <c r="AG19" s="1" t="s">
        <v>931</v>
      </c>
    </row>
    <row r="20" spans="1:33" ht="12" customHeight="1">
      <c r="A20" s="31"/>
      <c r="B20" s="31"/>
      <c r="C20" s="31"/>
      <c r="D20" s="31"/>
      <c r="E20" s="31"/>
      <c r="F20" s="31"/>
      <c r="G20" s="31"/>
      <c r="H20" s="31"/>
      <c r="I20" s="31"/>
      <c r="J20" s="691"/>
      <c r="K20" s="32"/>
      <c r="L20" s="32"/>
      <c r="M20" s="32"/>
      <c r="N20" s="32"/>
      <c r="O20" s="32"/>
      <c r="P20" s="32"/>
      <c r="Q20" s="32"/>
      <c r="R20" s="32"/>
      <c r="S20" s="27"/>
      <c r="T20" s="32"/>
      <c r="U20" s="32"/>
      <c r="V20" s="32"/>
      <c r="W20" s="32"/>
      <c r="X20" s="32"/>
      <c r="Y20" s="32"/>
      <c r="Z20" s="32"/>
      <c r="AA20" s="32"/>
    </row>
    <row r="21" spans="1:33" ht="15.6" customHeight="1">
      <c r="A21" s="15" t="s">
        <v>334</v>
      </c>
      <c r="B21" s="15"/>
      <c r="C21" s="15"/>
      <c r="D21" s="15"/>
      <c r="E21" s="15"/>
      <c r="F21" s="15"/>
      <c r="G21" s="15"/>
      <c r="H21" s="15"/>
      <c r="I21" s="15"/>
      <c r="J21" s="685"/>
      <c r="K21" s="17"/>
      <c r="L21" s="17"/>
      <c r="M21" s="17"/>
      <c r="N21" s="17"/>
      <c r="O21" s="18"/>
      <c r="P21" s="18"/>
      <c r="Q21" s="18"/>
      <c r="R21" s="18"/>
      <c r="S21" s="18"/>
      <c r="T21" s="17"/>
      <c r="U21" s="17"/>
      <c r="V21" s="17"/>
      <c r="W21" s="19"/>
      <c r="X21" s="19"/>
      <c r="Y21" s="19"/>
      <c r="Z21" s="19"/>
      <c r="AA21" s="19"/>
    </row>
    <row r="22" spans="1:33" ht="12" customHeight="1">
      <c r="A22" s="135" t="s">
        <v>335</v>
      </c>
      <c r="B22" s="24"/>
      <c r="C22" s="67">
        <v>11432</v>
      </c>
      <c r="D22" s="22">
        <v>11095</v>
      </c>
      <c r="E22" s="22">
        <v>10916</v>
      </c>
      <c r="F22" s="22">
        <v>11652</v>
      </c>
      <c r="G22" s="22">
        <v>11339.4656</v>
      </c>
      <c r="H22" s="22">
        <v>11189.000000000002</v>
      </c>
      <c r="I22" s="157">
        <v>11255</v>
      </c>
      <c r="J22" s="702">
        <v>11769</v>
      </c>
      <c r="K22" s="702">
        <v>18406</v>
      </c>
      <c r="L22" s="702">
        <v>20123</v>
      </c>
      <c r="M22" s="702">
        <v>20883</v>
      </c>
      <c r="N22" s="67">
        <v>26879.819789999998</v>
      </c>
      <c r="O22" s="22">
        <v>27310.227910000001</v>
      </c>
      <c r="P22" s="22">
        <v>27204.634620000001</v>
      </c>
      <c r="Q22" s="22">
        <v>27957.883570000002</v>
      </c>
      <c r="R22" s="23">
        <v>27841.476421399999</v>
      </c>
      <c r="S22" s="26"/>
      <c r="T22" s="67">
        <v>14778</v>
      </c>
      <c r="U22" s="22">
        <v>20042</v>
      </c>
      <c r="V22" s="1525">
        <v>20052.75416</v>
      </c>
      <c r="W22" s="1102"/>
      <c r="X22" s="649"/>
      <c r="Y22" s="33"/>
      <c r="Z22" s="649"/>
      <c r="AA22" s="1095"/>
      <c r="AF22" s="1" t="s">
        <v>931</v>
      </c>
      <c r="AG22" s="1" t="s">
        <v>931</v>
      </c>
    </row>
    <row r="23" spans="1:33" ht="12" customHeight="1">
      <c r="A23" s="21" t="s">
        <v>336</v>
      </c>
      <c r="B23" s="24"/>
      <c r="C23" s="667"/>
      <c r="D23" s="660"/>
      <c r="E23" s="660"/>
      <c r="F23" s="660"/>
      <c r="G23" s="660"/>
      <c r="H23" s="660"/>
      <c r="I23" s="1108"/>
      <c r="J23" s="727"/>
      <c r="K23" s="667"/>
      <c r="L23" s="660"/>
      <c r="M23" s="660"/>
      <c r="N23" s="667"/>
      <c r="O23" s="660"/>
      <c r="P23" s="660"/>
      <c r="Q23" s="660"/>
      <c r="R23" s="668"/>
      <c r="S23" s="26"/>
      <c r="T23" s="667"/>
      <c r="U23" s="660"/>
      <c r="V23" s="1112"/>
      <c r="W23" s="1100"/>
      <c r="X23" s="651"/>
      <c r="Y23" s="669"/>
      <c r="Z23" s="651"/>
      <c r="AA23" s="1088"/>
      <c r="AF23" s="1" t="s">
        <v>931</v>
      </c>
      <c r="AG23" s="1" t="s">
        <v>931</v>
      </c>
    </row>
    <row r="24" spans="1:33" ht="12" customHeight="1">
      <c r="A24" s="21" t="s">
        <v>337</v>
      </c>
      <c r="B24" s="24"/>
      <c r="C24" s="667"/>
      <c r="D24" s="660"/>
      <c r="E24" s="660"/>
      <c r="F24" s="660"/>
      <c r="G24" s="660"/>
      <c r="H24" s="660"/>
      <c r="I24" s="1108"/>
      <c r="J24" s="727"/>
      <c r="K24" s="667"/>
      <c r="L24" s="660"/>
      <c r="M24" s="660"/>
      <c r="N24" s="667"/>
      <c r="O24" s="660"/>
      <c r="P24" s="660"/>
      <c r="Q24" s="660"/>
      <c r="R24" s="668"/>
      <c r="S24" s="26"/>
      <c r="T24" s="667"/>
      <c r="U24" s="660"/>
      <c r="V24" s="1112"/>
      <c r="W24" s="1100"/>
      <c r="X24" s="651"/>
      <c r="Y24" s="669"/>
      <c r="Z24" s="651"/>
      <c r="AA24" s="1088"/>
      <c r="AF24" s="1" t="s">
        <v>931</v>
      </c>
      <c r="AG24" s="1" t="s">
        <v>931</v>
      </c>
    </row>
    <row r="25" spans="1:33" ht="12" customHeight="1">
      <c r="A25" s="21" t="s">
        <v>338</v>
      </c>
      <c r="B25" s="24"/>
      <c r="C25" s="667"/>
      <c r="D25" s="660"/>
      <c r="E25" s="660"/>
      <c r="F25" s="660"/>
      <c r="G25" s="660"/>
      <c r="H25" s="660"/>
      <c r="I25" s="1108"/>
      <c r="J25" s="727"/>
      <c r="K25" s="667"/>
      <c r="L25" s="660"/>
      <c r="M25" s="660"/>
      <c r="N25" s="667"/>
      <c r="O25" s="660"/>
      <c r="P25" s="660"/>
      <c r="Q25" s="660"/>
      <c r="R25" s="668"/>
      <c r="S25" s="26"/>
      <c r="T25" s="667"/>
      <c r="U25" s="660"/>
      <c r="V25" s="1112"/>
      <c r="W25" s="1100"/>
      <c r="X25" s="651"/>
      <c r="Y25" s="669"/>
      <c r="Z25" s="651"/>
      <c r="AA25" s="1088"/>
      <c r="AF25" s="1" t="s">
        <v>931</v>
      </c>
      <c r="AG25" s="1" t="s">
        <v>931</v>
      </c>
    </row>
    <row r="26" spans="1:33" ht="12" customHeight="1">
      <c r="A26" s="21" t="s">
        <v>339</v>
      </c>
      <c r="B26" s="24"/>
      <c r="C26" s="667"/>
      <c r="D26" s="660"/>
      <c r="E26" s="660"/>
      <c r="F26" s="660"/>
      <c r="G26" s="660"/>
      <c r="H26" s="660"/>
      <c r="I26" s="1108"/>
      <c r="J26" s="727"/>
      <c r="K26" s="667"/>
      <c r="L26" s="660"/>
      <c r="M26" s="660"/>
      <c r="N26" s="667"/>
      <c r="O26" s="660"/>
      <c r="P26" s="660"/>
      <c r="Q26" s="660"/>
      <c r="R26" s="668"/>
      <c r="S26" s="26"/>
      <c r="T26" s="667"/>
      <c r="U26" s="660"/>
      <c r="V26" s="1112"/>
      <c r="W26" s="1100"/>
      <c r="X26" s="651"/>
      <c r="Y26" s="669"/>
      <c r="Z26" s="651"/>
      <c r="AA26" s="1088"/>
      <c r="AF26" s="1" t="s">
        <v>931</v>
      </c>
      <c r="AG26" s="1" t="s">
        <v>931</v>
      </c>
    </row>
    <row r="27" spans="1:33" ht="12" customHeight="1">
      <c r="A27" s="21" t="s">
        <v>340</v>
      </c>
      <c r="B27" s="24"/>
      <c r="C27" s="667"/>
      <c r="D27" s="660"/>
      <c r="E27" s="660"/>
      <c r="F27" s="660"/>
      <c r="G27" s="660"/>
      <c r="H27" s="660"/>
      <c r="I27" s="1108"/>
      <c r="J27" s="727"/>
      <c r="K27" s="667"/>
      <c r="L27" s="660"/>
      <c r="M27" s="660"/>
      <c r="N27" s="667"/>
      <c r="O27" s="660"/>
      <c r="P27" s="660"/>
      <c r="Q27" s="660"/>
      <c r="R27" s="668"/>
      <c r="S27" s="26"/>
      <c r="T27" s="667"/>
      <c r="U27" s="660"/>
      <c r="V27" s="1112"/>
      <c r="W27" s="1100"/>
      <c r="X27" s="651"/>
      <c r="Y27" s="669"/>
      <c r="Z27" s="651"/>
      <c r="AA27" s="1088"/>
      <c r="AF27" s="1" t="s">
        <v>931</v>
      </c>
      <c r="AG27" s="1" t="s">
        <v>931</v>
      </c>
    </row>
    <row r="28" spans="1:33" ht="12" customHeight="1">
      <c r="A28" s="21" t="s">
        <v>341</v>
      </c>
      <c r="B28" s="24"/>
      <c r="C28" s="667"/>
      <c r="D28" s="660"/>
      <c r="E28" s="660"/>
      <c r="F28" s="660"/>
      <c r="G28" s="660"/>
      <c r="H28" s="660"/>
      <c r="I28" s="1108"/>
      <c r="J28" s="727"/>
      <c r="K28" s="667"/>
      <c r="L28" s="660"/>
      <c r="M28" s="660"/>
      <c r="N28" s="667"/>
      <c r="O28" s="660"/>
      <c r="P28" s="660"/>
      <c r="Q28" s="660"/>
      <c r="R28" s="668"/>
      <c r="S28" s="26"/>
      <c r="T28" s="667"/>
      <c r="U28" s="660"/>
      <c r="V28" s="1112"/>
      <c r="W28" s="1100"/>
      <c r="X28" s="651"/>
      <c r="Y28" s="669"/>
      <c r="Z28" s="651"/>
      <c r="AA28" s="1088"/>
      <c r="AF28" s="1" t="s">
        <v>931</v>
      </c>
      <c r="AG28" s="1" t="s">
        <v>931</v>
      </c>
    </row>
    <row r="29" spans="1:33" ht="12" customHeight="1">
      <c r="A29" s="21" t="s">
        <v>342</v>
      </c>
      <c r="B29" s="24"/>
      <c r="C29" s="37">
        <v>2100</v>
      </c>
      <c r="D29" s="5">
        <v>1996</v>
      </c>
      <c r="E29" s="5">
        <v>1848</v>
      </c>
      <c r="F29" s="5">
        <v>1841</v>
      </c>
      <c r="G29" s="5">
        <v>1811</v>
      </c>
      <c r="H29" s="5">
        <v>1824</v>
      </c>
      <c r="I29" s="1119">
        <v>1537.0016000000001</v>
      </c>
      <c r="J29" s="687">
        <v>1409</v>
      </c>
      <c r="K29" s="37">
        <v>624.32320000000004</v>
      </c>
      <c r="L29" s="5">
        <v>631.73440000000005</v>
      </c>
      <c r="M29" s="5">
        <v>635.14560000000006</v>
      </c>
      <c r="N29" s="37">
        <v>626.08000000000004</v>
      </c>
      <c r="O29" s="5">
        <v>623.71199999999999</v>
      </c>
      <c r="P29" s="5">
        <v>625.36300000000006</v>
      </c>
      <c r="Q29" s="5">
        <v>615.03399999999999</v>
      </c>
      <c r="R29" s="25">
        <v>623.95950000000005</v>
      </c>
      <c r="S29" s="26"/>
      <c r="T29" s="37">
        <v>541</v>
      </c>
      <c r="U29" s="5">
        <v>713</v>
      </c>
      <c r="V29" s="1510">
        <v>1379.5055199999999</v>
      </c>
      <c r="W29" s="1101"/>
      <c r="X29" s="643"/>
      <c r="Y29" s="35"/>
      <c r="Z29" s="643"/>
      <c r="AA29" s="580"/>
      <c r="AF29" s="1" t="s">
        <v>931</v>
      </c>
      <c r="AG29" s="1" t="s">
        <v>931</v>
      </c>
    </row>
    <row r="30" spans="1:33" ht="12" customHeight="1">
      <c r="A30" s="21" t="s">
        <v>343</v>
      </c>
      <c r="B30" s="24"/>
      <c r="C30" s="37">
        <v>43386</v>
      </c>
      <c r="D30" s="5">
        <v>47046</v>
      </c>
      <c r="E30" s="5">
        <v>45587.838000000003</v>
      </c>
      <c r="F30" s="785">
        <v>42365.412164199995</v>
      </c>
      <c r="G30" s="5">
        <v>48197.614212217602</v>
      </c>
      <c r="H30" s="785">
        <v>53269.816455627595</v>
      </c>
      <c r="I30" s="156">
        <v>51490.501011894878</v>
      </c>
      <c r="J30" s="687">
        <v>49529.050029999999</v>
      </c>
      <c r="K30" s="1003">
        <v>50495.243628479999</v>
      </c>
      <c r="L30" s="1004">
        <v>49807.543279311998</v>
      </c>
      <c r="M30" s="1004">
        <v>49046.220078352002</v>
      </c>
      <c r="N30" s="37">
        <v>52087.638024576001</v>
      </c>
      <c r="O30" s="5">
        <v>52175.612560896006</v>
      </c>
      <c r="P30" s="5">
        <v>53974.764619776004</v>
      </c>
      <c r="Q30" s="5">
        <v>55626.505228800001</v>
      </c>
      <c r="R30" s="25">
        <v>56525.835560831998</v>
      </c>
      <c r="S30" s="26"/>
      <c r="T30" s="1003">
        <v>46686.930536099186</v>
      </c>
      <c r="U30" s="1004">
        <v>43198.278483809998</v>
      </c>
      <c r="V30" s="1489">
        <f>V57</f>
        <v>51183.664778400002</v>
      </c>
      <c r="W30" s="1101"/>
      <c r="X30" s="643"/>
      <c r="Y30" s="35"/>
      <c r="Z30" s="643"/>
      <c r="AA30" s="580"/>
      <c r="AB30" s="133"/>
      <c r="AF30" s="1" t="s">
        <v>931</v>
      </c>
      <c r="AG30" s="1" t="s">
        <v>931</v>
      </c>
    </row>
    <row r="31" spans="1:33" s="143" customFormat="1" ht="12" customHeight="1">
      <c r="A31" s="141" t="s">
        <v>344</v>
      </c>
      <c r="B31" s="134"/>
      <c r="C31" s="85">
        <f t="shared" ref="C31:H31" si="8">SUM(C22:C30)</f>
        <v>56918</v>
      </c>
      <c r="D31" s="86">
        <f t="shared" si="8"/>
        <v>60137</v>
      </c>
      <c r="E31" s="86">
        <f t="shared" si="8"/>
        <v>58351.838000000003</v>
      </c>
      <c r="F31" s="86">
        <f t="shared" si="8"/>
        <v>55858.412164199995</v>
      </c>
      <c r="G31" s="86">
        <f t="shared" si="8"/>
        <v>61348.079812217606</v>
      </c>
      <c r="H31" s="86">
        <f t="shared" si="8"/>
        <v>66282.816455627602</v>
      </c>
      <c r="I31" s="155">
        <f t="shared" ref="I31:O31" si="9">SUM(I22:I30)</f>
        <v>64282.502611894874</v>
      </c>
      <c r="J31" s="689">
        <f t="shared" si="9"/>
        <v>62707.050029999999</v>
      </c>
      <c r="K31" s="85">
        <f t="shared" si="9"/>
        <v>69525.56682847999</v>
      </c>
      <c r="L31" s="86">
        <f>SUM(L22:L30)</f>
        <v>70562.277679311999</v>
      </c>
      <c r="M31" s="86">
        <f t="shared" si="9"/>
        <v>70564.365678351998</v>
      </c>
      <c r="N31" s="85">
        <f t="shared" si="9"/>
        <v>79593.537814576004</v>
      </c>
      <c r="O31" s="86">
        <f t="shared" si="9"/>
        <v>80109.552470896015</v>
      </c>
      <c r="P31" s="86">
        <f t="shared" ref="P31:R31" si="10">SUM(P22:P30)</f>
        <v>81804.762239775999</v>
      </c>
      <c r="Q31" s="86">
        <f t="shared" si="10"/>
        <v>84199.422798800006</v>
      </c>
      <c r="R31" s="627">
        <f t="shared" si="10"/>
        <v>84991.271482231998</v>
      </c>
      <c r="S31" s="87"/>
      <c r="T31" s="85">
        <f t="shared" ref="T31:U31" si="11">SUM(T22:T30)</f>
        <v>62005.930536099186</v>
      </c>
      <c r="U31" s="86">
        <f t="shared" si="11"/>
        <v>63953.278483809998</v>
      </c>
      <c r="V31" s="86">
        <f t="shared" ref="V31" si="12">SUM(V22:V30)</f>
        <v>72615.924458399997</v>
      </c>
      <c r="W31" s="85"/>
      <c r="X31" s="86"/>
      <c r="Y31" s="86"/>
      <c r="Z31" s="86"/>
      <c r="AA31" s="627"/>
      <c r="AB31" s="473"/>
      <c r="AF31" s="1" t="s">
        <v>931</v>
      </c>
      <c r="AG31" s="1" t="s">
        <v>931</v>
      </c>
    </row>
    <row r="32" spans="1:33" ht="12" customHeight="1">
      <c r="A32" s="102" t="s">
        <v>333</v>
      </c>
      <c r="B32" s="31"/>
      <c r="C32" s="28"/>
      <c r="D32" s="29">
        <f t="shared" ref="D32:O32" si="13">+D31/C31-1</f>
        <v>5.6555044098527629E-2</v>
      </c>
      <c r="E32" s="29">
        <f t="shared" si="13"/>
        <v>-2.9684919433959123E-2</v>
      </c>
      <c r="F32" s="29">
        <f t="shared" si="13"/>
        <v>-4.2730887685148988E-2</v>
      </c>
      <c r="G32" s="29">
        <f t="shared" si="13"/>
        <v>9.8278261685640578E-2</v>
      </c>
      <c r="H32" s="29">
        <f t="shared" si="13"/>
        <v>8.0438322739927681E-2</v>
      </c>
      <c r="I32" s="159">
        <f t="shared" si="13"/>
        <v>-3.0178467824640842E-2</v>
      </c>
      <c r="J32" s="690">
        <f t="shared" si="13"/>
        <v>-2.4508264580280215E-2</v>
      </c>
      <c r="K32" s="28">
        <f t="shared" si="13"/>
        <v>0.10873604794385816</v>
      </c>
      <c r="L32" s="29">
        <f t="shared" si="13"/>
        <v>1.4911217529367082E-2</v>
      </c>
      <c r="M32" s="29">
        <f t="shared" si="13"/>
        <v>2.9590867934858878E-5</v>
      </c>
      <c r="N32" s="28">
        <f t="shared" si="13"/>
        <v>0.12795654080390895</v>
      </c>
      <c r="O32" s="29">
        <f t="shared" si="13"/>
        <v>6.4831225057759845E-3</v>
      </c>
      <c r="P32" s="29">
        <f t="shared" ref="P32" si="14">+P31/O31-1</f>
        <v>2.1161143915962466E-2</v>
      </c>
      <c r="Q32" s="29">
        <f t="shared" ref="Q32" si="15">+Q31/P31-1</f>
        <v>2.9272874750311928E-2</v>
      </c>
      <c r="R32" s="30">
        <f t="shared" ref="R32" si="16">+R31/Q31-1</f>
        <v>9.4044431316846477E-3</v>
      </c>
      <c r="S32" s="27"/>
      <c r="T32" s="28">
        <f>T31/J31-1</f>
        <v>-1.1180871904600598E-2</v>
      </c>
      <c r="U32" s="29">
        <f>+U31/T31-1</f>
        <v>3.1405833778707537E-2</v>
      </c>
      <c r="V32" s="29">
        <f>+V31/U31-1</f>
        <v>0.13545272705265576</v>
      </c>
      <c r="W32" s="28"/>
      <c r="X32" s="29"/>
      <c r="Y32" s="29"/>
      <c r="Z32" s="29"/>
      <c r="AA32" s="30"/>
      <c r="AF32" s="1" t="s">
        <v>931</v>
      </c>
      <c r="AG32" s="1" t="s">
        <v>931</v>
      </c>
    </row>
    <row r="33" spans="1:33" ht="12" customHeight="1">
      <c r="A33" s="31"/>
      <c r="B33" s="32"/>
      <c r="C33" s="32"/>
      <c r="D33" s="32"/>
      <c r="E33" s="32"/>
      <c r="F33" s="32"/>
      <c r="G33" s="32"/>
      <c r="H33" s="32"/>
      <c r="I33" s="32"/>
      <c r="J33" s="693"/>
      <c r="K33" s="26"/>
      <c r="L33" s="26"/>
      <c r="M33" s="26"/>
      <c r="N33" s="26"/>
      <c r="O33" s="26"/>
      <c r="P33" s="26"/>
      <c r="Q33" s="26"/>
      <c r="R33" s="26"/>
      <c r="S33" s="32"/>
      <c r="T33" s="32"/>
      <c r="U33" s="32"/>
      <c r="V33" s="32"/>
      <c r="W33" s="32"/>
      <c r="X33" s="32"/>
      <c r="Y33" s="32"/>
      <c r="Z33" s="32"/>
      <c r="AA33" s="32"/>
    </row>
    <row r="34" spans="1:33" ht="15.6" customHeight="1">
      <c r="A34" s="15" t="s">
        <v>345</v>
      </c>
      <c r="B34" s="15"/>
      <c r="C34" s="15"/>
      <c r="D34" s="15"/>
      <c r="E34" s="15"/>
      <c r="F34" s="15"/>
      <c r="G34" s="15"/>
      <c r="H34" s="15"/>
      <c r="I34" s="15"/>
      <c r="J34" s="685"/>
      <c r="K34" s="17"/>
      <c r="L34" s="17"/>
      <c r="M34" s="17"/>
      <c r="N34" s="17"/>
      <c r="O34" s="17"/>
      <c r="P34" s="17"/>
      <c r="Q34" s="17"/>
      <c r="R34" s="17"/>
      <c r="S34" s="18"/>
      <c r="T34" s="17"/>
      <c r="U34" s="17"/>
      <c r="V34" s="17"/>
      <c r="W34" s="17"/>
      <c r="X34" s="17"/>
      <c r="Y34" s="17"/>
      <c r="Z34" s="17"/>
      <c r="AA34" s="17"/>
    </row>
    <row r="35" spans="1:33" ht="12" customHeight="1">
      <c r="A35" s="15" t="s">
        <v>346</v>
      </c>
      <c r="B35" s="15"/>
      <c r="C35" s="15"/>
      <c r="D35" s="15"/>
      <c r="E35" s="15"/>
      <c r="F35" s="15"/>
      <c r="G35" s="15"/>
      <c r="H35" s="15"/>
      <c r="I35" s="15"/>
      <c r="J35" s="685"/>
      <c r="K35" s="17"/>
      <c r="L35" s="17"/>
      <c r="M35" s="17"/>
      <c r="N35" s="17"/>
      <c r="O35" s="17"/>
      <c r="P35" s="17"/>
      <c r="Q35" s="17"/>
      <c r="R35" s="17"/>
      <c r="S35" s="17"/>
      <c r="T35" s="17"/>
      <c r="U35" s="17"/>
      <c r="V35" s="17"/>
      <c r="W35" s="17"/>
      <c r="X35" s="17"/>
      <c r="Y35" s="17"/>
      <c r="Z35" s="17"/>
      <c r="AA35" s="17"/>
    </row>
    <row r="36" spans="1:33" ht="12" customHeight="1">
      <c r="A36" s="42" t="s">
        <v>347</v>
      </c>
      <c r="B36" s="21"/>
      <c r="C36" s="22">
        <v>9162</v>
      </c>
      <c r="D36" s="22">
        <v>7860</v>
      </c>
      <c r="E36" s="22">
        <v>6558</v>
      </c>
      <c r="F36" s="22">
        <v>5256</v>
      </c>
      <c r="G36" s="22">
        <v>3954</v>
      </c>
      <c r="H36" s="22">
        <v>2652</v>
      </c>
      <c r="I36" s="647">
        <v>1350</v>
      </c>
      <c r="J36" s="718">
        <v>450</v>
      </c>
      <c r="K36" s="67">
        <v>1065</v>
      </c>
      <c r="L36" s="22">
        <v>935</v>
      </c>
      <c r="M36" s="23">
        <v>783</v>
      </c>
      <c r="N36" s="157">
        <v>637</v>
      </c>
      <c r="O36" s="22">
        <v>505</v>
      </c>
      <c r="P36" s="22">
        <v>393.5</v>
      </c>
      <c r="Q36" s="22">
        <v>292.5</v>
      </c>
      <c r="R36" s="23">
        <v>195.33</v>
      </c>
      <c r="S36" s="43"/>
      <c r="T36" s="67">
        <v>1065</v>
      </c>
      <c r="U36" s="67">
        <v>935</v>
      </c>
      <c r="V36" s="991">
        <v>783</v>
      </c>
      <c r="W36" s="1102"/>
      <c r="X36" s="647"/>
      <c r="Y36" s="647"/>
      <c r="Z36" s="647"/>
      <c r="AA36" s="648"/>
      <c r="AF36" s="1" t="s">
        <v>931</v>
      </c>
      <c r="AG36" s="1" t="s">
        <v>931</v>
      </c>
    </row>
    <row r="37" spans="1:33" ht="12" customHeight="1">
      <c r="A37" s="44" t="s">
        <v>348</v>
      </c>
      <c r="B37" s="21"/>
      <c r="C37" s="5"/>
      <c r="D37" s="5"/>
      <c r="E37" s="5"/>
      <c r="F37" s="5"/>
      <c r="G37" s="5"/>
      <c r="H37" s="5"/>
      <c r="I37" s="5"/>
      <c r="J37" s="695"/>
      <c r="K37" s="37"/>
      <c r="L37" s="5"/>
      <c r="M37" s="25"/>
      <c r="N37" s="156"/>
      <c r="O37" s="5"/>
      <c r="P37" s="5"/>
      <c r="Q37" s="5"/>
      <c r="R37" s="25"/>
      <c r="S37" s="43"/>
      <c r="T37" s="37"/>
      <c r="U37" s="37"/>
      <c r="V37" s="990"/>
      <c r="W37" s="1101"/>
      <c r="X37" s="642"/>
      <c r="Y37" s="661"/>
      <c r="Z37" s="642"/>
      <c r="AA37" s="1089"/>
      <c r="AF37" s="1" t="s">
        <v>931</v>
      </c>
      <c r="AG37" s="1" t="s">
        <v>931</v>
      </c>
    </row>
    <row r="38" spans="1:33" ht="12" customHeight="1">
      <c r="A38" s="44" t="s">
        <v>349</v>
      </c>
      <c r="B38" s="21"/>
      <c r="C38" s="5"/>
      <c r="D38" s="5"/>
      <c r="E38" s="5"/>
      <c r="F38" s="5"/>
      <c r="G38" s="5"/>
      <c r="H38" s="5"/>
      <c r="I38" s="5"/>
      <c r="J38" s="695"/>
      <c r="K38" s="37"/>
      <c r="L38" s="5"/>
      <c r="M38" s="25"/>
      <c r="N38" s="156"/>
      <c r="O38" s="5"/>
      <c r="P38" s="5"/>
      <c r="Q38" s="5"/>
      <c r="R38" s="25"/>
      <c r="S38" s="43"/>
      <c r="T38" s="37"/>
      <c r="U38" s="37"/>
      <c r="V38" s="990"/>
      <c r="W38" s="1101"/>
      <c r="X38" s="642"/>
      <c r="Y38" s="661"/>
      <c r="Z38" s="642"/>
      <c r="AA38" s="1089"/>
      <c r="AF38" s="1" t="s">
        <v>931</v>
      </c>
      <c r="AG38" s="1" t="s">
        <v>931</v>
      </c>
    </row>
    <row r="39" spans="1:33" ht="12" customHeight="1">
      <c r="A39" s="45" t="s">
        <v>350</v>
      </c>
      <c r="B39" s="21"/>
      <c r="C39" s="148">
        <f t="shared" ref="C39:J39" si="17">SUM(C36:C38)</f>
        <v>9162</v>
      </c>
      <c r="D39" s="148">
        <f t="shared" si="17"/>
        <v>7860</v>
      </c>
      <c r="E39" s="148">
        <f t="shared" si="17"/>
        <v>6558</v>
      </c>
      <c r="F39" s="148">
        <f t="shared" si="17"/>
        <v>5256</v>
      </c>
      <c r="G39" s="148">
        <f t="shared" si="17"/>
        <v>3954</v>
      </c>
      <c r="H39" s="148">
        <f t="shared" si="17"/>
        <v>2652</v>
      </c>
      <c r="I39" s="148">
        <f t="shared" si="17"/>
        <v>1350</v>
      </c>
      <c r="J39" s="707">
        <f t="shared" si="17"/>
        <v>450</v>
      </c>
      <c r="K39" s="147">
        <f>SUM(K36:K38)</f>
        <v>1065</v>
      </c>
      <c r="L39" s="148">
        <f>SUM(L36:L38)</f>
        <v>935</v>
      </c>
      <c r="M39" s="149">
        <f>SUM(M36:M38)</f>
        <v>783</v>
      </c>
      <c r="N39" s="1173">
        <f>SUM(N36:N38)</f>
        <v>637</v>
      </c>
      <c r="O39" s="148">
        <f>SUM(O36:O38)</f>
        <v>505</v>
      </c>
      <c r="P39" s="148">
        <f t="shared" ref="P39:R39" si="18">SUM(P36:P38)</f>
        <v>393.5</v>
      </c>
      <c r="Q39" s="148">
        <f t="shared" si="18"/>
        <v>292.5</v>
      </c>
      <c r="R39" s="149">
        <f t="shared" si="18"/>
        <v>195.33</v>
      </c>
      <c r="S39" s="43"/>
      <c r="T39" s="147">
        <f>SUM(T36:T38)</f>
        <v>1065</v>
      </c>
      <c r="U39" s="147">
        <f>SUM(U36:U38)</f>
        <v>935</v>
      </c>
      <c r="V39" s="147">
        <f>SUM(V36:V38)</f>
        <v>783</v>
      </c>
      <c r="W39" s="147"/>
      <c r="X39" s="148"/>
      <c r="Y39" s="148"/>
      <c r="Z39" s="148"/>
      <c r="AA39" s="149"/>
      <c r="AF39" s="1" t="s">
        <v>931</v>
      </c>
      <c r="AG39" s="1" t="s">
        <v>931</v>
      </c>
    </row>
    <row r="40" spans="1:33" ht="12" customHeight="1">
      <c r="A40" s="15" t="s">
        <v>351</v>
      </c>
      <c r="B40" s="15"/>
      <c r="C40" s="15"/>
      <c r="D40" s="15"/>
      <c r="E40" s="15"/>
      <c r="F40" s="15"/>
      <c r="G40" s="15"/>
      <c r="H40" s="15"/>
      <c r="I40" s="15"/>
      <c r="J40" s="685"/>
      <c r="K40" s="17"/>
      <c r="L40" s="17"/>
      <c r="M40" s="17"/>
      <c r="N40" s="17"/>
      <c r="O40" s="17"/>
      <c r="P40" s="17"/>
      <c r="Q40" s="17"/>
      <c r="R40" s="17"/>
      <c r="S40" s="51"/>
      <c r="T40" s="51"/>
      <c r="U40" s="51"/>
      <c r="V40" s="51"/>
      <c r="W40" s="16"/>
      <c r="X40" s="16"/>
      <c r="Y40" s="16"/>
      <c r="Z40" s="16"/>
      <c r="AA40" s="16"/>
    </row>
    <row r="41" spans="1:33" ht="12" customHeight="1">
      <c r="A41" s="52" t="s">
        <v>352</v>
      </c>
      <c r="B41" s="21"/>
      <c r="C41" s="121">
        <f t="shared" ref="C41:O41" si="19">C16/C39</f>
        <v>4.6605544640908096E-2</v>
      </c>
      <c r="D41" s="121">
        <f t="shared" si="19"/>
        <v>4.6437659033078879E-2</v>
      </c>
      <c r="E41" s="121">
        <f t="shared" si="19"/>
        <v>4.6355596218359253E-2</v>
      </c>
      <c r="F41" s="121">
        <f t="shared" si="19"/>
        <v>4.6423135464231352E-2</v>
      </c>
      <c r="G41" s="121">
        <f t="shared" si="19"/>
        <v>4.6399999999999997E-2</v>
      </c>
      <c r="H41" s="121">
        <f t="shared" si="19"/>
        <v>4.6380090497737558E-2</v>
      </c>
      <c r="I41" s="121">
        <f t="shared" si="19"/>
        <v>4.6667851851851856E-2</v>
      </c>
      <c r="J41" s="795">
        <f t="shared" si="19"/>
        <v>4.6666666666666669E-2</v>
      </c>
      <c r="K41" s="853">
        <f t="shared" si="19"/>
        <v>4.6312863849765261E-2</v>
      </c>
      <c r="L41" s="121">
        <f t="shared" si="19"/>
        <v>4.570524064171122E-2</v>
      </c>
      <c r="M41" s="854">
        <f t="shared" si="19"/>
        <v>4.6162962962962954E-2</v>
      </c>
      <c r="N41" s="853">
        <f t="shared" si="19"/>
        <v>4.6399999999999997E-2</v>
      </c>
      <c r="O41" s="121">
        <f t="shared" si="19"/>
        <v>4.6399999999999997E-2</v>
      </c>
      <c r="P41" s="121">
        <f t="shared" ref="P41:R41" si="20">P16/P39</f>
        <v>4.6399999999999997E-2</v>
      </c>
      <c r="Q41" s="121">
        <f t="shared" si="20"/>
        <v>4.6399999999999997E-2</v>
      </c>
      <c r="R41" s="854">
        <f t="shared" si="20"/>
        <v>4.6399999999999997E-2</v>
      </c>
      <c r="S41" s="53"/>
      <c r="T41" s="858">
        <f t="shared" ref="T41" si="21">T16/T39</f>
        <v>4.6009389671361506E-2</v>
      </c>
      <c r="U41" s="858">
        <f>U16/U39</f>
        <v>4.5989304812834225E-2</v>
      </c>
      <c r="V41" s="858">
        <f>V16/V39</f>
        <v>4.5977011494252873E-2</v>
      </c>
      <c r="W41" s="1103"/>
      <c r="X41" s="652"/>
      <c r="Y41" s="54"/>
      <c r="Z41" s="652"/>
      <c r="AA41" s="1090"/>
      <c r="AF41" s="1" t="s">
        <v>931</v>
      </c>
      <c r="AG41" s="1" t="s">
        <v>931</v>
      </c>
    </row>
    <row r="42" spans="1:33" ht="12" customHeight="1">
      <c r="A42" s="56" t="s">
        <v>353</v>
      </c>
      <c r="B42" s="21"/>
      <c r="C42" s="117">
        <v>4.8000000000000001E-2</v>
      </c>
      <c r="D42" s="117">
        <v>4.8000000000000001E-2</v>
      </c>
      <c r="E42" s="117">
        <v>4.8000000000000001E-2</v>
      </c>
      <c r="F42" s="117">
        <v>4.8000000000000001E-2</v>
      </c>
      <c r="G42" s="117">
        <v>4.8000000000000001E-2</v>
      </c>
      <c r="H42" s="117">
        <v>4.8000000000000001E-2</v>
      </c>
      <c r="I42" s="117">
        <v>4.8000000000000001E-2</v>
      </c>
      <c r="J42" s="1082">
        <v>4.8000000000000001E-2</v>
      </c>
      <c r="K42" s="118">
        <v>4.8000000000000001E-2</v>
      </c>
      <c r="L42" s="117">
        <v>4.8000000000000001E-2</v>
      </c>
      <c r="M42" s="999">
        <v>4.8000000000000001E-2</v>
      </c>
      <c r="N42" s="118">
        <v>4.8000000000000001E-2</v>
      </c>
      <c r="O42" s="117">
        <v>4.8000000000000001E-2</v>
      </c>
      <c r="P42" s="117">
        <v>4.8000000000000001E-2</v>
      </c>
      <c r="Q42" s="117">
        <v>4.8000000000000001E-2</v>
      </c>
      <c r="R42" s="999">
        <v>4.8000000000000001E-2</v>
      </c>
      <c r="S42" s="53"/>
      <c r="T42" s="997">
        <f>K42</f>
        <v>4.8000000000000001E-2</v>
      </c>
      <c r="U42" s="997">
        <f>L42</f>
        <v>4.8000000000000001E-2</v>
      </c>
      <c r="V42" s="1145">
        <f>M42</f>
        <v>4.8000000000000001E-2</v>
      </c>
      <c r="W42" s="1104"/>
      <c r="X42" s="654"/>
      <c r="Y42" s="57"/>
      <c r="Z42" s="654"/>
      <c r="AA42" s="1091"/>
      <c r="AF42" s="1" t="s">
        <v>931</v>
      </c>
      <c r="AG42" s="1" t="s">
        <v>931</v>
      </c>
    </row>
    <row r="43" spans="1:33" ht="12" customHeight="1">
      <c r="A43" s="56" t="s">
        <v>354</v>
      </c>
      <c r="B43" s="21"/>
      <c r="C43" s="117">
        <v>4.2999999999999997E-2</v>
      </c>
      <c r="D43" s="117">
        <v>4.2999999999999997E-2</v>
      </c>
      <c r="E43" s="117">
        <v>4.2999999999999997E-2</v>
      </c>
      <c r="F43" s="117">
        <v>4.2999999999999997E-2</v>
      </c>
      <c r="G43" s="117">
        <v>4.2999999999999997E-2</v>
      </c>
      <c r="H43" s="117">
        <v>4.2999999999999997E-2</v>
      </c>
      <c r="I43" s="117">
        <v>4.2999999999999997E-2</v>
      </c>
      <c r="J43" s="1082">
        <v>4.2999999999999997E-2</v>
      </c>
      <c r="K43" s="118">
        <v>4.2999999999999997E-2</v>
      </c>
      <c r="L43" s="117">
        <v>4.2999999999999997E-2</v>
      </c>
      <c r="M43" s="999">
        <v>4.2999999999999997E-2</v>
      </c>
      <c r="N43" s="118">
        <v>4.2999999999999997E-2</v>
      </c>
      <c r="O43" s="117">
        <v>4.2999999999999997E-2</v>
      </c>
      <c r="P43" s="117">
        <v>4.2999999999999997E-2</v>
      </c>
      <c r="Q43" s="117">
        <v>4.2999999999999997E-2</v>
      </c>
      <c r="R43" s="999">
        <v>4.2999999999999997E-2</v>
      </c>
      <c r="S43" s="53"/>
      <c r="T43" s="118">
        <v>4.2999999999999997E-2</v>
      </c>
      <c r="U43" s="118">
        <v>4.2999999999999997E-2</v>
      </c>
      <c r="V43" s="992">
        <v>4.2999999999999997E-2</v>
      </c>
      <c r="W43" s="1104"/>
      <c r="X43" s="654"/>
      <c r="Y43" s="57"/>
      <c r="Z43" s="654"/>
      <c r="AA43" s="1091"/>
      <c r="AF43" s="1" t="s">
        <v>931</v>
      </c>
      <c r="AG43" s="1" t="s">
        <v>931</v>
      </c>
    </row>
    <row r="44" spans="1:33" ht="12" customHeight="1">
      <c r="A44" s="137" t="s">
        <v>355</v>
      </c>
      <c r="B44" s="21"/>
      <c r="C44" s="119">
        <v>0.72</v>
      </c>
      <c r="D44" s="119">
        <v>0.69</v>
      </c>
      <c r="E44" s="119">
        <v>0.67</v>
      </c>
      <c r="F44" s="119">
        <v>0.68</v>
      </c>
      <c r="G44" s="119">
        <v>0.68</v>
      </c>
      <c r="H44" s="119">
        <v>0.68</v>
      </c>
      <c r="I44" s="119">
        <v>0.73</v>
      </c>
      <c r="J44" s="1083">
        <v>0.54</v>
      </c>
      <c r="K44" s="120">
        <v>0.66</v>
      </c>
      <c r="L44" s="119">
        <v>0.54</v>
      </c>
      <c r="M44" s="1000">
        <v>0.63</v>
      </c>
      <c r="N44" s="120">
        <v>0.47</v>
      </c>
      <c r="O44" s="119">
        <v>0.77</v>
      </c>
      <c r="P44" s="119">
        <v>0.77</v>
      </c>
      <c r="Q44" s="119">
        <v>0.77</v>
      </c>
      <c r="R44" s="1000">
        <v>0.77</v>
      </c>
      <c r="S44" s="59"/>
      <c r="T44" s="120">
        <v>0.66</v>
      </c>
      <c r="U44" s="120">
        <v>0.66</v>
      </c>
      <c r="V44" s="993">
        <v>0.66</v>
      </c>
      <c r="W44" s="103"/>
      <c r="X44" s="656"/>
      <c r="Y44" s="61"/>
      <c r="Z44" s="656"/>
      <c r="AA44" s="136"/>
      <c r="AF44" s="1" t="s">
        <v>931</v>
      </c>
      <c r="AG44" s="1" t="s">
        <v>931</v>
      </c>
    </row>
    <row r="45" spans="1:33" ht="5.7" customHeight="1">
      <c r="A45" s="17"/>
      <c r="K45" s="144"/>
      <c r="L45" s="144"/>
      <c r="M45" s="144"/>
      <c r="N45" s="144"/>
      <c r="O45" s="144"/>
      <c r="P45" s="144"/>
      <c r="Q45" s="144"/>
      <c r="R45" s="144"/>
      <c r="S45" s="59"/>
      <c r="T45" s="144"/>
      <c r="U45" s="144"/>
      <c r="V45" s="144"/>
      <c r="W45" s="145"/>
      <c r="X45" s="145"/>
      <c r="Y45" s="145"/>
      <c r="Z45" s="145"/>
      <c r="AA45" s="145"/>
    </row>
    <row r="46" spans="1:33" s="604" customFormat="1" ht="12" customHeight="1">
      <c r="A46" s="71" t="s">
        <v>356</v>
      </c>
      <c r="B46" s="2"/>
      <c r="C46" s="2"/>
      <c r="D46" s="2"/>
      <c r="E46" s="2"/>
      <c r="F46" s="2"/>
      <c r="G46" s="2"/>
      <c r="H46" s="2"/>
      <c r="I46" s="2"/>
      <c r="J46" s="638"/>
      <c r="K46" s="27"/>
      <c r="L46" s="27"/>
      <c r="M46" s="27"/>
      <c r="N46" s="27"/>
      <c r="O46" s="27"/>
      <c r="P46" s="27"/>
      <c r="Q46" s="27"/>
      <c r="R46" s="27"/>
      <c r="S46" s="27"/>
      <c r="T46" s="27"/>
      <c r="U46" s="27"/>
      <c r="V46" s="27"/>
      <c r="W46" s="603"/>
      <c r="X46" s="603"/>
      <c r="Y46" s="603"/>
      <c r="Z46" s="603"/>
      <c r="AA46" s="603"/>
    </row>
    <row r="47" spans="1:33" s="604" customFormat="1" ht="12" customHeight="1">
      <c r="A47" s="126" t="s">
        <v>357</v>
      </c>
      <c r="B47" s="123"/>
      <c r="C47" s="128"/>
      <c r="D47" s="128"/>
      <c r="E47" s="128"/>
      <c r="F47" s="128"/>
      <c r="G47" s="128"/>
      <c r="H47" s="128"/>
      <c r="I47" s="128"/>
      <c r="J47" s="1343"/>
      <c r="K47" s="127"/>
      <c r="L47" s="128"/>
      <c r="M47" s="1002"/>
      <c r="N47" s="1001"/>
      <c r="O47" s="128"/>
      <c r="P47" s="128"/>
      <c r="Q47" s="128"/>
      <c r="R47" s="1002"/>
      <c r="S47" s="218"/>
      <c r="T47" s="1001"/>
      <c r="U47" s="1001"/>
      <c r="V47" s="1146"/>
      <c r="W47" s="1001"/>
      <c r="X47" s="128"/>
      <c r="Y47" s="128"/>
      <c r="Z47" s="128"/>
      <c r="AA47" s="1002"/>
      <c r="AF47" s="1" t="s">
        <v>931</v>
      </c>
      <c r="AG47" s="1" t="s">
        <v>931</v>
      </c>
    </row>
    <row r="48" spans="1:33" ht="5.7" customHeight="1">
      <c r="A48" s="17"/>
      <c r="K48" s="144"/>
      <c r="L48" s="144"/>
      <c r="M48" s="144"/>
      <c r="N48" s="144"/>
      <c r="O48" s="144"/>
      <c r="P48" s="144"/>
      <c r="Q48" s="144"/>
      <c r="R48" s="144"/>
      <c r="S48" s="59"/>
      <c r="T48" s="144"/>
      <c r="U48" s="144"/>
      <c r="V48" s="144"/>
      <c r="W48" s="145"/>
      <c r="X48" s="145"/>
      <c r="Y48" s="145"/>
      <c r="Z48" s="145"/>
      <c r="AA48" s="145"/>
    </row>
    <row r="49" spans="1:34" s="613" customFormat="1" ht="12" customHeight="1">
      <c r="A49" s="71" t="s">
        <v>358</v>
      </c>
      <c r="B49" s="2"/>
      <c r="C49" s="2"/>
      <c r="D49" s="2"/>
      <c r="E49" s="2"/>
      <c r="F49" s="2"/>
      <c r="G49" s="2"/>
      <c r="H49" s="2"/>
      <c r="I49" s="2"/>
      <c r="J49" s="638"/>
      <c r="K49" s="27"/>
      <c r="L49" s="27"/>
      <c r="M49" s="27"/>
      <c r="N49" s="27"/>
      <c r="O49" s="27"/>
      <c r="P49" s="27"/>
      <c r="Q49" s="27"/>
      <c r="R49" s="27"/>
      <c r="S49" s="27"/>
      <c r="T49" s="27"/>
      <c r="U49" s="27"/>
      <c r="V49" s="27"/>
      <c r="W49" s="603"/>
      <c r="X49" s="603"/>
      <c r="Y49" s="603"/>
      <c r="Z49" s="603"/>
      <c r="AA49" s="603"/>
    </row>
    <row r="50" spans="1:34" ht="12" customHeight="1">
      <c r="A50" s="42" t="s">
        <v>359</v>
      </c>
      <c r="B50" s="21"/>
      <c r="C50" s="659"/>
      <c r="D50" s="659"/>
      <c r="E50" s="659"/>
      <c r="F50" s="659"/>
      <c r="G50" s="659"/>
      <c r="H50" s="659"/>
      <c r="I50" s="659"/>
      <c r="J50" s="723"/>
      <c r="K50" s="67">
        <v>0</v>
      </c>
      <c r="L50" s="22">
        <v>0</v>
      </c>
      <c r="M50" s="23">
        <v>0</v>
      </c>
      <c r="N50" s="67">
        <v>0</v>
      </c>
      <c r="O50" s="22">
        <v>0</v>
      </c>
      <c r="P50" s="22">
        <v>0</v>
      </c>
      <c r="Q50" s="22">
        <v>0</v>
      </c>
      <c r="R50" s="23">
        <v>0</v>
      </c>
      <c r="S50" s="43"/>
      <c r="T50" s="67">
        <v>0</v>
      </c>
      <c r="U50" s="67">
        <v>0</v>
      </c>
      <c r="V50" s="991">
        <v>0</v>
      </c>
      <c r="W50" s="1102"/>
      <c r="X50" s="22"/>
      <c r="Y50" s="22"/>
      <c r="Z50" s="22"/>
      <c r="AA50" s="23"/>
      <c r="AF50" s="1" t="s">
        <v>931</v>
      </c>
      <c r="AG50" s="1" t="s">
        <v>931</v>
      </c>
    </row>
    <row r="51" spans="1:34" ht="12" customHeight="1">
      <c r="A51" s="44" t="s">
        <v>360</v>
      </c>
      <c r="B51" s="21"/>
      <c r="C51" s="660"/>
      <c r="D51" s="660"/>
      <c r="E51" s="660"/>
      <c r="F51" s="660"/>
      <c r="G51" s="660"/>
      <c r="H51" s="660"/>
      <c r="I51" s="660"/>
      <c r="J51" s="724"/>
      <c r="K51" s="37">
        <v>0</v>
      </c>
      <c r="L51" s="5">
        <v>0</v>
      </c>
      <c r="M51" s="25">
        <v>0</v>
      </c>
      <c r="N51" s="37">
        <v>0</v>
      </c>
      <c r="O51" s="5">
        <v>0</v>
      </c>
      <c r="P51" s="5">
        <v>0</v>
      </c>
      <c r="Q51" s="5">
        <v>0</v>
      </c>
      <c r="R51" s="25">
        <v>0</v>
      </c>
      <c r="S51" s="43"/>
      <c r="T51" s="37">
        <v>0</v>
      </c>
      <c r="U51" s="37">
        <v>0</v>
      </c>
      <c r="V51" s="990">
        <v>0</v>
      </c>
      <c r="W51" s="1101"/>
      <c r="X51" s="5"/>
      <c r="Y51" s="35"/>
      <c r="Z51" s="5"/>
      <c r="AA51" s="580"/>
      <c r="AF51" s="1" t="s">
        <v>931</v>
      </c>
      <c r="AG51" s="1" t="s">
        <v>931</v>
      </c>
    </row>
    <row r="52" spans="1:34" ht="12" customHeight="1">
      <c r="A52" s="137" t="s">
        <v>361</v>
      </c>
      <c r="B52" s="21"/>
      <c r="C52" s="598"/>
      <c r="D52" s="598"/>
      <c r="E52" s="598"/>
      <c r="F52" s="598"/>
      <c r="G52" s="598"/>
      <c r="H52" s="598"/>
      <c r="I52" s="598"/>
      <c r="J52" s="725"/>
      <c r="K52" s="46">
        <v>0</v>
      </c>
      <c r="L52" s="47">
        <v>0</v>
      </c>
      <c r="M52" s="48">
        <v>0</v>
      </c>
      <c r="N52" s="46">
        <v>0</v>
      </c>
      <c r="O52" s="47">
        <v>0</v>
      </c>
      <c r="P52" s="47">
        <v>0</v>
      </c>
      <c r="Q52" s="47">
        <v>0</v>
      </c>
      <c r="R52" s="48">
        <v>0</v>
      </c>
      <c r="S52" s="59"/>
      <c r="T52" s="46">
        <v>0</v>
      </c>
      <c r="U52" s="46">
        <v>0</v>
      </c>
      <c r="V52" s="994">
        <v>0</v>
      </c>
      <c r="W52" s="103"/>
      <c r="X52" s="119"/>
      <c r="Y52" s="60"/>
      <c r="Z52" s="119"/>
      <c r="AA52" s="1092"/>
      <c r="AF52" s="1" t="s">
        <v>931</v>
      </c>
      <c r="AG52" s="1" t="s">
        <v>931</v>
      </c>
    </row>
    <row r="53" spans="1:34" ht="5.7" customHeight="1">
      <c r="A53" s="17"/>
      <c r="K53" s="144"/>
      <c r="L53" s="144"/>
      <c r="M53" s="144"/>
      <c r="N53" s="144"/>
      <c r="O53" s="144"/>
      <c r="P53" s="144"/>
      <c r="Q53" s="144"/>
      <c r="R53" s="144"/>
      <c r="S53" s="59"/>
      <c r="T53" s="144"/>
      <c r="U53" s="144"/>
      <c r="V53" s="144"/>
      <c r="W53" s="145"/>
      <c r="X53" s="145"/>
      <c r="Y53" s="145"/>
      <c r="Z53" s="145"/>
      <c r="AA53" s="145"/>
      <c r="AF53" s="1" t="s">
        <v>931</v>
      </c>
      <c r="AG53" s="1" t="s">
        <v>931</v>
      </c>
    </row>
    <row r="54" spans="1:34" s="613" customFormat="1" ht="12" customHeight="1">
      <c r="A54" s="71" t="s">
        <v>362</v>
      </c>
      <c r="B54" s="2"/>
      <c r="C54" s="2"/>
      <c r="D54" s="2"/>
      <c r="E54" s="2"/>
      <c r="F54" s="2"/>
      <c r="G54" s="2"/>
      <c r="H54" s="2"/>
      <c r="I54" s="2"/>
      <c r="J54" s="638"/>
      <c r="K54" s="27"/>
      <c r="L54" s="27"/>
      <c r="M54" s="27"/>
      <c r="N54" s="27"/>
      <c r="O54" s="27"/>
      <c r="P54" s="27"/>
      <c r="Q54" s="27"/>
      <c r="R54" s="27"/>
      <c r="S54" s="27"/>
      <c r="T54" s="27"/>
      <c r="U54" s="27"/>
      <c r="V54" s="27"/>
      <c r="W54" s="603"/>
      <c r="X54" s="603"/>
      <c r="Y54" s="603"/>
      <c r="Z54" s="603"/>
      <c r="AA54" s="603"/>
    </row>
    <row r="55" spans="1:34" s="613" customFormat="1" ht="12" customHeight="1" thickBot="1">
      <c r="A55" s="122" t="s">
        <v>363</v>
      </c>
      <c r="B55" s="123"/>
      <c r="C55" s="125">
        <v>53481.307000000001</v>
      </c>
      <c r="D55" s="125">
        <v>55411.639000000003</v>
      </c>
      <c r="E55" s="125">
        <v>56546</v>
      </c>
      <c r="F55" s="125">
        <v>58338</v>
      </c>
      <c r="G55" s="125">
        <v>58852</v>
      </c>
      <c r="H55" s="125">
        <v>60816</v>
      </c>
      <c r="I55" s="125">
        <v>58204.770519999998</v>
      </c>
      <c r="J55" s="1120">
        <v>56478.439639999997</v>
      </c>
      <c r="K55" s="67">
        <v>58574.82</v>
      </c>
      <c r="L55" s="22">
        <v>57777.082999999999</v>
      </c>
      <c r="M55" s="1079">
        <v>56893.942999999999</v>
      </c>
      <c r="N55" s="1456">
        <v>59571.756999999998</v>
      </c>
      <c r="O55" s="1457">
        <v>59672.372000000003</v>
      </c>
      <c r="P55" s="1457">
        <v>61730.031999999999</v>
      </c>
      <c r="Q55" s="1457">
        <v>63619.1</v>
      </c>
      <c r="R55" s="1458">
        <v>64647.648999999998</v>
      </c>
      <c r="S55" s="218"/>
      <c r="T55" s="1422">
        <v>52518.418129999998</v>
      </c>
      <c r="U55" s="1422">
        <v>50244.695</v>
      </c>
      <c r="V55" s="1524">
        <v>60050.76</v>
      </c>
      <c r="W55" s="1171"/>
      <c r="X55" s="618"/>
      <c r="Y55" s="618"/>
      <c r="Z55" s="618"/>
      <c r="AA55" s="619"/>
      <c r="AE55" s="1013"/>
    </row>
    <row r="56" spans="1:34" ht="12" customHeight="1" thickBot="1">
      <c r="A56" s="44" t="s">
        <v>364</v>
      </c>
      <c r="B56" s="21"/>
      <c r="C56" s="778">
        <v>0.81123500000000004</v>
      </c>
      <c r="D56" s="778">
        <v>0.84902</v>
      </c>
      <c r="E56" s="778">
        <v>0.80620800000000004</v>
      </c>
      <c r="F56" s="778">
        <v>0.72619999999999996</v>
      </c>
      <c r="G56" s="778">
        <v>0.81895899999999999</v>
      </c>
      <c r="H56" s="778">
        <v>0.875911</v>
      </c>
      <c r="I56" s="778">
        <v>0.88464399999999999</v>
      </c>
      <c r="J56" s="1121">
        <v>0.87695500000000004</v>
      </c>
      <c r="K56" s="1423">
        <v>0.86206400000000005</v>
      </c>
      <c r="L56" s="778">
        <v>0.86206400000000005</v>
      </c>
      <c r="M56" s="1424">
        <v>0.86206400000000005</v>
      </c>
      <c r="N56" s="1459">
        <v>0.87436800000000003</v>
      </c>
      <c r="O56" s="1460">
        <v>0.87436800000000003</v>
      </c>
      <c r="P56" s="1460">
        <v>0.87436800000000003</v>
      </c>
      <c r="Q56" s="1460">
        <v>0.87436800000000003</v>
      </c>
      <c r="R56" s="1461">
        <v>0.87436800000000003</v>
      </c>
      <c r="S56" s="26"/>
      <c r="T56" s="1425">
        <v>0.88896299999999995</v>
      </c>
      <c r="U56" s="1425">
        <v>0.85975800000000002</v>
      </c>
      <c r="V56" s="1464">
        <v>0.85233999999999999</v>
      </c>
      <c r="W56" s="1101"/>
      <c r="X56" s="35"/>
      <c r="Y56" s="35"/>
      <c r="Z56" s="35"/>
      <c r="AA56" s="580"/>
      <c r="AE56" s="1491"/>
      <c r="AF56" s="1014" t="s">
        <v>389</v>
      </c>
      <c r="AG56" s="1014" t="s">
        <v>390</v>
      </c>
    </row>
    <row r="57" spans="1:34" ht="12" customHeight="1" thickBot="1">
      <c r="A57" s="137" t="s">
        <v>365</v>
      </c>
      <c r="B57" s="21"/>
      <c r="C57" s="49">
        <f>IF(C56=0,C55,C55*C56)</f>
        <v>43385.908084145005</v>
      </c>
      <c r="D57" s="49">
        <f t="shared" ref="D57:O57" si="22">IF(D56=0,D55,D55*D56)</f>
        <v>47045.589743780001</v>
      </c>
      <c r="E57" s="49">
        <f t="shared" si="22"/>
        <v>45587.837568000003</v>
      </c>
      <c r="F57" s="49">
        <f t="shared" si="22"/>
        <v>42365.0556</v>
      </c>
      <c r="G57" s="49">
        <f t="shared" si="22"/>
        <v>48197.375068000001</v>
      </c>
      <c r="H57" s="49">
        <f t="shared" si="22"/>
        <v>53269.403376000002</v>
      </c>
      <c r="I57" s="49">
        <f t="shared" si="22"/>
        <v>51490.501011894878</v>
      </c>
      <c r="J57" s="744">
        <f t="shared" si="22"/>
        <v>49529.050034496198</v>
      </c>
      <c r="K57" s="46">
        <f t="shared" si="22"/>
        <v>50495.243628480006</v>
      </c>
      <c r="L57" s="47">
        <f t="shared" si="22"/>
        <v>49807.543279312005</v>
      </c>
      <c r="M57" s="1426">
        <f t="shared" si="22"/>
        <v>49046.220078352002</v>
      </c>
      <c r="N57" s="46">
        <f t="shared" si="22"/>
        <v>52087.638024576001</v>
      </c>
      <c r="O57" s="47">
        <f t="shared" si="22"/>
        <v>52175.612560896006</v>
      </c>
      <c r="P57" s="47">
        <f t="shared" ref="P57:R57" si="23">IF(P56=0,P55,P55*P56)</f>
        <v>53974.764619776004</v>
      </c>
      <c r="Q57" s="47">
        <f>IF(Q56=0,Q55,Q55*Q56)</f>
        <v>55626.505228800001</v>
      </c>
      <c r="R57" s="48">
        <f t="shared" si="23"/>
        <v>56525.835560831998</v>
      </c>
      <c r="S57" s="27"/>
      <c r="T57" s="1427">
        <f t="shared" ref="T57:U57" si="24">IF(T56=0,T55,T55*T56)</f>
        <v>46686.930536099186</v>
      </c>
      <c r="U57" s="1427">
        <f t="shared" si="24"/>
        <v>43198.278483809998</v>
      </c>
      <c r="V57" s="1427">
        <f t="shared" ref="V57" si="25">IF(V56=0,V55,V55*V56)</f>
        <v>51183.664778400002</v>
      </c>
      <c r="W57" s="103"/>
      <c r="X57" s="1172"/>
      <c r="Y57" s="61"/>
      <c r="Z57" s="1172"/>
      <c r="AA57" s="136"/>
      <c r="AE57" s="1557" t="s">
        <v>391</v>
      </c>
      <c r="AF57" s="1558"/>
      <c r="AG57" s="1012">
        <v>45629.702012000002</v>
      </c>
      <c r="AH57" s="1" t="s">
        <v>392</v>
      </c>
    </row>
    <row r="58" spans="1:34" ht="12" customHeight="1" thickBot="1">
      <c r="A58" s="138"/>
      <c r="B58" s="139"/>
      <c r="C58" s="139"/>
      <c r="D58" s="139"/>
      <c r="E58" s="139"/>
      <c r="F58" s="139"/>
      <c r="G58" s="139"/>
      <c r="H58" s="139"/>
      <c r="I58" s="139"/>
      <c r="J58" s="729"/>
      <c r="K58" s="140"/>
      <c r="L58" s="140"/>
      <c r="M58" s="140"/>
      <c r="N58" s="140"/>
      <c r="O58" s="140"/>
      <c r="P58" s="140"/>
      <c r="Q58" s="140"/>
      <c r="R58" s="140"/>
      <c r="S58" s="1451"/>
      <c r="T58" s="140"/>
      <c r="U58" s="140"/>
      <c r="V58" s="140"/>
      <c r="W58" s="624"/>
      <c r="X58" s="624"/>
      <c r="Y58" s="624"/>
      <c r="Z58" s="624"/>
      <c r="AA58" s="624"/>
      <c r="AE58" s="1557" t="s">
        <v>393</v>
      </c>
      <c r="AF58" s="1558"/>
      <c r="AG58" s="1015">
        <v>0.115097</v>
      </c>
      <c r="AH58" s="1" t="s">
        <v>392</v>
      </c>
    </row>
    <row r="59" spans="1:34" ht="15.6" customHeight="1" thickBot="1">
      <c r="A59" s="15" t="s">
        <v>366</v>
      </c>
      <c r="B59" s="15"/>
      <c r="C59" s="15"/>
      <c r="D59" s="15"/>
      <c r="E59" s="15"/>
      <c r="F59" s="15"/>
      <c r="G59" s="15"/>
      <c r="H59" s="15"/>
      <c r="I59" s="15"/>
      <c r="J59" s="685"/>
      <c r="K59" s="17"/>
      <c r="L59" s="17"/>
      <c r="M59" s="17"/>
      <c r="N59" s="17"/>
      <c r="O59" s="18"/>
      <c r="P59" s="18"/>
      <c r="Q59" s="18"/>
      <c r="R59" s="18"/>
      <c r="S59" s="18"/>
      <c r="T59" s="17"/>
      <c r="U59" s="17"/>
      <c r="V59" s="17"/>
      <c r="W59" s="19"/>
      <c r="X59" s="19"/>
      <c r="Y59" s="19"/>
      <c r="Z59" s="19"/>
      <c r="AA59" s="19"/>
      <c r="AE59" s="1492" t="s">
        <v>394</v>
      </c>
      <c r="AF59" s="1493">
        <v>58574.82</v>
      </c>
      <c r="AG59" s="1493">
        <v>52518.418129999998</v>
      </c>
      <c r="AH59" s="1" t="s">
        <v>392</v>
      </c>
    </row>
    <row r="60" spans="1:34" ht="12" customHeight="1" thickBot="1">
      <c r="A60" s="66" t="s">
        <v>367</v>
      </c>
      <c r="B60" s="21"/>
      <c r="C60" s="67"/>
      <c r="D60" s="22"/>
      <c r="E60" s="22"/>
      <c r="F60" s="22"/>
      <c r="G60" s="22"/>
      <c r="H60" s="22"/>
      <c r="I60" s="647"/>
      <c r="J60" s="718"/>
      <c r="K60" s="67"/>
      <c r="L60" s="22"/>
      <c r="M60" s="22"/>
      <c r="N60" s="22"/>
      <c r="O60" s="22"/>
      <c r="P60" s="22"/>
      <c r="Q60" s="22"/>
      <c r="R60" s="23"/>
      <c r="S60" s="26"/>
      <c r="T60" s="67"/>
      <c r="U60" s="22"/>
      <c r="V60" s="22"/>
      <c r="W60" s="33"/>
      <c r="X60" s="22"/>
      <c r="Y60" s="33"/>
      <c r="Z60" s="22"/>
      <c r="AA60" s="1095"/>
      <c r="AE60" s="1492" t="s">
        <v>395</v>
      </c>
      <c r="AF60" s="1016">
        <v>0.86206400000000005</v>
      </c>
      <c r="AG60" s="1494">
        <v>0.88896299999999995</v>
      </c>
      <c r="AH60" s="1" t="s">
        <v>396</v>
      </c>
    </row>
    <row r="61" spans="1:34" s="143" customFormat="1" ht="12" customHeight="1" thickBot="1">
      <c r="A61" s="146" t="s">
        <v>368</v>
      </c>
      <c r="B61" s="7"/>
      <c r="C61" s="147">
        <f>C18-C60</f>
        <v>56918</v>
      </c>
      <c r="D61" s="148">
        <f t="shared" ref="D61:J61" si="26">D18-D60</f>
        <v>60137</v>
      </c>
      <c r="E61" s="148">
        <f t="shared" si="26"/>
        <v>58351.838000000003</v>
      </c>
      <c r="F61" s="148">
        <f t="shared" si="26"/>
        <v>55858.412164200003</v>
      </c>
      <c r="G61" s="148">
        <f t="shared" si="26"/>
        <v>61348.079812217606</v>
      </c>
      <c r="H61" s="148">
        <f t="shared" si="26"/>
        <v>66282.816455627602</v>
      </c>
      <c r="I61" s="148">
        <f t="shared" si="26"/>
        <v>64282.502611894881</v>
      </c>
      <c r="J61" s="707">
        <f t="shared" si="26"/>
        <v>62707.050029999999</v>
      </c>
      <c r="K61" s="147">
        <f>K18-K60</f>
        <v>69525.56682847999</v>
      </c>
      <c r="L61" s="148">
        <f>L18-L60</f>
        <v>70562.277679311999</v>
      </c>
      <c r="M61" s="148">
        <f>M18-M60</f>
        <v>70564.365678352013</v>
      </c>
      <c r="N61" s="148">
        <f>N18-N60</f>
        <v>79593.537814576004</v>
      </c>
      <c r="O61" s="148">
        <f>O18-O60</f>
        <v>80109.552470896</v>
      </c>
      <c r="P61" s="148">
        <f t="shared" ref="P61:Q61" si="27">P18-P60</f>
        <v>81804.762239775999</v>
      </c>
      <c r="Q61" s="148">
        <f t="shared" si="27"/>
        <v>84199.422798799991</v>
      </c>
      <c r="R61" s="149">
        <f>R18-R60</f>
        <v>84991.271482231998</v>
      </c>
      <c r="S61" s="68"/>
      <c r="T61" s="147">
        <f>T18-T60</f>
        <v>62005.9305360992</v>
      </c>
      <c r="U61" s="148">
        <f>U18-U60</f>
        <v>63953.278483809998</v>
      </c>
      <c r="V61" s="148">
        <f>V18-V60</f>
        <v>72616.104610680006</v>
      </c>
      <c r="W61" s="69"/>
      <c r="X61" s="148"/>
      <c r="Y61" s="69"/>
      <c r="Z61" s="148"/>
      <c r="AA61" s="1096"/>
      <c r="AE61" s="1492" t="s">
        <v>397</v>
      </c>
      <c r="AF61" s="1017">
        <v>50495.243628480006</v>
      </c>
      <c r="AG61" s="1493">
        <v>46686.930536099186</v>
      </c>
    </row>
    <row r="62" spans="1:34" s="77" customFormat="1" ht="12" customHeight="1" thickBot="1">
      <c r="A62" s="17"/>
      <c r="B62" s="2"/>
      <c r="C62" s="2"/>
      <c r="D62" s="2"/>
      <c r="E62" s="2"/>
      <c r="F62" s="2"/>
      <c r="G62" s="2"/>
      <c r="H62" s="2"/>
      <c r="I62" s="2"/>
      <c r="J62" s="638"/>
      <c r="K62" s="65"/>
      <c r="L62" s="65"/>
      <c r="M62" s="65"/>
      <c r="N62" s="65"/>
      <c r="O62" s="65"/>
      <c r="P62" s="65"/>
      <c r="Q62" s="65"/>
      <c r="R62" s="65"/>
      <c r="S62" s="64"/>
      <c r="T62" s="65"/>
      <c r="U62" s="65"/>
      <c r="V62" s="65"/>
      <c r="W62" s="63"/>
      <c r="X62" s="63"/>
      <c r="Y62" s="63"/>
      <c r="Z62" s="63"/>
      <c r="AA62" s="63"/>
      <c r="AE62" s="1492"/>
      <c r="AF62" s="1493"/>
      <c r="AG62" s="1018">
        <v>3808.3094599999999</v>
      </c>
    </row>
    <row r="63" spans="1:34" ht="15.6" customHeight="1">
      <c r="A63" s="15" t="s">
        <v>369</v>
      </c>
      <c r="B63" s="15"/>
      <c r="C63" s="15"/>
      <c r="D63" s="15"/>
      <c r="E63" s="15"/>
      <c r="F63" s="15"/>
      <c r="G63" s="15"/>
      <c r="H63" s="15"/>
      <c r="I63" s="15"/>
      <c r="J63" s="685"/>
      <c r="K63" s="17"/>
      <c r="L63" s="17"/>
      <c r="M63" s="17"/>
      <c r="N63" s="17"/>
      <c r="O63" s="18"/>
      <c r="P63" s="18"/>
      <c r="Q63" s="18"/>
      <c r="R63" s="18"/>
      <c r="S63" s="18"/>
      <c r="T63" s="17"/>
      <c r="U63" s="17"/>
      <c r="V63" s="17"/>
      <c r="W63" s="19"/>
      <c r="X63" s="19"/>
      <c r="Y63" s="19"/>
      <c r="Z63" s="19"/>
      <c r="AA63" s="19"/>
      <c r="AE63"/>
      <c r="AF63"/>
      <c r="AG63"/>
    </row>
    <row r="64" spans="1:34" s="90" customFormat="1" ht="12" customHeight="1" thickBot="1">
      <c r="A64" s="42" t="s">
        <v>370</v>
      </c>
      <c r="B64" s="2"/>
      <c r="C64" s="799">
        <f>'T1 MET'!C64</f>
        <v>2.8000000000000001E-2</v>
      </c>
      <c r="D64" s="799">
        <f>'T1 MET'!D64</f>
        <v>2.5999999999999999E-2</v>
      </c>
      <c r="E64" s="799">
        <f>'T1 MET'!E64</f>
        <v>1.4999999999999999E-2</v>
      </c>
      <c r="F64" s="799">
        <f>'T1 MET'!F64</f>
        <v>0</v>
      </c>
      <c r="G64" s="799">
        <f>'T1 MET'!G64</f>
        <v>7.0000000000000001E-3</v>
      </c>
      <c r="H64" s="799">
        <f>'T1 MET'!H64</f>
        <v>2.7E-2</v>
      </c>
      <c r="I64" s="799">
        <f>'T1 MET'!I64</f>
        <v>2.5000000000000001E-2</v>
      </c>
      <c r="J64" s="799">
        <f>'T1 MET'!J64</f>
        <v>1.7999999999999999E-2</v>
      </c>
      <c r="K64" s="72">
        <f>'T1 MET'!K64</f>
        <v>0.02</v>
      </c>
      <c r="L64" s="72">
        <f>'T1 MET'!L64</f>
        <v>0.02</v>
      </c>
      <c r="M64" s="72">
        <f>'T1 MET'!M64</f>
        <v>0.02</v>
      </c>
      <c r="N64" s="72">
        <f>'T1 MET'!N64</f>
        <v>6.1359439712091124E-2</v>
      </c>
      <c r="O64" s="72">
        <f>'T1 MET'!O64</f>
        <v>8.5674714548986675E-3</v>
      </c>
      <c r="P64" s="72">
        <f>'T1 MET'!P64</f>
        <v>1.1558271762361905E-3</v>
      </c>
      <c r="Q64" s="72">
        <f>'T1 MET'!Q64</f>
        <v>4.9967691413776993E-3</v>
      </c>
      <c r="R64" s="1428">
        <f>'T1 MET'!R64</f>
        <v>1.5726789585522205E-2</v>
      </c>
      <c r="S64" s="75"/>
      <c r="T64" s="72">
        <f>'T1 MET'!T64</f>
        <v>8.9999999999999993E-3</v>
      </c>
      <c r="U64" s="72">
        <f>'T1 MET'!U64</f>
        <v>2.5999999999999999E-2</v>
      </c>
      <c r="V64" s="72">
        <f>'T1 MET'!V64</f>
        <v>9.0999999999999998E-2</v>
      </c>
      <c r="W64" s="73"/>
      <c r="X64" s="73"/>
      <c r="Y64" s="73"/>
      <c r="Z64" s="73"/>
      <c r="AA64" s="74"/>
      <c r="AE64" s="1013"/>
      <c r="AF64" s="613"/>
      <c r="AG64" s="613"/>
    </row>
    <row r="65" spans="1:34" s="77" customFormat="1" ht="12" customHeight="1" thickBot="1">
      <c r="A65" s="44" t="s">
        <v>371</v>
      </c>
      <c r="B65" s="2"/>
      <c r="C65" s="800">
        <f>'T1 MET'!C65</f>
        <v>92.851020823042745</v>
      </c>
      <c r="D65" s="800">
        <f>'T1 MET'!D65</f>
        <v>95.265147364441859</v>
      </c>
      <c r="E65" s="800">
        <f>'T1 MET'!E65</f>
        <v>96.694124574908471</v>
      </c>
      <c r="F65" s="800">
        <f>'T1 MET'!F65</f>
        <v>96.694124574908471</v>
      </c>
      <c r="G65" s="800">
        <f>'T1 MET'!G65</f>
        <v>97.370983446932826</v>
      </c>
      <c r="H65" s="800">
        <f>'T1 MET'!H65</f>
        <v>100</v>
      </c>
      <c r="I65" s="800">
        <f>'T1 MET'!I65</f>
        <v>102.49999999999999</v>
      </c>
      <c r="J65" s="800">
        <f>'T1 MET'!J65</f>
        <v>104.34499999999998</v>
      </c>
      <c r="K65" s="78">
        <f>'T1 MET'!K65</f>
        <v>106.44304700754891</v>
      </c>
      <c r="L65" s="78">
        <f>'T1 MET'!L65</f>
        <v>108.5719079476999</v>
      </c>
      <c r="M65" s="78">
        <f>'T1 MET'!M65</f>
        <v>110.7433461066539</v>
      </c>
      <c r="N65" s="78">
        <f>'T1 MET'!N65</f>
        <v>118.73399586480322</v>
      </c>
      <c r="O65" s="78">
        <f>'T1 MET'!O65</f>
        <v>119.75124598510098</v>
      </c>
      <c r="P65" s="78">
        <f>'T1 MET'!P65</f>
        <v>119.88965772959871</v>
      </c>
      <c r="Q65" s="78">
        <f>'T1 MET'!Q65</f>
        <v>120.48871867171231</v>
      </c>
      <c r="R65" s="1429">
        <f>'T1 MET'!R65</f>
        <v>122.3836193976915</v>
      </c>
      <c r="S65" s="81"/>
      <c r="T65" s="78">
        <f>'T1 MET'!T65</f>
        <v>105.28410499999997</v>
      </c>
      <c r="U65" s="78">
        <f>'T1 MET'!U65</f>
        <v>108.02149172999997</v>
      </c>
      <c r="V65" s="78">
        <f>'T1 MET'!V65</f>
        <v>117.85144747742996</v>
      </c>
      <c r="W65" s="79"/>
      <c r="X65" s="79"/>
      <c r="Y65" s="79"/>
      <c r="Z65" s="79"/>
      <c r="AA65" s="80"/>
      <c r="AE65" s="1511"/>
      <c r="AF65" s="1512" t="s">
        <v>398</v>
      </c>
      <c r="AG65" s="1512" t="s">
        <v>399</v>
      </c>
    </row>
    <row r="66" spans="1:34" s="77" customFormat="1" ht="12" customHeight="1" thickBot="1">
      <c r="A66" s="83" t="s">
        <v>372</v>
      </c>
      <c r="B66" s="84"/>
      <c r="C66" s="782">
        <f>C61/(C65/100)</f>
        <v>61300.349199687764</v>
      </c>
      <c r="D66" s="782">
        <f t="shared" ref="D66:O66" si="28">D61/(D65/100)</f>
        <v>63125.919251394982</v>
      </c>
      <c r="E66" s="782">
        <f t="shared" si="28"/>
        <v>60346.828989381997</v>
      </c>
      <c r="F66" s="782">
        <f t="shared" si="28"/>
        <v>57768.155417681832</v>
      </c>
      <c r="G66" s="782">
        <f t="shared" si="28"/>
        <v>63004.477967147475</v>
      </c>
      <c r="H66" s="782">
        <f t="shared" si="28"/>
        <v>66282.816455627602</v>
      </c>
      <c r="I66" s="782">
        <f t="shared" si="28"/>
        <v>62714.636694531597</v>
      </c>
      <c r="J66" s="782">
        <f t="shared" si="28"/>
        <v>60095.883875604974</v>
      </c>
      <c r="K66" s="85">
        <f t="shared" si="28"/>
        <v>65317.152019848938</v>
      </c>
      <c r="L66" s="85">
        <f t="shared" si="28"/>
        <v>64991.284590211406</v>
      </c>
      <c r="M66" s="85">
        <f t="shared" si="28"/>
        <v>63718.831116402594</v>
      </c>
      <c r="N66" s="85">
        <f t="shared" si="28"/>
        <v>67035.171548682149</v>
      </c>
      <c r="O66" s="85">
        <f t="shared" si="28"/>
        <v>66896.633777708616</v>
      </c>
      <c r="P66" s="85">
        <f>P61/(P65/100)</f>
        <v>68233.377081015555</v>
      </c>
      <c r="Q66" s="85">
        <f t="shared" ref="Q66:R66" si="29">Q61/(Q65/100)</f>
        <v>69881.582049363991</v>
      </c>
      <c r="R66" s="1098">
        <f t="shared" si="29"/>
        <v>69446.607234297204</v>
      </c>
      <c r="S66" s="87"/>
      <c r="T66" s="85">
        <f t="shared" ref="T66:U66" si="30">T61/(T65/100)</f>
        <v>58893.914267589797</v>
      </c>
      <c r="U66" s="85">
        <f t="shared" si="30"/>
        <v>59204.217104927047</v>
      </c>
      <c r="V66" s="1506">
        <f t="shared" ref="V66" si="31">V61/(V65/100)</f>
        <v>61616.642107503103</v>
      </c>
      <c r="W66" s="88"/>
      <c r="X66" s="88"/>
      <c r="Y66" s="88"/>
      <c r="Z66" s="88"/>
      <c r="AA66" s="1097"/>
      <c r="AE66" s="1559" t="s">
        <v>391</v>
      </c>
      <c r="AF66" s="1560"/>
      <c r="AG66" s="1513">
        <v>444273.745</v>
      </c>
    </row>
    <row r="67" spans="1:34" s="77" customFormat="1" ht="12" customHeight="1" thickBot="1">
      <c r="A67" s="91" t="s">
        <v>333</v>
      </c>
      <c r="B67" s="2"/>
      <c r="C67" s="38"/>
      <c r="D67" s="40">
        <f>D66/C66-1</f>
        <v>2.9780744735407039E-2</v>
      </c>
      <c r="E67" s="40">
        <f t="shared" ref="E67:J67" si="32">E66/D66-1</f>
        <v>-4.4024551166461978E-2</v>
      </c>
      <c r="F67" s="40">
        <f t="shared" si="32"/>
        <v>-4.2730887685148766E-2</v>
      </c>
      <c r="G67" s="40">
        <f t="shared" si="32"/>
        <v>9.0643755397855408E-2</v>
      </c>
      <c r="H67" s="40">
        <f t="shared" si="32"/>
        <v>5.2033420389413498E-2</v>
      </c>
      <c r="I67" s="40">
        <f t="shared" si="32"/>
        <v>-5.3832651536234732E-2</v>
      </c>
      <c r="J67" s="740">
        <f t="shared" si="32"/>
        <v>-4.1756644970805779E-2</v>
      </c>
      <c r="K67" s="38">
        <f>K66/J66-1</f>
        <v>8.6882292222403956E-2</v>
      </c>
      <c r="L67" s="40">
        <f>L66/K66-1</f>
        <v>-4.9890024221892482E-3</v>
      </c>
      <c r="M67" s="40">
        <f>M66/L66-1</f>
        <v>-1.9578832482416542E-2</v>
      </c>
      <c r="N67" s="40">
        <f>N66/M66-1</f>
        <v>5.2046473141059479E-2</v>
      </c>
      <c r="O67" s="92">
        <f>O66/N66-1</f>
        <v>-2.0666430438374128E-3</v>
      </c>
      <c r="P67" s="92">
        <f t="shared" ref="P67:R67" si="33">P66/O66-1</f>
        <v>1.9982220745946799E-2</v>
      </c>
      <c r="Q67" s="92">
        <f t="shared" si="33"/>
        <v>2.4155406618544983E-2</v>
      </c>
      <c r="R67" s="92">
        <f t="shared" si="33"/>
        <v>-6.2244557480041207E-3</v>
      </c>
      <c r="S67" s="39"/>
      <c r="T67" s="38">
        <f>T66/J66-1</f>
        <v>-2.0000864127453166E-2</v>
      </c>
      <c r="U67" s="38">
        <f>U66/T66-1</f>
        <v>5.2688438388959202E-3</v>
      </c>
      <c r="V67" s="38">
        <f>V66/U66-1</f>
        <v>4.0747519696114454E-2</v>
      </c>
      <c r="W67" s="40"/>
      <c r="X67" s="40"/>
      <c r="Y67" s="40"/>
      <c r="Z67" s="40"/>
      <c r="AA67" s="92"/>
      <c r="AE67" s="1559" t="s">
        <v>393</v>
      </c>
      <c r="AF67" s="1560"/>
      <c r="AG67" s="1495">
        <v>0.113094</v>
      </c>
    </row>
    <row r="68" spans="1:34" s="77" customFormat="1" ht="12" customHeight="1" thickBot="1">
      <c r="A68" s="93" t="s">
        <v>373</v>
      </c>
      <c r="B68" s="4"/>
      <c r="C68" s="94">
        <f>'T1'!C68</f>
        <v>9607.8779999999988</v>
      </c>
      <c r="D68" s="95">
        <f>'T1'!D68</f>
        <v>9754.9330000000009</v>
      </c>
      <c r="E68" s="95">
        <f>'T1'!E68</f>
        <v>9979.4030000000002</v>
      </c>
      <c r="F68" s="95">
        <f>'T1'!F68</f>
        <v>10153.9</v>
      </c>
      <c r="G68" s="95">
        <f>'T1'!G68</f>
        <v>10874.798000000001</v>
      </c>
      <c r="H68" s="95">
        <f>'T1'!H68</f>
        <v>11767.620999999999</v>
      </c>
      <c r="I68" s="95">
        <v>12194.153</v>
      </c>
      <c r="J68" s="741">
        <f>'T1'!J68</f>
        <v>12593.8988214</v>
      </c>
      <c r="K68" s="94">
        <f>'T1'!K68</f>
        <v>12647.945</v>
      </c>
      <c r="L68" s="95">
        <f>'T1'!L68</f>
        <v>12891</v>
      </c>
      <c r="M68" s="95">
        <f>'T1'!M68</f>
        <v>13183</v>
      </c>
      <c r="N68" s="95">
        <f>'T1'!N68</f>
        <v>11956</v>
      </c>
      <c r="O68" s="96">
        <f>'T1'!O68</f>
        <v>12930</v>
      </c>
      <c r="P68" s="96">
        <f>'T1'!P68</f>
        <v>13247</v>
      </c>
      <c r="Q68" s="96">
        <f>'T1'!Q68</f>
        <v>13490</v>
      </c>
      <c r="R68" s="96">
        <f>'T1'!R68</f>
        <v>13700</v>
      </c>
      <c r="S68" s="68"/>
      <c r="T68" s="94">
        <f>'T1'!T68</f>
        <v>5099.1790000000001</v>
      </c>
      <c r="U68" s="94">
        <f>'T1'!U68</f>
        <v>5531.451</v>
      </c>
      <c r="V68" s="94">
        <f>'T1'!V68</f>
        <v>10782.061</v>
      </c>
      <c r="W68" s="88"/>
      <c r="X68" s="673"/>
      <c r="Y68" s="88"/>
      <c r="Z68" s="673"/>
      <c r="AA68" s="1097"/>
      <c r="AE68" s="1514" t="s">
        <v>394</v>
      </c>
      <c r="AF68" s="1513">
        <v>57777.082999999999</v>
      </c>
      <c r="AG68" s="1513">
        <v>50244.695</v>
      </c>
    </row>
    <row r="69" spans="1:34" s="77" customFormat="1" ht="12" customHeight="1" thickBot="1">
      <c r="A69" s="91" t="s">
        <v>333</v>
      </c>
      <c r="B69" s="4"/>
      <c r="C69" s="38"/>
      <c r="D69" s="40">
        <f>D68/C68-1</f>
        <v>1.5305668952083185E-2</v>
      </c>
      <c r="E69" s="40">
        <f t="shared" ref="E69:J69" si="34">E68/D68-1</f>
        <v>2.3010921756202674E-2</v>
      </c>
      <c r="F69" s="40">
        <f t="shared" si="34"/>
        <v>1.7485715327860696E-2</v>
      </c>
      <c r="G69" s="40">
        <f t="shared" si="34"/>
        <v>7.0997153802972335E-2</v>
      </c>
      <c r="H69" s="40">
        <f t="shared" si="34"/>
        <v>8.2100191654134402E-2</v>
      </c>
      <c r="I69" s="40">
        <f t="shared" si="34"/>
        <v>3.6246238725737401E-2</v>
      </c>
      <c r="J69" s="740">
        <f t="shared" si="34"/>
        <v>3.2781761996917735E-2</v>
      </c>
      <c r="K69" s="38">
        <f>K68/J68-1</f>
        <v>4.2914572656533867E-3</v>
      </c>
      <c r="L69" s="40">
        <f>L68/K68-1</f>
        <v>1.9216955797957791E-2</v>
      </c>
      <c r="M69" s="40">
        <f>M68/L68-1</f>
        <v>2.2651462260491861E-2</v>
      </c>
      <c r="N69" s="40">
        <f>N68/M68-1</f>
        <v>-9.3074414018053608E-2</v>
      </c>
      <c r="O69" s="92">
        <f>O68/N68-1</f>
        <v>8.1465373034459665E-2</v>
      </c>
      <c r="P69" s="92">
        <f t="shared" ref="P69:R69" si="35">P68/O68-1</f>
        <v>2.4516627996906459E-2</v>
      </c>
      <c r="Q69" s="92">
        <f t="shared" si="35"/>
        <v>1.8343775949271501E-2</v>
      </c>
      <c r="R69" s="92">
        <f t="shared" si="35"/>
        <v>1.5567086730911894E-2</v>
      </c>
      <c r="S69" s="39"/>
      <c r="T69" s="38">
        <f>T68/J68-1</f>
        <v>-0.59510719656288691</v>
      </c>
      <c r="U69" s="38">
        <f>U68/T68-1</f>
        <v>8.4772862454916664E-2</v>
      </c>
      <c r="V69" s="38">
        <f>V68/U68-1</f>
        <v>0.94922833086653036</v>
      </c>
      <c r="W69" s="40"/>
      <c r="X69" s="150"/>
      <c r="Y69" s="40"/>
      <c r="Z69" s="150"/>
      <c r="AA69" s="92"/>
      <c r="AE69" s="1514" t="s">
        <v>395</v>
      </c>
      <c r="AF69" s="1515">
        <v>0.86206400000000005</v>
      </c>
      <c r="AG69" s="1516">
        <v>0.85975800000000002</v>
      </c>
    </row>
    <row r="70" spans="1:34" s="77" customFormat="1" ht="12" customHeight="1" thickBot="1">
      <c r="A70" s="93" t="s">
        <v>374</v>
      </c>
      <c r="B70" s="4"/>
      <c r="C70" s="97">
        <f>C66/C68</f>
        <v>6.3802172758321634</v>
      </c>
      <c r="D70" s="98">
        <f>D66/D68</f>
        <v>6.4711791717477682</v>
      </c>
      <c r="E70" s="98">
        <f t="shared" ref="E70:J70" si="36">E66/E68</f>
        <v>6.0471381894670451</v>
      </c>
      <c r="F70" s="98">
        <f t="shared" si="36"/>
        <v>5.689257863252724</v>
      </c>
      <c r="G70" s="98">
        <f t="shared" si="36"/>
        <v>5.7936228302491202</v>
      </c>
      <c r="H70" s="98">
        <f t="shared" si="36"/>
        <v>5.6326437141056473</v>
      </c>
      <c r="I70" s="98">
        <f t="shared" si="36"/>
        <v>5.1430088415760897</v>
      </c>
      <c r="J70" s="742">
        <f t="shared" si="36"/>
        <v>4.7718252090042137</v>
      </c>
      <c r="K70" s="97">
        <f>K66/K68</f>
        <v>5.1642501623662138</v>
      </c>
      <c r="L70" s="98">
        <f>L66/L68</f>
        <v>5.0416014731371819</v>
      </c>
      <c r="M70" s="98">
        <f>M66/M68</f>
        <v>4.8334090204356057</v>
      </c>
      <c r="N70" s="98">
        <f>N66/N68</f>
        <v>5.6068226454233985</v>
      </c>
      <c r="O70" s="99">
        <f>O66/O68</f>
        <v>5.173753579095794</v>
      </c>
      <c r="P70" s="99">
        <f t="shared" ref="P70:R70" si="37">P66/P68</f>
        <v>5.1508550676391298</v>
      </c>
      <c r="Q70" s="99">
        <f t="shared" si="37"/>
        <v>5.1802507078846549</v>
      </c>
      <c r="R70" s="99">
        <f t="shared" si="37"/>
        <v>5.0690954185618393</v>
      </c>
      <c r="S70" s="100"/>
      <c r="T70" s="97">
        <f>T66/T68</f>
        <v>11.54968559989555</v>
      </c>
      <c r="U70" s="97">
        <f>U66/U68</f>
        <v>10.703198329864451</v>
      </c>
      <c r="V70" s="97">
        <f>V66/V68</f>
        <v>5.7147369234419196</v>
      </c>
      <c r="W70" s="88"/>
      <c r="X70" s="98"/>
      <c r="Y70" s="88"/>
      <c r="Z70" s="98"/>
      <c r="AA70" s="1097"/>
      <c r="AE70" s="1514" t="s">
        <v>397</v>
      </c>
      <c r="AF70" s="1517">
        <v>49807.543279311998</v>
      </c>
      <c r="AG70" s="1518">
        <v>43198.277999999998</v>
      </c>
    </row>
    <row r="71" spans="1:34" ht="12" customHeight="1" thickBot="1">
      <c r="A71" s="102" t="s">
        <v>333</v>
      </c>
      <c r="B71" s="4"/>
      <c r="C71" s="103"/>
      <c r="D71" s="104">
        <f t="shared" ref="D71:O71" si="38">D70/C70-1</f>
        <v>1.4256864928434698E-2</v>
      </c>
      <c r="E71" s="104">
        <f t="shared" si="38"/>
        <v>-6.5527621941303127E-2</v>
      </c>
      <c r="F71" s="104">
        <f t="shared" si="38"/>
        <v>-5.9181767474353442E-2</v>
      </c>
      <c r="G71" s="104">
        <f t="shared" si="38"/>
        <v>1.8344214571551776E-2</v>
      </c>
      <c r="H71" s="104">
        <f t="shared" si="38"/>
        <v>-2.7785570593754194E-2</v>
      </c>
      <c r="I71" s="104">
        <f t="shared" si="38"/>
        <v>-8.692807452091833E-2</v>
      </c>
      <c r="J71" s="743">
        <f t="shared" si="38"/>
        <v>-7.2172466353008558E-2</v>
      </c>
      <c r="K71" s="103">
        <f t="shared" si="38"/>
        <v>8.2237914461223749E-2</v>
      </c>
      <c r="L71" s="104">
        <f t="shared" si="38"/>
        <v>-2.3749563900451243E-2</v>
      </c>
      <c r="M71" s="104">
        <f t="shared" si="38"/>
        <v>-4.12949047660498E-2</v>
      </c>
      <c r="N71" s="104">
        <f t="shared" si="38"/>
        <v>0.16001410634146773</v>
      </c>
      <c r="O71" s="105">
        <f t="shared" si="38"/>
        <v>-7.7239658486629614E-2</v>
      </c>
      <c r="P71" s="105">
        <f t="shared" ref="P71" si="39">P70/O70-1</f>
        <v>-4.4258991284749083E-3</v>
      </c>
      <c r="Q71" s="105">
        <f t="shared" ref="Q71" si="40">Q70/P70-1</f>
        <v>5.7069437713763715E-3</v>
      </c>
      <c r="R71" s="105">
        <f t="shared" ref="R71" si="41">R70/Q70-1</f>
        <v>-2.1457511535808549E-2</v>
      </c>
      <c r="S71" s="39"/>
      <c r="T71" s="103">
        <f>T70/J70-1</f>
        <v>1.4203915889672212</v>
      </c>
      <c r="U71" s="103">
        <f>U70/T70-1</f>
        <v>-7.32909361652887E-2</v>
      </c>
      <c r="V71" s="103">
        <f>V70/U70-1</f>
        <v>-0.46607203311402223</v>
      </c>
      <c r="W71" s="104"/>
      <c r="X71" s="61"/>
      <c r="Y71" s="104"/>
      <c r="Z71" s="61"/>
      <c r="AA71" s="105"/>
      <c r="AE71" s="1514"/>
      <c r="AF71" s="1513"/>
      <c r="AG71" s="1519">
        <v>6609.2650000000003</v>
      </c>
    </row>
    <row r="72" spans="1:34" s="604" customFormat="1" ht="12" customHeight="1">
      <c r="A72" s="107"/>
      <c r="B72" s="4"/>
      <c r="C72" s="4"/>
      <c r="D72" s="4"/>
      <c r="E72" s="4"/>
      <c r="F72" s="4"/>
      <c r="G72" s="4"/>
      <c r="H72" s="4"/>
      <c r="I72" s="4"/>
      <c r="J72" s="712"/>
      <c r="K72" s="39"/>
      <c r="L72" s="39"/>
      <c r="M72" s="39"/>
      <c r="N72" s="39"/>
      <c r="O72" s="39"/>
      <c r="P72" s="39"/>
      <c r="Q72" s="39"/>
      <c r="R72" s="39"/>
      <c r="S72" s="39"/>
      <c r="T72" s="77"/>
      <c r="U72" s="77"/>
      <c r="V72" s="77"/>
      <c r="W72" s="77"/>
      <c r="X72" s="77"/>
      <c r="AE72"/>
      <c r="AF72"/>
      <c r="AG72"/>
    </row>
    <row r="73" spans="1:34" s="604" customFormat="1" ht="12" customHeight="1" thickBot="1">
      <c r="A73" s="108" t="s">
        <v>376</v>
      </c>
      <c r="B73" s="1"/>
      <c r="C73" s="1"/>
      <c r="D73" s="1"/>
      <c r="E73" s="1"/>
      <c r="F73" s="1"/>
      <c r="G73" s="1"/>
      <c r="H73" s="1"/>
      <c r="I73" s="1"/>
      <c r="J73" s="108"/>
      <c r="K73" s="1"/>
      <c r="L73" s="1"/>
      <c r="M73" s="1"/>
      <c r="N73" s="1"/>
      <c r="O73" s="1"/>
      <c r="P73" s="1"/>
      <c r="Q73" s="1"/>
      <c r="R73" s="1"/>
      <c r="S73" s="1"/>
      <c r="T73" s="1"/>
      <c r="U73" s="1"/>
      <c r="V73" s="1"/>
      <c r="W73" s="1"/>
      <c r="X73" s="1"/>
    </row>
    <row r="74" spans="1:34" s="613" customFormat="1" ht="12" customHeight="1" thickBot="1">
      <c r="A74" s="129" t="s">
        <v>384</v>
      </c>
      <c r="B74" s="130"/>
      <c r="C74" s="130"/>
      <c r="D74" s="130"/>
      <c r="E74" s="130"/>
      <c r="F74" s="130"/>
      <c r="G74" s="130"/>
      <c r="H74" s="130"/>
      <c r="I74" s="130"/>
      <c r="J74" s="713"/>
      <c r="K74" s="109"/>
      <c r="L74" s="109"/>
      <c r="M74" s="75"/>
      <c r="N74" s="1452"/>
      <c r="O74" s="154"/>
      <c r="P74" s="1106"/>
      <c r="Q74" s="1106"/>
      <c r="R74" s="1106"/>
      <c r="S74" s="1106"/>
      <c r="T74" s="1106"/>
      <c r="U74" s="1106"/>
      <c r="V74" s="604"/>
      <c r="W74" s="604"/>
      <c r="X74" s="604"/>
      <c r="AE74" s="1491"/>
      <c r="AF74" s="1512" t="s">
        <v>974</v>
      </c>
      <c r="AG74" s="1512" t="s">
        <v>975</v>
      </c>
    </row>
    <row r="75" spans="1:34" s="613" customFormat="1" ht="12" customHeight="1" thickBot="1">
      <c r="A75" s="129" t="s">
        <v>378</v>
      </c>
      <c r="B75" s="130"/>
      <c r="C75" s="130"/>
      <c r="D75" s="130"/>
      <c r="E75" s="130"/>
      <c r="F75" s="130"/>
      <c r="G75" s="130"/>
      <c r="H75" s="130"/>
      <c r="I75" s="130"/>
      <c r="J75" s="713"/>
      <c r="K75" s="109"/>
      <c r="L75" s="109"/>
      <c r="M75" s="75"/>
      <c r="N75" s="1452"/>
      <c r="O75" s="154"/>
      <c r="P75" s="1106"/>
      <c r="Q75" s="1106"/>
      <c r="R75" s="1106"/>
      <c r="S75" s="1106"/>
      <c r="T75" s="1106"/>
      <c r="U75" s="1106"/>
      <c r="V75" s="604"/>
      <c r="W75" s="604"/>
      <c r="X75" s="604"/>
      <c r="AE75" s="1557" t="s">
        <v>391</v>
      </c>
      <c r="AF75" s="1558"/>
      <c r="AG75" s="1493">
        <v>490341.44500000001</v>
      </c>
    </row>
    <row r="76" spans="1:34" s="613" customFormat="1" ht="12" customHeight="1" thickBot="1">
      <c r="A76" s="129" t="s">
        <v>379</v>
      </c>
      <c r="B76" s="131"/>
      <c r="C76" s="131"/>
      <c r="D76" s="131"/>
      <c r="E76" s="131"/>
      <c r="F76" s="131"/>
      <c r="G76" s="131"/>
      <c r="H76" s="131"/>
      <c r="I76" s="131"/>
      <c r="J76" s="714"/>
      <c r="K76" s="132"/>
      <c r="L76" s="132"/>
      <c r="M76" s="132"/>
      <c r="N76" s="1453"/>
      <c r="O76" s="109"/>
      <c r="P76" s="109"/>
      <c r="Q76" s="109"/>
      <c r="R76" s="109"/>
      <c r="S76" s="109"/>
      <c r="T76" s="1"/>
      <c r="U76" s="1"/>
      <c r="V76" s="1"/>
      <c r="W76" s="1"/>
      <c r="X76" s="1"/>
      <c r="AE76" s="1559" t="s">
        <v>393</v>
      </c>
      <c r="AF76" s="1560"/>
      <c r="AG76" s="1495">
        <v>0.119986</v>
      </c>
    </row>
    <row r="77" spans="1:34" ht="12" customHeight="1" thickBot="1">
      <c r="A77" s="129"/>
      <c r="B77" s="110"/>
      <c r="C77" s="110"/>
      <c r="D77" s="110"/>
      <c r="E77" s="110"/>
      <c r="F77" s="110"/>
      <c r="G77" s="110"/>
      <c r="H77" s="110"/>
      <c r="I77" s="110"/>
      <c r="J77" s="715"/>
      <c r="K77" s="111"/>
      <c r="L77" s="111"/>
      <c r="M77" s="111"/>
      <c r="N77" s="153"/>
      <c r="O77" s="132"/>
      <c r="P77" s="1107"/>
      <c r="Q77" s="1107"/>
      <c r="R77" s="1107"/>
      <c r="S77" s="1107"/>
      <c r="T77" s="1107"/>
      <c r="V77" s="613"/>
      <c r="W77" s="613"/>
      <c r="X77" s="613"/>
      <c r="AE77" s="1520" t="s">
        <v>394</v>
      </c>
      <c r="AF77" s="1513">
        <v>56893.942999999999</v>
      </c>
      <c r="AG77" s="1521">
        <f>60050760/1000</f>
        <v>60050.76</v>
      </c>
      <c r="AH77" s="1" t="s">
        <v>977</v>
      </c>
    </row>
    <row r="78" spans="1:34" ht="12" customHeight="1" thickBot="1">
      <c r="A78" s="638"/>
      <c r="B78" s="638"/>
      <c r="C78" s="638"/>
      <c r="D78" s="638"/>
      <c r="E78" s="638"/>
      <c r="F78" s="638"/>
      <c r="G78" s="638"/>
      <c r="H78" s="638"/>
      <c r="I78" s="638"/>
      <c r="K78" s="638"/>
      <c r="L78" s="638"/>
      <c r="M78" s="638"/>
      <c r="N78" s="638"/>
      <c r="O78" s="111"/>
      <c r="P78" s="1"/>
      <c r="Q78" s="1"/>
      <c r="R78" s="1"/>
      <c r="S78" s="1"/>
      <c r="AE78" s="1520" t="s">
        <v>395</v>
      </c>
      <c r="AF78" s="1515">
        <v>0.86206400000000005</v>
      </c>
      <c r="AG78" s="1522">
        <v>0.85234299999999996</v>
      </c>
      <c r="AH78" s="1" t="s">
        <v>976</v>
      </c>
    </row>
    <row r="79" spans="1:34" ht="12" customHeight="1" thickBot="1">
      <c r="O79" s="111"/>
      <c r="P79" s="111"/>
      <c r="Q79" s="111"/>
      <c r="R79" s="111"/>
      <c r="S79" s="111"/>
      <c r="V79" s="613"/>
      <c r="W79" s="613"/>
      <c r="X79" s="613"/>
      <c r="AE79" s="1520" t="s">
        <v>397</v>
      </c>
      <c r="AF79" s="1517">
        <f>AF77*AF78</f>
        <v>49046.220078352002</v>
      </c>
      <c r="AG79" s="1523">
        <f>AG77*AG78</f>
        <v>51183.844930680003</v>
      </c>
      <c r="AH79" s="1" t="s">
        <v>938</v>
      </c>
    </row>
    <row r="80" spans="1:34" ht="15" thickBot="1">
      <c r="O80" s="638"/>
      <c r="P80" s="638"/>
      <c r="Q80" s="638"/>
      <c r="R80" s="638"/>
      <c r="S80" s="638"/>
      <c r="T80" s="108"/>
      <c r="AE80" s="1514"/>
      <c r="AF80" s="1513"/>
      <c r="AG80" s="1519"/>
    </row>
    <row r="83" spans="1:19" ht="12" customHeight="1">
      <c r="A83" s="1"/>
      <c r="B83" s="1"/>
      <c r="C83" s="1"/>
      <c r="D83" s="1"/>
      <c r="E83" s="1"/>
      <c r="F83" s="1"/>
      <c r="G83" s="1"/>
      <c r="H83" s="1"/>
      <c r="I83" s="1"/>
      <c r="J83" s="108"/>
      <c r="K83" s="1"/>
      <c r="L83" s="1"/>
      <c r="M83" s="1"/>
      <c r="N83" s="1"/>
    </row>
    <row r="85" spans="1:19">
      <c r="O85" s="1"/>
      <c r="P85" s="1"/>
      <c r="Q85" s="1"/>
      <c r="R85" s="1"/>
      <c r="S85" s="1"/>
    </row>
    <row r="117" spans="1:19" ht="12" customHeight="1">
      <c r="A117" s="639"/>
      <c r="B117" s="1"/>
      <c r="C117" s="1"/>
      <c r="D117" s="1"/>
      <c r="E117" s="1"/>
      <c r="F117" s="1"/>
      <c r="G117" s="1"/>
      <c r="H117" s="1"/>
      <c r="I117" s="1"/>
      <c r="J117" s="108"/>
      <c r="K117" s="1"/>
      <c r="L117" s="1"/>
      <c r="M117" s="1"/>
      <c r="N117" s="1"/>
    </row>
    <row r="120" spans="1:19">
      <c r="O120" s="1"/>
      <c r="P120" s="1"/>
      <c r="Q120" s="1"/>
      <c r="R120" s="1"/>
      <c r="S120" s="1"/>
    </row>
  </sheetData>
  <mergeCells count="12">
    <mergeCell ref="AE75:AF75"/>
    <mergeCell ref="AE76:AF76"/>
    <mergeCell ref="AE66:AF66"/>
    <mergeCell ref="AE67:AF67"/>
    <mergeCell ref="A1:X1"/>
    <mergeCell ref="AE57:AF57"/>
    <mergeCell ref="AE58:AF58"/>
    <mergeCell ref="C7:J7"/>
    <mergeCell ref="T7:V7"/>
    <mergeCell ref="K7:M7"/>
    <mergeCell ref="N7:R7"/>
    <mergeCell ref="W7:AA7"/>
  </mergeCells>
  <pageMargins left="0.7" right="0.7" top="0.75" bottom="0.75" header="0.3" footer="0.3"/>
  <pageSetup paperSize="9" scale="61" orientation="portrait" r:id="rId1"/>
  <customProperties>
    <customPr name="_pios_id" r:id="rId2"/>
  </customProperties>
  <ignoredErrors>
    <ignoredError sqref="K68:O70 T68 P68:S70 U68 T70 U70" formula="1"/>
  </ignoredError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pageSetUpPr fitToPage="1"/>
  </sheetPr>
  <dimension ref="A1:J100"/>
  <sheetViews>
    <sheetView showGridLines="0" tabSelected="1" topLeftCell="A34" zoomScaleNormal="100" workbookViewId="0">
      <selection activeCell="G70" sqref="G70"/>
    </sheetView>
  </sheetViews>
  <sheetFormatPr defaultColWidth="1.5546875" defaultRowHeight="13.8"/>
  <cols>
    <col min="1" max="1" width="24" style="221" customWidth="1"/>
    <col min="2" max="2" width="49.5546875" style="221" customWidth="1"/>
    <col min="3" max="7" width="11.6640625" style="221" customWidth="1"/>
    <col min="8" max="10" width="11.6640625" style="219" customWidth="1"/>
    <col min="11" max="16384" width="1.5546875" style="219"/>
  </cols>
  <sheetData>
    <row r="1" spans="1:10">
      <c r="A1" s="1566" t="s">
        <v>400</v>
      </c>
      <c r="B1" s="1566"/>
      <c r="C1" s="1566"/>
      <c r="D1" s="1566"/>
      <c r="E1" s="1566"/>
      <c r="F1" s="1566"/>
      <c r="G1" s="1566"/>
      <c r="H1" s="1566"/>
      <c r="I1" s="1566"/>
      <c r="J1" s="1566"/>
    </row>
    <row r="2" spans="1:10">
      <c r="A2" s="220"/>
      <c r="B2" s="220"/>
      <c r="G2" s="222"/>
    </row>
    <row r="3" spans="1:10">
      <c r="A3" s="223" t="str">
        <f>'T1'!A3</f>
        <v>United Kingdom</v>
      </c>
      <c r="C3" s="219"/>
      <c r="D3" s="219"/>
      <c r="E3" s="224"/>
      <c r="F3" s="219"/>
      <c r="G3" s="219"/>
    </row>
    <row r="4" spans="1:10">
      <c r="A4" s="225" t="str">
        <f>'T1'!A4</f>
        <v>Currency : GBP £</v>
      </c>
      <c r="C4" s="219"/>
      <c r="D4" s="219"/>
      <c r="E4" s="224"/>
      <c r="F4" s="219"/>
      <c r="G4" s="219"/>
    </row>
    <row r="5" spans="1:10">
      <c r="A5" s="226" t="str">
        <f>'T1'!A5</f>
        <v>All Entities</v>
      </c>
      <c r="C5" s="1563" t="s">
        <v>127</v>
      </c>
      <c r="D5" s="1564"/>
      <c r="E5" s="1564"/>
      <c r="F5" s="1563" t="s">
        <v>401</v>
      </c>
      <c r="G5" s="1564"/>
      <c r="H5" s="1564"/>
      <c r="I5" s="1564"/>
      <c r="J5" s="1565"/>
    </row>
    <row r="7" spans="1:10">
      <c r="A7" s="1561" t="s">
        <v>402</v>
      </c>
      <c r="B7" s="1562"/>
      <c r="C7" s="227">
        <v>2020</v>
      </c>
      <c r="D7" s="228">
        <v>2021</v>
      </c>
      <c r="E7" s="1180">
        <v>2022</v>
      </c>
      <c r="F7" s="1181">
        <v>2023</v>
      </c>
      <c r="G7" s="1180">
        <v>2024</v>
      </c>
      <c r="H7" s="228">
        <v>2025</v>
      </c>
      <c r="I7" s="1180">
        <v>2026</v>
      </c>
      <c r="J7" s="1182">
        <v>2027</v>
      </c>
    </row>
    <row r="8" spans="1:10">
      <c r="F8" s="249"/>
      <c r="H8" s="221"/>
      <c r="I8" s="221"/>
      <c r="J8" s="250"/>
    </row>
    <row r="9" spans="1:10">
      <c r="A9" s="230" t="s">
        <v>403</v>
      </c>
      <c r="B9" s="230"/>
      <c r="C9" s="231"/>
      <c r="D9" s="231"/>
      <c r="E9" s="231"/>
      <c r="F9" s="1202"/>
      <c r="G9" s="231"/>
      <c r="H9" s="231"/>
      <c r="I9" s="231"/>
      <c r="J9" s="1203"/>
    </row>
    <row r="10" spans="1:10" ht="3" customHeight="1">
      <c r="F10" s="249"/>
      <c r="H10" s="221"/>
      <c r="I10" s="221"/>
      <c r="J10" s="250"/>
    </row>
    <row r="11" spans="1:10">
      <c r="A11" s="232" t="s">
        <v>404</v>
      </c>
      <c r="B11" s="233"/>
      <c r="C11" s="234"/>
      <c r="D11" s="235"/>
      <c r="E11" s="1183"/>
      <c r="F11" s="234"/>
      <c r="G11" s="235"/>
      <c r="H11" s="235"/>
      <c r="I11" s="235"/>
      <c r="J11" s="1204"/>
    </row>
    <row r="12" spans="1:10">
      <c r="A12" s="237" t="s">
        <v>438</v>
      </c>
      <c r="B12" s="238"/>
      <c r="C12" s="239">
        <f>'T2 ANSP'!C12+'T2 MET'!C12+'T2 NSA'!C12</f>
        <v>790418.89953814808</v>
      </c>
      <c r="D12" s="240">
        <f>'T2 ANSP'!D12+'T2 MET'!D12+'T2 NSA'!D12</f>
        <v>775027.03415828105</v>
      </c>
      <c r="E12" s="1184">
        <f>'T2 ANSP'!E12+'T2 MET'!E12+'T2 NSA'!E12</f>
        <v>790935.59297112306</v>
      </c>
      <c r="F12" s="239">
        <f>'T2 ANSP'!F12+'T2 MET'!F12+'T2 NSA'!F12</f>
        <v>873485.10874478845</v>
      </c>
      <c r="G12" s="240">
        <f>'T2 ANSP'!G12+'T2 MET'!G12+'T2 NSA'!G12</f>
        <v>889282.98739770951</v>
      </c>
      <c r="H12" s="240">
        <f>'T2 ANSP'!H12+'T2 MET'!H12+'T2 NSA'!H12</f>
        <v>817876.36194929725</v>
      </c>
      <c r="I12" s="240">
        <f>'T2 ANSP'!I12+'T2 MET'!I12+'T2 NSA'!I12</f>
        <v>843573.0575339559</v>
      </c>
      <c r="J12" s="241">
        <f>'T2 ANSP'!J12+'T2 MET'!J12+'T2 NSA'!J12</f>
        <v>853850.0352506378</v>
      </c>
    </row>
    <row r="13" spans="1:10" ht="3" customHeight="1">
      <c r="F13" s="249"/>
      <c r="H13" s="221"/>
      <c r="I13" s="221"/>
      <c r="J13" s="250"/>
    </row>
    <row r="14" spans="1:10">
      <c r="A14" s="242" t="s">
        <v>405</v>
      </c>
      <c r="B14" s="243"/>
      <c r="C14" s="234"/>
      <c r="D14" s="235"/>
      <c r="E14" s="1183"/>
      <c r="F14" s="234"/>
      <c r="G14" s="235"/>
      <c r="H14" s="235"/>
      <c r="I14" s="235"/>
      <c r="J14" s="1204"/>
    </row>
    <row r="15" spans="1:10">
      <c r="A15" s="244" t="s">
        <v>406</v>
      </c>
      <c r="B15" s="245"/>
      <c r="C15" s="246">
        <f>'T2 ANSP'!C15+'T2 MET'!C15+'T2 NSA'!C15</f>
        <v>720893.33270966809</v>
      </c>
      <c r="D15" s="247">
        <f>'T2 ANSP'!D15+'T2 MET'!D15+'T2 NSA'!D15</f>
        <v>704464.75647896901</v>
      </c>
      <c r="E15" s="1185">
        <f>'T2 ANSP'!E15+'T2 MET'!E15+'T2 NSA'!E15</f>
        <v>720371.22729277099</v>
      </c>
      <c r="F15" s="1205">
        <f>'T2 ANSP'!F15+'T2 MET'!F15+'T2 NSA'!F15</f>
        <v>793891.5709302125</v>
      </c>
      <c r="G15" s="247">
        <f>'T2 ANSP'!G15+'T2 MET'!G15+'T2 NSA'!G15</f>
        <v>809173.43492681347</v>
      </c>
      <c r="H15" s="247">
        <f>'T2 ANSP'!H15+'T2 MET'!H15+'T2 NSA'!H15</f>
        <v>736071.59970952128</v>
      </c>
      <c r="I15" s="247">
        <f>'T2 ANSP'!I15+'T2 MET'!I15+'T2 NSA'!I15</f>
        <v>759373.63473515597</v>
      </c>
      <c r="J15" s="1206">
        <f>'T2 ANSP'!J15+'T2 MET'!J15+'T2 NSA'!J15</f>
        <v>768858.76376840577</v>
      </c>
    </row>
    <row r="16" spans="1:10">
      <c r="A16" s="249" t="s">
        <v>407</v>
      </c>
      <c r="B16" s="250"/>
      <c r="C16" s="251">
        <f>+'T1'!K65</f>
        <v>106.44304700754891</v>
      </c>
      <c r="D16" s="252">
        <f>+'T1'!L65</f>
        <v>108.5719079476999</v>
      </c>
      <c r="E16" s="1186">
        <f>+'T1'!M65</f>
        <v>110.7433461066539</v>
      </c>
      <c r="F16" s="251">
        <f>+'T1'!N65</f>
        <v>118.73399586480322</v>
      </c>
      <c r="G16" s="252">
        <f>+'T1'!O65</f>
        <v>119.75124598510098</v>
      </c>
      <c r="H16" s="252">
        <f>+'T1'!P65</f>
        <v>119.88965772959871</v>
      </c>
      <c r="I16" s="252">
        <f>+'T1'!Q65</f>
        <v>120.48871867171231</v>
      </c>
      <c r="J16" s="1207">
        <f>+'T1'!R65</f>
        <v>122.3836193976915</v>
      </c>
    </row>
    <row r="17" spans="1:10">
      <c r="A17" s="249" t="s">
        <v>408</v>
      </c>
      <c r="B17" s="250"/>
      <c r="C17" s="251">
        <f>'T1'!T65</f>
        <v>105.28410499999997</v>
      </c>
      <c r="D17" s="253">
        <f>'T1'!U65</f>
        <v>108.02149172999997</v>
      </c>
      <c r="E17" s="253">
        <f>'T1'!V65</f>
        <v>117.85144747742996</v>
      </c>
      <c r="F17" s="1208"/>
      <c r="G17" s="253"/>
      <c r="H17" s="253"/>
      <c r="I17" s="253"/>
      <c r="J17" s="1209"/>
    </row>
    <row r="18" spans="1:10">
      <c r="A18" s="254" t="s">
        <v>409</v>
      </c>
      <c r="B18" s="255"/>
      <c r="C18" s="256">
        <f>+C17/C16-1</f>
        <v>-1.0887907102722805E-2</v>
      </c>
      <c r="D18" s="257">
        <f>+D17/D16-1</f>
        <v>-5.0696006739153754E-3</v>
      </c>
      <c r="E18" s="257">
        <f>+E17/E16-1</f>
        <v>6.4185358494861067E-2</v>
      </c>
      <c r="F18" s="256"/>
      <c r="G18" s="257"/>
      <c r="H18" s="257"/>
      <c r="I18" s="257"/>
      <c r="J18" s="1210"/>
    </row>
    <row r="19" spans="1:10">
      <c r="A19" s="237" t="s">
        <v>439</v>
      </c>
      <c r="B19" s="238"/>
      <c r="C19" s="239">
        <f>+C15*C18</f>
        <v>-7849.019637515109</v>
      </c>
      <c r="D19" s="240">
        <f>+D15*D18</f>
        <v>-3571.3550041954122</v>
      </c>
      <c r="E19" s="240">
        <f>+E15*E18</f>
        <v>46237.285473169548</v>
      </c>
      <c r="F19" s="239"/>
      <c r="G19" s="240"/>
      <c r="H19" s="240"/>
      <c r="I19" s="240"/>
      <c r="J19" s="241"/>
    </row>
    <row r="20" spans="1:10" ht="3" customHeight="1">
      <c r="F20" s="249"/>
      <c r="H20" s="221"/>
      <c r="I20" s="221"/>
      <c r="J20" s="250"/>
    </row>
    <row r="21" spans="1:10">
      <c r="A21" s="232" t="s">
        <v>902</v>
      </c>
      <c r="B21" s="233"/>
      <c r="C21" s="234"/>
      <c r="D21" s="235"/>
      <c r="E21" s="1183"/>
      <c r="F21" s="234"/>
      <c r="G21" s="235"/>
      <c r="H21" s="235"/>
      <c r="I21" s="235"/>
      <c r="J21" s="1204"/>
    </row>
    <row r="22" spans="1:10">
      <c r="A22" s="260" t="s">
        <v>410</v>
      </c>
      <c r="B22" s="261"/>
      <c r="C22" s="262">
        <f>'T2 ANSP'!C22+'T2 MET'!C22+'T2 NSA'!C22</f>
        <v>0</v>
      </c>
      <c r="D22" s="262">
        <f>'T2 ANSP'!D22+'T2 MET'!D22+'T2 NSA'!D22</f>
        <v>0</v>
      </c>
      <c r="E22" s="262">
        <f>'T2 ANSP'!E22+'T2 MET'!E22+'T2 NSA'!E22</f>
        <v>0</v>
      </c>
      <c r="F22" s="262"/>
      <c r="G22" s="263"/>
      <c r="H22" s="263"/>
      <c r="I22" s="263"/>
      <c r="J22" s="1211"/>
    </row>
    <row r="23" spans="1:10">
      <c r="A23" s="264" t="s">
        <v>411</v>
      </c>
      <c r="B23" s="265"/>
      <c r="C23" s="246">
        <f>'T2 ANSP'!C23+'T2 MET'!C23+'T2 NSA'!C23</f>
        <v>-3711.3231999999698</v>
      </c>
      <c r="D23" s="246">
        <f>'T2 ANSP'!D23+'T2 MET'!D23+'T2 NSA'!D23</f>
        <v>0.26560000000608852</v>
      </c>
      <c r="E23" s="246">
        <f>'T2 ANSP'!E23+'T2 MET'!E23+'T2 NSA'!E23</f>
        <v>-85.705767720006406</v>
      </c>
      <c r="F23" s="246"/>
      <c r="G23" s="266"/>
      <c r="H23" s="266"/>
      <c r="I23" s="266"/>
      <c r="J23" s="1212"/>
    </row>
    <row r="24" spans="1:10">
      <c r="A24" s="264" t="s">
        <v>412</v>
      </c>
      <c r="B24" s="265"/>
      <c r="C24" s="246">
        <f>'T2 ANSP'!C24+'T2 MET'!C24+'T2 NSA'!C24</f>
        <v>-3808.3130923808203</v>
      </c>
      <c r="D24" s="246">
        <f>'T2 ANSP'!D24+'T2 MET'!D24+'T2 NSA'!D24</f>
        <v>-6609.2647955020075</v>
      </c>
      <c r="E24" s="246">
        <f>'T2 ANSP'!E24+'T2 MET'!E24+'T2 NSA'!E24</f>
        <v>2137.4447000479995</v>
      </c>
      <c r="F24" s="246"/>
      <c r="G24" s="266"/>
      <c r="H24" s="266"/>
      <c r="I24" s="266"/>
      <c r="J24" s="1212"/>
    </row>
    <row r="25" spans="1:10">
      <c r="A25" s="264" t="s">
        <v>413</v>
      </c>
      <c r="B25" s="265"/>
      <c r="C25" s="246">
        <f>'T2 ANSP'!C25+'T2 MET'!C25+'T2 NSA'!C25</f>
        <v>0</v>
      </c>
      <c r="D25" s="246">
        <f>'T2 ANSP'!D25+'T2 MET'!D25+'T2 NSA'!D25</f>
        <v>0</v>
      </c>
      <c r="E25" s="246">
        <f>'T2 ANSP'!E25+'T2 MET'!E25+'T2 NSA'!E25</f>
        <v>0</v>
      </c>
      <c r="F25" s="246"/>
      <c r="G25" s="266"/>
      <c r="H25" s="266"/>
      <c r="I25" s="266"/>
      <c r="J25" s="1212"/>
    </row>
    <row r="26" spans="1:10">
      <c r="A26" s="264" t="s">
        <v>414</v>
      </c>
      <c r="B26" s="265"/>
      <c r="C26" s="246">
        <f>'T2 ANSP'!C26+'T2 MET'!C26+'T2 NSA'!C26</f>
        <v>0</v>
      </c>
      <c r="D26" s="246">
        <f>'T2 ANSP'!D26+'T2 MET'!D26+'T2 NSA'!D26</f>
        <v>0</v>
      </c>
      <c r="E26" s="246">
        <f>'T2 ANSP'!E26+'T2 MET'!E26+'T2 NSA'!E26</f>
        <v>0</v>
      </c>
      <c r="F26" s="246"/>
      <c r="G26" s="266"/>
      <c r="H26" s="266"/>
      <c r="I26" s="266"/>
      <c r="J26" s="1212"/>
    </row>
    <row r="27" spans="1:10">
      <c r="A27" s="264" t="s">
        <v>415</v>
      </c>
      <c r="B27" s="265"/>
      <c r="C27" s="246">
        <f>'T2 ANSP'!C27+'T2 MET'!C27+'T2 NSA'!C27</f>
        <v>0</v>
      </c>
      <c r="D27" s="246">
        <f>'T2 ANSP'!D27+'T2 MET'!D27+'T2 NSA'!D27</f>
        <v>0</v>
      </c>
      <c r="E27" s="246">
        <f>'T2 ANSP'!E27+'T2 MET'!E27+'T2 NSA'!E27</f>
        <v>0</v>
      </c>
      <c r="F27" s="246"/>
      <c r="G27" s="266"/>
      <c r="H27" s="266"/>
      <c r="I27" s="266"/>
      <c r="J27" s="1212"/>
    </row>
    <row r="28" spans="1:10">
      <c r="A28" s="269" t="s">
        <v>446</v>
      </c>
      <c r="B28" s="270"/>
      <c r="C28" s="239">
        <f>'T2 ANSP'!C28+'T2 MET'!C28+'T2 NSA'!C28</f>
        <v>-7519.6362923807901</v>
      </c>
      <c r="D28" s="239">
        <f>'T2 ANSP'!D28+'T2 MET'!D28+'T2 NSA'!D28</f>
        <v>-6608.9991955020014</v>
      </c>
      <c r="E28" s="239">
        <f>'T2 ANSP'!E28+'T2 MET'!E28+'T2 NSA'!E28</f>
        <v>2051.7389323279931</v>
      </c>
      <c r="F28" s="239"/>
      <c r="G28" s="240"/>
      <c r="H28" s="240"/>
      <c r="I28" s="240"/>
      <c r="J28" s="241"/>
    </row>
    <row r="29" spans="1:10" ht="10.95" customHeight="1">
      <c r="F29" s="249"/>
      <c r="H29" s="221"/>
      <c r="I29" s="221"/>
      <c r="J29" s="250"/>
    </row>
    <row r="30" spans="1:10">
      <c r="A30" s="230" t="s">
        <v>416</v>
      </c>
      <c r="B30" s="230"/>
      <c r="C30" s="231"/>
      <c r="D30" s="231"/>
      <c r="E30" s="231"/>
      <c r="F30" s="1202"/>
      <c r="G30" s="231"/>
      <c r="H30" s="231"/>
      <c r="I30" s="231"/>
      <c r="J30" s="1203"/>
    </row>
    <row r="31" spans="1:10" ht="1.95" customHeight="1">
      <c r="F31" s="249"/>
      <c r="H31" s="221"/>
      <c r="I31" s="221"/>
      <c r="J31" s="250"/>
    </row>
    <row r="32" spans="1:10">
      <c r="A32" s="232" t="s">
        <v>417</v>
      </c>
      <c r="B32" s="233"/>
      <c r="C32" s="234"/>
      <c r="D32" s="235"/>
      <c r="E32" s="1183"/>
      <c r="F32" s="234"/>
      <c r="G32" s="235"/>
      <c r="H32" s="235"/>
      <c r="I32" s="235"/>
      <c r="J32" s="1204"/>
    </row>
    <row r="33" spans="1:10">
      <c r="A33" s="249" t="s">
        <v>418</v>
      </c>
      <c r="B33" s="250"/>
      <c r="C33" s="246">
        <f>'T2 ANSP'!C33+'T2 MET'!C33+'T2 NSA'!C33</f>
        <v>689955.37778031058</v>
      </c>
      <c r="D33" s="247">
        <f>'T2 ANSP'!D33+'T2 MET'!D33+'T2 NSA'!D33</f>
        <v>674270.83242374472</v>
      </c>
      <c r="E33" s="1185">
        <f>'T2 ANSP'!E33+'T2 MET'!E33+'T2 NSA'!E33</f>
        <v>688739.42261568108</v>
      </c>
      <c r="F33" s="1205">
        <f>'T2 ANSP'!F33+'T2 MET'!F33+'T2 NSA'!F33</f>
        <v>758911.57684834499</v>
      </c>
      <c r="G33" s="247">
        <f>'T2 ANSP'!G33+'T2 MET'!G33+'T2 NSA'!G33</f>
        <v>770018.79954953259</v>
      </c>
      <c r="H33" s="247">
        <f>'T2 ANSP'!H33+'T2 MET'!H33+'T2 NSA'!H33</f>
        <v>696737.90630166326</v>
      </c>
      <c r="I33" s="247">
        <f>'T2 ANSP'!I33+'T2 MET'!I33+'T2 NSA'!I33</f>
        <v>720194.95390332956</v>
      </c>
      <c r="J33" s="1206">
        <f>'T2 ANSP'!J33+'T2 MET'!J33+'T2 NSA'!J33</f>
        <v>729122.11112990498</v>
      </c>
    </row>
    <row r="34" spans="1:10">
      <c r="A34" s="271" t="s">
        <v>879</v>
      </c>
      <c r="B34" s="272"/>
      <c r="C34" s="273"/>
      <c r="D34" s="273"/>
      <c r="E34" s="1187"/>
      <c r="F34" s="1213"/>
      <c r="G34" s="273"/>
      <c r="H34" s="273"/>
      <c r="I34" s="273"/>
      <c r="J34" s="1214"/>
    </row>
    <row r="35" spans="1:10">
      <c r="A35" s="271" t="s">
        <v>882</v>
      </c>
      <c r="B35" s="272"/>
      <c r="C35" s="273"/>
      <c r="D35" s="273"/>
      <c r="E35" s="1187"/>
      <c r="F35" s="1213"/>
      <c r="G35" s="273"/>
      <c r="H35" s="273"/>
      <c r="I35" s="273"/>
      <c r="J35" s="1214"/>
    </row>
    <row r="36" spans="1:10">
      <c r="A36" s="271" t="s">
        <v>880</v>
      </c>
      <c r="B36" s="272"/>
      <c r="C36" s="273"/>
      <c r="D36" s="273"/>
      <c r="E36" s="1187"/>
      <c r="F36" s="1213"/>
      <c r="G36" s="273"/>
      <c r="H36" s="273"/>
      <c r="I36" s="273"/>
      <c r="J36" s="1214"/>
    </row>
    <row r="37" spans="1:10">
      <c r="A37" s="271" t="s">
        <v>881</v>
      </c>
      <c r="B37" s="272"/>
      <c r="C37" s="273"/>
      <c r="D37" s="273"/>
      <c r="E37" s="1187"/>
      <c r="F37" s="1213"/>
      <c r="G37" s="273"/>
      <c r="H37" s="273"/>
      <c r="I37" s="273"/>
      <c r="J37" s="1214"/>
    </row>
    <row r="38" spans="1:10">
      <c r="A38" s="249" t="s">
        <v>419</v>
      </c>
      <c r="B38" s="250"/>
      <c r="C38" s="246">
        <f>'T1'!K68</f>
        <v>12647.945</v>
      </c>
      <c r="D38" s="274">
        <f>'T1'!L68</f>
        <v>12891</v>
      </c>
      <c r="E38" s="294">
        <f>'T1'!M68</f>
        <v>13183</v>
      </c>
      <c r="F38" s="246">
        <f>'T1'!N68</f>
        <v>11956</v>
      </c>
      <c r="G38" s="274">
        <f>'T1'!O68</f>
        <v>12930</v>
      </c>
      <c r="H38" s="274">
        <f>'T1'!P68</f>
        <v>13247</v>
      </c>
      <c r="I38" s="274">
        <f>'T1'!Q68</f>
        <v>13490</v>
      </c>
      <c r="J38" s="275">
        <f>'T1'!R68</f>
        <v>13700</v>
      </c>
    </row>
    <row r="39" spans="1:10">
      <c r="A39" s="271" t="s">
        <v>420</v>
      </c>
      <c r="B39" s="272"/>
      <c r="C39" s="246">
        <f>'T1'!T68</f>
        <v>5099.1790000000001</v>
      </c>
      <c r="D39" s="246">
        <f>'T1'!U68</f>
        <v>5531.451</v>
      </c>
      <c r="E39" s="246">
        <f>'T1'!V68</f>
        <v>10782.061</v>
      </c>
      <c r="F39" s="246"/>
      <c r="G39" s="274"/>
      <c r="H39" s="274"/>
      <c r="I39" s="274"/>
      <c r="J39" s="1215"/>
    </row>
    <row r="40" spans="1:10">
      <c r="A40" s="276" t="s">
        <v>421</v>
      </c>
      <c r="B40" s="277"/>
      <c r="C40" s="278">
        <f>+C39/C38-1</f>
        <v>-0.59683735183857922</v>
      </c>
      <c r="D40" s="278">
        <f>+D39/D38-1</f>
        <v>-0.5709059809169188</v>
      </c>
      <c r="E40" s="278">
        <f>+E39/E38-1</f>
        <v>-0.18212387165288635</v>
      </c>
      <c r="F40" s="1216"/>
      <c r="G40" s="278"/>
      <c r="H40" s="278"/>
      <c r="I40" s="278"/>
      <c r="J40" s="1378"/>
    </row>
    <row r="41" spans="1:10">
      <c r="A41" s="237" t="s">
        <v>903</v>
      </c>
      <c r="B41" s="238"/>
      <c r="C41" s="239">
        <f>'T2 ANSP'!C41+'T2 MET'!C41+'T2 NSA'!C41</f>
        <v>381433.10393885343</v>
      </c>
      <c r="D41" s="1188">
        <f>'T2 ANSP'!D41+'T2 MET'!D41+'T2 NSA'!D41</f>
        <v>355277.33436190058</v>
      </c>
      <c r="E41" s="1218">
        <f>'T2 ANSP'!E41+'T2 MET'!E41+'T2 NSA'!E41</f>
        <v>95131.355611651379</v>
      </c>
      <c r="F41" s="288">
        <f>'T2 ANSP'!F41+'T2 MET'!F41+'T2 NSA'!F41</f>
        <v>0</v>
      </c>
      <c r="G41" s="239">
        <f>'T2 ANSP'!G41+'T2 MET'!G41+'T2 NSA'!G41</f>
        <v>0</v>
      </c>
      <c r="H41" s="239">
        <f>'T2 ANSP'!H41+'T2 MET'!H41+'T2 NSA'!H41</f>
        <v>0</v>
      </c>
      <c r="I41" s="1188">
        <f>'T2 ANSP'!I41+'T2 MET'!I41+'T2 NSA'!I41</f>
        <v>0</v>
      </c>
      <c r="J41" s="1218">
        <f>'T2 ANSP'!J41+'T2 MET'!J41+'T2 NSA'!J41</f>
        <v>0</v>
      </c>
    </row>
    <row r="42" spans="1:10" ht="3" customHeight="1">
      <c r="F42" s="249"/>
      <c r="H42" s="221"/>
      <c r="I42" s="221"/>
      <c r="J42" s="250"/>
    </row>
    <row r="43" spans="1:10">
      <c r="A43" s="242" t="s">
        <v>422</v>
      </c>
      <c r="B43" s="243"/>
      <c r="C43" s="279"/>
      <c r="D43" s="280"/>
      <c r="E43" s="1189"/>
      <c r="F43" s="279"/>
      <c r="G43" s="280"/>
      <c r="H43" s="280"/>
      <c r="I43" s="280"/>
      <c r="J43" s="1219"/>
    </row>
    <row r="44" spans="1:10">
      <c r="A44" s="282" t="s">
        <v>883</v>
      </c>
      <c r="B44" s="283"/>
      <c r="C44" s="263">
        <f>'T2 ANSP'!C44+'T2 MET'!C44+'T2 NSA'!C44</f>
        <v>59960.382282325212</v>
      </c>
      <c r="D44" s="263">
        <f>'T2 ANSP'!D44+'T2 MET'!D44+'T2 NSA'!D44</f>
        <v>57522.318184718417</v>
      </c>
      <c r="E44" s="263">
        <f>'T2 ANSP'!E44+'T2 MET'!E44+'T2 NSA'!E44</f>
        <v>18612.362213231005</v>
      </c>
      <c r="F44" s="262"/>
      <c r="G44" s="263"/>
      <c r="H44" s="263"/>
      <c r="I44" s="263"/>
      <c r="J44" s="1211"/>
    </row>
    <row r="45" spans="1:10">
      <c r="A45" s="284" t="s">
        <v>884</v>
      </c>
      <c r="B45" s="285"/>
      <c r="C45" s="286">
        <f>'T2 ANSP'!C45+'T2 MET'!C45+'T2 NSA'!C45</f>
        <v>-4460.2106973964655</v>
      </c>
      <c r="D45" s="286">
        <f>'T2 ANSP'!D45+'T2 MET'!D45+'T2 NSA'!D45</f>
        <v>-7443.1509429317057</v>
      </c>
      <c r="E45" s="286">
        <f>'T2 ANSP'!E45+'T2 MET'!E45+'T2 NSA'!E45</f>
        <v>3839.4642744293819</v>
      </c>
      <c r="F45" s="1220"/>
      <c r="G45" s="286"/>
      <c r="H45" s="286"/>
      <c r="I45" s="286"/>
      <c r="J45" s="1221"/>
    </row>
    <row r="46" spans="1:10">
      <c r="A46" s="269" t="s">
        <v>885</v>
      </c>
      <c r="B46" s="270"/>
      <c r="C46" s="240">
        <f>'T2 ANSP'!C46+'T2 MET'!C46+'T2 NSA'!C46</f>
        <v>55500.171584928743</v>
      </c>
      <c r="D46" s="240">
        <f>'T2 ANSP'!D46+'T2 MET'!D46+'T2 NSA'!D46</f>
        <v>50079.167241786708</v>
      </c>
      <c r="E46" s="240">
        <f>'T2 ANSP'!E46+'T2 MET'!E46+'T2 NSA'!E46</f>
        <v>22451.82648766039</v>
      </c>
      <c r="F46" s="239"/>
      <c r="G46" s="240"/>
      <c r="H46" s="240"/>
      <c r="I46" s="240"/>
      <c r="J46" s="241"/>
    </row>
    <row r="47" spans="1:10" ht="10.95" customHeight="1">
      <c r="F47" s="249"/>
      <c r="H47" s="221"/>
      <c r="I47" s="221"/>
      <c r="J47" s="250"/>
    </row>
    <row r="48" spans="1:10">
      <c r="A48" s="230" t="s">
        <v>423</v>
      </c>
      <c r="B48" s="230"/>
      <c r="C48" s="231"/>
      <c r="D48" s="231"/>
      <c r="E48" s="231"/>
      <c r="F48" s="1202"/>
      <c r="G48" s="231"/>
      <c r="H48" s="231"/>
      <c r="I48" s="231"/>
      <c r="J48" s="1203"/>
    </row>
    <row r="49" spans="1:10" ht="3.6" customHeight="1">
      <c r="F49" s="249"/>
      <c r="H49" s="221"/>
      <c r="I49" s="221"/>
      <c r="J49" s="250"/>
    </row>
    <row r="50" spans="1:10">
      <c r="A50" s="232" t="s">
        <v>424</v>
      </c>
      <c r="B50" s="233"/>
      <c r="C50" s="234"/>
      <c r="D50" s="235"/>
      <c r="E50" s="1183"/>
      <c r="F50" s="234"/>
      <c r="G50" s="235"/>
      <c r="H50" s="235"/>
      <c r="I50" s="235"/>
      <c r="J50" s="1204"/>
    </row>
    <row r="51" spans="1:10">
      <c r="A51" s="271" t="s">
        <v>886</v>
      </c>
      <c r="B51" s="272"/>
      <c r="C51" s="266">
        <f>'T2 ANSP'!C51+'T2 MET'!C51+'T2 NSA'!C51</f>
        <v>0</v>
      </c>
      <c r="D51" s="266">
        <f>'T2 ANSP'!D51+'T2 MET'!D51+'T2 NSA'!D51</f>
        <v>0</v>
      </c>
      <c r="E51" s="266">
        <f>'T2 ANSP'!E51+'T2 MET'!E51+'T2 NSA'!E51</f>
        <v>0</v>
      </c>
      <c r="F51" s="246"/>
      <c r="G51" s="266"/>
      <c r="H51" s="266"/>
      <c r="I51" s="266"/>
      <c r="J51" s="1212"/>
    </row>
    <row r="52" spans="1:10">
      <c r="A52" s="271" t="s">
        <v>887</v>
      </c>
      <c r="B52" s="272"/>
      <c r="C52" s="266">
        <f>'T2 ANSP'!C52+'T2 MET'!C52+'T2 NSA'!C52</f>
        <v>0</v>
      </c>
      <c r="D52" s="266">
        <f>'T2 ANSP'!D52+'T2 MET'!D52+'T2 NSA'!D52</f>
        <v>0</v>
      </c>
      <c r="E52" s="266">
        <f>'T2 ANSP'!E52+'T2 MET'!E52+'T2 NSA'!E52</f>
        <v>0</v>
      </c>
      <c r="F52" s="246"/>
      <c r="G52" s="266"/>
      <c r="H52" s="266"/>
      <c r="I52" s="266"/>
      <c r="J52" s="1212"/>
    </row>
    <row r="53" spans="1:10">
      <c r="A53" s="249" t="s">
        <v>904</v>
      </c>
      <c r="B53" s="250"/>
      <c r="C53" s="266">
        <f>'T2 ANSP'!C53+'T2 MET'!C53+'T2 NSA'!C53</f>
        <v>0</v>
      </c>
      <c r="D53" s="266">
        <f>'T2 ANSP'!D53+'T2 MET'!D53+'T2 NSA'!D53</f>
        <v>0</v>
      </c>
      <c r="E53" s="266">
        <f>'T2 ANSP'!E53+'T2 MET'!E53+'T2 NSA'!E53</f>
        <v>0</v>
      </c>
      <c r="F53" s="246"/>
      <c r="G53" s="266"/>
      <c r="H53" s="266"/>
      <c r="I53" s="266"/>
      <c r="J53" s="1212"/>
    </row>
    <row r="54" spans="1:10" s="290" customFormat="1">
      <c r="A54" s="269" t="s">
        <v>905</v>
      </c>
      <c r="B54" s="270"/>
      <c r="C54" s="288">
        <f>'T2 ANSP'!C54+'T2 MET'!C54+'T2 NSA'!C54</f>
        <v>0</v>
      </c>
      <c r="D54" s="288">
        <f>'T2 ANSP'!D54+'T2 MET'!D54+'T2 NSA'!D54</f>
        <v>0</v>
      </c>
      <c r="E54" s="288">
        <f>'T2 ANSP'!E54+'T2 MET'!E54+'T2 NSA'!E54</f>
        <v>0</v>
      </c>
      <c r="F54" s="239"/>
      <c r="G54" s="288"/>
      <c r="H54" s="288"/>
      <c r="I54" s="288"/>
      <c r="J54" s="289"/>
    </row>
    <row r="55" spans="1:10" ht="12" customHeight="1">
      <c r="F55" s="249"/>
      <c r="H55" s="221"/>
      <c r="I55" s="221"/>
      <c r="J55" s="250"/>
    </row>
    <row r="56" spans="1:10">
      <c r="A56" s="230" t="s">
        <v>425</v>
      </c>
      <c r="B56" s="230"/>
      <c r="C56" s="291"/>
      <c r="D56" s="291"/>
      <c r="E56" s="291"/>
      <c r="F56" s="1222"/>
      <c r="G56" s="291"/>
      <c r="H56" s="291"/>
      <c r="I56" s="291"/>
      <c r="J56" s="1223"/>
    </row>
    <row r="57" spans="1:10" ht="3.6" customHeight="1">
      <c r="F57" s="249"/>
      <c r="H57" s="221"/>
      <c r="I57" s="221"/>
      <c r="J57" s="250"/>
    </row>
    <row r="58" spans="1:10">
      <c r="A58" s="232" t="s">
        <v>294</v>
      </c>
      <c r="B58" s="233"/>
      <c r="C58" s="234"/>
      <c r="D58" s="235"/>
      <c r="E58" s="1183"/>
      <c r="F58" s="234"/>
      <c r="G58" s="235"/>
      <c r="H58" s="235"/>
      <c r="I58" s="235"/>
      <c r="J58" s="1204"/>
    </row>
    <row r="59" spans="1:10" s="293" customFormat="1">
      <c r="A59" s="269" t="s">
        <v>906</v>
      </c>
      <c r="B59" s="270"/>
      <c r="C59" s="266">
        <f>'T2 ANSP'!C59+'T2 MET'!C59+'T2 NSA'!C59</f>
        <v>0</v>
      </c>
      <c r="D59" s="240">
        <f>'T2 ANSP'!D59+'T2 MET'!D59+'T2 NSA'!D59</f>
        <v>0</v>
      </c>
      <c r="E59" s="240">
        <f>'T2 ANSP'!E59+'T2 MET'!E59+'T2 NSA'!E59</f>
        <v>0</v>
      </c>
      <c r="F59" s="239"/>
      <c r="G59" s="240"/>
      <c r="H59" s="240"/>
      <c r="I59" s="240"/>
      <c r="J59" s="241"/>
    </row>
    <row r="60" spans="1:10" ht="3.6" customHeight="1">
      <c r="C60" s="294"/>
      <c r="D60" s="294"/>
      <c r="E60" s="294"/>
      <c r="F60" s="1224"/>
      <c r="G60" s="294"/>
      <c r="H60" s="294"/>
      <c r="I60" s="294"/>
      <c r="J60" s="275"/>
    </row>
    <row r="61" spans="1:10">
      <c r="A61" s="232" t="s">
        <v>426</v>
      </c>
      <c r="B61" s="233"/>
      <c r="C61" s="295"/>
      <c r="D61" s="296"/>
      <c r="E61" s="1191"/>
      <c r="F61" s="295"/>
      <c r="G61" s="296"/>
      <c r="H61" s="296"/>
      <c r="I61" s="296"/>
      <c r="J61" s="1225"/>
    </row>
    <row r="62" spans="1:10">
      <c r="A62" s="244" t="s">
        <v>427</v>
      </c>
      <c r="B62" s="245"/>
      <c r="C62" s="969">
        <f>'T2 ANSP'!C62+'T2 MET'!C62+'T2 NSA'!C62</f>
        <v>55.144862781229961</v>
      </c>
      <c r="D62" s="969">
        <f>'T2 ANSP'!D62+'T2 MET'!D62+'T2 NSA'!D62</f>
        <v>0</v>
      </c>
      <c r="E62" s="969">
        <f>'T2 ANSP'!E62+'T2 MET'!E62+'T2 NSA'!E62</f>
        <v>0</v>
      </c>
      <c r="F62" s="1006"/>
      <c r="G62" s="258"/>
      <c r="H62" s="258"/>
      <c r="I62" s="258"/>
      <c r="J62" s="259"/>
    </row>
    <row r="63" spans="1:10">
      <c r="A63" s="298" t="s">
        <v>907</v>
      </c>
      <c r="B63" s="299"/>
      <c r="C63" s="266">
        <f>'T2 ANSP'!C63+'T2 MET'!C63+'T2 NSA'!C63</f>
        <v>4635.6626138413685</v>
      </c>
      <c r="D63" s="266">
        <f>'T2 ANSP'!D63+'T2 MET'!D63+'T2 NSA'!D63</f>
        <v>0</v>
      </c>
      <c r="E63" s="266">
        <f>'T2 ANSP'!E63+'T2 MET'!E63+'T2 NSA'!E63</f>
        <v>0</v>
      </c>
      <c r="F63" s="1006"/>
      <c r="G63" s="258"/>
      <c r="H63" s="258"/>
      <c r="I63" s="258"/>
      <c r="J63" s="259"/>
    </row>
    <row r="64" spans="1:10" ht="3" customHeight="1">
      <c r="C64" s="294"/>
      <c r="D64" s="294"/>
      <c r="E64" s="294"/>
      <c r="F64" s="1224"/>
      <c r="G64" s="294"/>
      <c r="H64" s="294"/>
      <c r="I64" s="294"/>
      <c r="J64" s="275"/>
    </row>
    <row r="65" spans="1:10">
      <c r="A65" s="232" t="s">
        <v>428</v>
      </c>
      <c r="B65" s="233"/>
      <c r="C65" s="295"/>
      <c r="D65" s="296"/>
      <c r="E65" s="1191"/>
      <c r="F65" s="295"/>
      <c r="G65" s="296"/>
      <c r="H65" s="296"/>
      <c r="I65" s="296"/>
      <c r="J65" s="1225"/>
    </row>
    <row r="66" spans="1:10">
      <c r="A66" s="298" t="s">
        <v>429</v>
      </c>
      <c r="B66" s="299"/>
      <c r="C66" s="770"/>
      <c r="D66" s="771"/>
      <c r="E66" s="1193"/>
      <c r="F66" s="770"/>
      <c r="G66" s="771"/>
      <c r="H66" s="771"/>
      <c r="I66" s="771"/>
      <c r="J66" s="1226"/>
    </row>
    <row r="67" spans="1:10" ht="3" customHeight="1">
      <c r="C67" s="294"/>
      <c r="D67" s="294"/>
      <c r="E67" s="294"/>
      <c r="F67" s="1224"/>
      <c r="G67" s="294"/>
      <c r="H67" s="294"/>
      <c r="I67" s="294"/>
      <c r="J67" s="275"/>
    </row>
    <row r="68" spans="1:10">
      <c r="A68" s="232" t="s">
        <v>302</v>
      </c>
      <c r="B68" s="233"/>
      <c r="C68" s="301"/>
      <c r="D68" s="302"/>
      <c r="E68" s="1194"/>
      <c r="F68" s="301"/>
      <c r="G68" s="302"/>
      <c r="H68" s="302"/>
      <c r="I68" s="302"/>
      <c r="J68" s="1227"/>
    </row>
    <row r="69" spans="1:10">
      <c r="A69" s="303" t="s">
        <v>888</v>
      </c>
      <c r="B69" s="304"/>
      <c r="C69" s="263">
        <f>'T2 ANSP'!C69+'T2 MET'!C69+'T2 NSA'!C69</f>
        <v>-166.68438219613321</v>
      </c>
      <c r="D69" s="263">
        <f>'T2 ANSP'!D69+'T2 MET'!D69+'T2 NSA'!D69</f>
        <v>-10399.967789999999</v>
      </c>
      <c r="E69" s="263">
        <f>'T2 ANSP'!E69+'T2 MET'!E69+'T2 NSA'!E69</f>
        <v>-31197.739202655848</v>
      </c>
      <c r="F69" s="262"/>
      <c r="G69" s="263"/>
      <c r="H69" s="263"/>
      <c r="I69" s="263"/>
      <c r="J69" s="1211"/>
    </row>
    <row r="70" spans="1:10">
      <c r="A70" s="271" t="s">
        <v>908</v>
      </c>
      <c r="B70" s="272"/>
      <c r="C70" s="266">
        <f>'T2 ANSP'!C70+'T2 MET'!C70+'T2 NSA'!C70</f>
        <v>0</v>
      </c>
      <c r="D70" s="266">
        <f>'T2 ANSP'!D70+'T2 MET'!D70+'T2 NSA'!D70</f>
        <v>0</v>
      </c>
      <c r="E70" s="266">
        <f>'T2 ANSP'!E70+'T2 MET'!E70+'T2 NSA'!E70</f>
        <v>0</v>
      </c>
      <c r="F70" s="246"/>
      <c r="G70" s="266"/>
      <c r="H70" s="266"/>
      <c r="I70" s="266"/>
      <c r="J70" s="1212"/>
    </row>
    <row r="71" spans="1:10">
      <c r="A71" s="271" t="s">
        <v>889</v>
      </c>
      <c r="B71" s="272"/>
      <c r="C71" s="266">
        <f>'T2 ANSP'!C71+'T2 MET'!C71+'T2 NSA'!C71</f>
        <v>-7306.3912952168575</v>
      </c>
      <c r="D71" s="266">
        <f>'T2 ANSP'!D71+'T2 MET'!D71+'T2 NSA'!D71</f>
        <v>-2637.4695319517432</v>
      </c>
      <c r="E71" s="266">
        <f>'T2 ANSP'!E71+'T2 MET'!E71+'T2 NSA'!E71</f>
        <v>0</v>
      </c>
      <c r="F71" s="246"/>
      <c r="G71" s="266"/>
      <c r="H71" s="266"/>
      <c r="I71" s="266"/>
      <c r="J71" s="1212"/>
    </row>
    <row r="72" spans="1:10">
      <c r="A72" s="271" t="s">
        <v>890</v>
      </c>
      <c r="B72" s="272"/>
      <c r="C72" s="266">
        <f>'T2 ANSP'!C72+'T2 MET'!C72+'T2 NSA'!C72</f>
        <v>0</v>
      </c>
      <c r="D72" s="266">
        <f>'T2 ANSP'!D72+'T2 MET'!D72+'T2 NSA'!D72</f>
        <v>0</v>
      </c>
      <c r="E72" s="266">
        <f>'T2 ANSP'!E72+'T2 MET'!E72+'T2 NSA'!E72</f>
        <v>0</v>
      </c>
      <c r="F72" s="246"/>
      <c r="G72" s="266"/>
      <c r="H72" s="266"/>
      <c r="I72" s="266"/>
      <c r="J72" s="1212"/>
    </row>
    <row r="73" spans="1:10">
      <c r="A73" s="306" t="s">
        <v>891</v>
      </c>
      <c r="B73" s="307"/>
      <c r="C73" s="240">
        <f>'T2 ANSP'!C73+'T2 MET'!C73+'T2 NSA'!C73</f>
        <v>-7473.0756774129904</v>
      </c>
      <c r="D73" s="240">
        <f>'T2 ANSP'!D73+'T2 MET'!D73+'T2 NSA'!D73</f>
        <v>-13037.437321951742</v>
      </c>
      <c r="E73" s="240">
        <f>'T2 ANSP'!E73+'T2 MET'!E73+'T2 NSA'!E73</f>
        <v>-31197.739202655848</v>
      </c>
      <c r="F73" s="239"/>
      <c r="G73" s="240"/>
      <c r="H73" s="240"/>
      <c r="I73" s="240"/>
      <c r="J73" s="241"/>
    </row>
    <row r="74" spans="1:10" ht="4.2" customHeight="1">
      <c r="A74" s="309"/>
      <c r="B74" s="309"/>
      <c r="C74" s="310"/>
      <c r="D74" s="310"/>
      <c r="E74" s="310"/>
      <c r="F74" s="1228"/>
      <c r="G74" s="310"/>
      <c r="H74" s="310"/>
      <c r="I74" s="310"/>
      <c r="J74" s="1229"/>
    </row>
    <row r="75" spans="1:10">
      <c r="A75" s="232" t="s">
        <v>430</v>
      </c>
      <c r="B75" s="233"/>
      <c r="C75" s="301"/>
      <c r="D75" s="302"/>
      <c r="E75" s="1194"/>
      <c r="F75" s="301"/>
      <c r="G75" s="302"/>
      <c r="H75" s="302"/>
      <c r="I75" s="302"/>
      <c r="J75" s="1227"/>
    </row>
    <row r="76" spans="1:10" s="293" customFormat="1">
      <c r="A76" s="306" t="s">
        <v>892</v>
      </c>
      <c r="B76" s="307"/>
      <c r="C76" s="240">
        <f>'T2 ANSP'!C76+'T2 MET'!C76+'T2 NSA'!C76</f>
        <v>0</v>
      </c>
      <c r="D76" s="240">
        <f>'T2 ANSP'!D76+'T2 MET'!D76+'T2 NSA'!D76</f>
        <v>0</v>
      </c>
      <c r="E76" s="240">
        <f>'T2 ANSP'!E76+'T2 MET'!E76+'T2 NSA'!E76</f>
        <v>0</v>
      </c>
      <c r="F76" s="240">
        <f>'T2 ANSP'!F76+'T2 MET'!F76+'T2 NSA'!F76</f>
        <v>-1212</v>
      </c>
      <c r="G76" s="240"/>
      <c r="H76" s="240"/>
      <c r="I76" s="240"/>
      <c r="J76" s="241"/>
    </row>
    <row r="77" spans="1:10" ht="10.199999999999999" customHeight="1">
      <c r="A77" s="309"/>
      <c r="B77" s="309"/>
      <c r="C77" s="310"/>
      <c r="D77" s="310"/>
      <c r="E77" s="310"/>
      <c r="F77" s="1228"/>
      <c r="G77" s="310"/>
      <c r="H77" s="310"/>
      <c r="I77" s="310"/>
      <c r="J77" s="1229"/>
    </row>
    <row r="78" spans="1:10">
      <c r="A78" s="312" t="s">
        <v>431</v>
      </c>
      <c r="B78" s="313"/>
      <c r="C78" s="314">
        <f>'T2 ANSP'!C78+'T2 MET'!C78+'T2 NSA'!C78</f>
        <v>418727.20653031458</v>
      </c>
      <c r="D78" s="1195">
        <f>'T2 ANSP'!D78+'T2 MET'!D78+'T2 NSA'!D78</f>
        <v>382138.71008203813</v>
      </c>
      <c r="E78" s="1230">
        <f>'T2 ANSP'!E78+'T2 MET'!E78+'T2 NSA'!E78</f>
        <v>134674.46730215347</v>
      </c>
      <c r="F78" s="1377">
        <f>'T2 ANSP'!F78+'T2 MET'!F78+'T2 NSA'!F78</f>
        <v>-5462.5367855259528</v>
      </c>
      <c r="G78" s="315">
        <f>'T2 ANSP'!G78+'T2 MET'!G78+'T2 NSA'!G78</f>
        <v>0</v>
      </c>
      <c r="H78" s="315">
        <f>'T2 ANSP'!H78+'T2 MET'!H78+'T2 NSA'!H78</f>
        <v>0</v>
      </c>
      <c r="I78" s="1195">
        <f>'T2 ANSP'!I78+'T2 MET'!I78+'T2 NSA'!I78</f>
        <v>0</v>
      </c>
      <c r="J78" s="1230">
        <f>'T2 ANSP'!J78+'T2 MET'!J78+'T2 NSA'!J78</f>
        <v>0</v>
      </c>
    </row>
    <row r="79" spans="1:10" ht="26.1" customHeight="1">
      <c r="A79" s="318"/>
      <c r="C79" s="780"/>
      <c r="D79" s="319"/>
      <c r="E79" s="319"/>
      <c r="F79" s="1231"/>
      <c r="G79" s="319"/>
      <c r="H79" s="319"/>
      <c r="I79" s="319"/>
      <c r="J79" s="268"/>
    </row>
    <row r="80" spans="1:10">
      <c r="A80" s="1561" t="s">
        <v>432</v>
      </c>
      <c r="B80" s="1562"/>
      <c r="C80" s="227">
        <v>2020</v>
      </c>
      <c r="D80" s="228">
        <v>2021</v>
      </c>
      <c r="E80" s="1180">
        <v>2022</v>
      </c>
      <c r="F80" s="1181">
        <v>2023</v>
      </c>
      <c r="G80" s="228">
        <v>2024</v>
      </c>
      <c r="H80" s="228">
        <v>2025</v>
      </c>
      <c r="I80" s="228">
        <v>2026</v>
      </c>
      <c r="J80" s="1182">
        <v>2027</v>
      </c>
    </row>
    <row r="81" spans="1:10">
      <c r="A81" s="260" t="s">
        <v>893</v>
      </c>
      <c r="B81" s="261"/>
      <c r="C81" s="320">
        <f>'T2 ANSP'!C81+'T2 MET'!C81+'T2 NSA'!C81</f>
        <v>790418.89953814808</v>
      </c>
      <c r="D81" s="321">
        <f>'T2 ANSP'!D81+'T2 MET'!D81+'T2 NSA'!D81</f>
        <v>775027.03415828105</v>
      </c>
      <c r="E81" s="1196">
        <f>'T2 ANSP'!E81+'T2 MET'!E81+'T2 NSA'!E81</f>
        <v>790935.59297112306</v>
      </c>
      <c r="F81" s="320">
        <f>'T2 ANSP'!F81+'T2 MET'!F81+'T2 NSA'!F81</f>
        <v>873485.10874478845</v>
      </c>
      <c r="G81" s="321">
        <f>'T2 ANSP'!G81+'T2 MET'!G81+'T2 NSA'!G81</f>
        <v>889282.98739770951</v>
      </c>
      <c r="H81" s="321">
        <f>'T2 ANSP'!H81+'T2 MET'!H81+'T2 NSA'!H81</f>
        <v>817876.36194929725</v>
      </c>
      <c r="I81" s="321">
        <f>'T2 ANSP'!I81+'T2 MET'!I81+'T2 NSA'!I81</f>
        <v>843573.0575339559</v>
      </c>
      <c r="J81" s="322">
        <f>'T2 ANSP'!J81+'T2 MET'!J81+'T2 NSA'!J81</f>
        <v>853850.0352506378</v>
      </c>
    </row>
    <row r="82" spans="1:10">
      <c r="A82" s="249" t="s">
        <v>909</v>
      </c>
      <c r="B82" s="250"/>
      <c r="C82" s="323">
        <f>'T2 ANSP'!C82+'T2 MET'!C82+'T2 NSA'!C82</f>
        <v>-15141.944372610684</v>
      </c>
      <c r="D82" s="324">
        <f>'T2 ANSP'!D82+'T2 MET'!D82+'T2 NSA'!D82</f>
        <v>-16221.846440620513</v>
      </c>
      <c r="E82" s="1197">
        <f>'T2 ANSP'!E82+'T2 MET'!E82+'T2 NSA'!E82</f>
        <v>-7849.019637515109</v>
      </c>
      <c r="F82" s="323">
        <f>'T2 ANSP'!F82+'T2 MET'!F82+'T2 NSA'!F82</f>
        <v>-4122.9370689185844</v>
      </c>
      <c r="G82" s="324">
        <f>'T2 ANSP'!G82+'T2 MET'!G82+'T2 NSA'!G82</f>
        <v>45361.956929269465</v>
      </c>
      <c r="H82" s="324">
        <f>'T2 ANSP'!H82+'T2 MET'!H82+'T2 NSA'!H82</f>
        <v>0</v>
      </c>
      <c r="I82" s="324">
        <f>'T2 ANSP'!I82+'T2 MET'!I82+'T2 NSA'!I82</f>
        <v>0</v>
      </c>
      <c r="J82" s="325">
        <f>'T2 ANSP'!J82+'T2 MET'!J82+'T2 NSA'!J82</f>
        <v>0</v>
      </c>
    </row>
    <row r="83" spans="1:10">
      <c r="A83" s="249" t="s">
        <v>894</v>
      </c>
      <c r="B83" s="250"/>
      <c r="C83" s="323">
        <f>'T2 ANSP'!C83+'T2 MET'!C83+'T2 NSA'!C83</f>
        <v>-52765.667477023497</v>
      </c>
      <c r="D83" s="324">
        <f>'T2 ANSP'!D83+'T2 MET'!D83+'T2 NSA'!D83</f>
        <v>-62057.379326415998</v>
      </c>
      <c r="E83" s="1197">
        <f>'T2 ANSP'!E83+'T2 MET'!E83+'T2 NSA'!E83</f>
        <v>0</v>
      </c>
      <c r="F83" s="323">
        <f>'T2 ANSP'!F83+'T2 MET'!F83+'T2 NSA'!F83</f>
        <v>24929.271489367136</v>
      </c>
      <c r="G83" s="324">
        <f>'T2 ANSP'!G83+'T2 MET'!G83+'T2 NSA'!G83</f>
        <v>18063.629153141708</v>
      </c>
      <c r="H83" s="324">
        <f>'T2 ANSP'!H83+'T2 MET'!H83+'T2 NSA'!H83</f>
        <v>151854.51401245283</v>
      </c>
      <c r="I83" s="324">
        <f>'T2 ANSP'!I83+'T2 MET'!I83+'T2 NSA'!I83</f>
        <v>141163.67364776251</v>
      </c>
      <c r="J83" s="325">
        <f>'T2 ANSP'!J83+'T2 MET'!J83+'T2 NSA'!J83</f>
        <v>159554.09789316004</v>
      </c>
    </row>
    <row r="84" spans="1:10">
      <c r="A84" s="271" t="s">
        <v>910</v>
      </c>
      <c r="B84" s="272"/>
      <c r="C84" s="323">
        <f>'T2 ANSP'!C84+'T2 MET'!C84+'T2 NSA'!C84</f>
        <v>1590.6636098454458</v>
      </c>
      <c r="D84" s="324">
        <f>'T2 ANSP'!D84+'T2 MET'!D84+'T2 NSA'!D84</f>
        <v>2414.7137636373891</v>
      </c>
      <c r="E84" s="1197">
        <f>'T2 ANSP'!E84+'T2 MET'!E84+'T2 NSA'!E84</f>
        <v>510.1777076192102</v>
      </c>
      <c r="F84" s="323">
        <f>'T2 ANSP'!F84+'T2 MET'!F84+'T2 NSA'!F84</f>
        <v>2542.5070970324541</v>
      </c>
      <c r="G84" s="324">
        <f>'T2 ANSP'!G84+'T2 MET'!G84+'T2 NSA'!G84</f>
        <v>9841.5783166068486</v>
      </c>
      <c r="H84" s="324">
        <f>'T2 ANSP'!H84+'T2 MET'!H84+'T2 NSA'!H84</f>
        <v>4736.3740133098581</v>
      </c>
      <c r="I84" s="324">
        <f>'T2 ANSP'!I84+'T2 MET'!I84+'T2 NSA'!I84</f>
        <v>4687.164318203284</v>
      </c>
      <c r="J84" s="325">
        <f>'T2 ANSP'!J84+'T2 MET'!J84+'T2 NSA'!J84</f>
        <v>4683.4637664572128</v>
      </c>
    </row>
    <row r="85" spans="1:10">
      <c r="A85" s="271" t="s">
        <v>895</v>
      </c>
      <c r="B85" s="272"/>
      <c r="C85" s="323">
        <f>'T2 ANSP'!C85+'T2 MET'!C85+'T2 NSA'!C85</f>
        <v>-264.10899999999998</v>
      </c>
      <c r="D85" s="324">
        <f>'T2 ANSP'!D85+'T2 MET'!D85+'T2 NSA'!D85</f>
        <v>228.011</v>
      </c>
      <c r="E85" s="1197">
        <f>'T2 ANSP'!E85+'T2 MET'!E85+'T2 NSA'!E85</f>
        <v>0</v>
      </c>
      <c r="F85" s="323">
        <f>'T2 ANSP'!F85+'T2 MET'!F85+'T2 NSA'!F85</f>
        <v>0</v>
      </c>
      <c r="G85" s="324">
        <f>'T2 ANSP'!G85+'T2 MET'!G85+'T2 NSA'!G85</f>
        <v>0</v>
      </c>
      <c r="H85" s="324">
        <f>'T2 ANSP'!H85+'T2 MET'!H85+'T2 NSA'!H85</f>
        <v>0</v>
      </c>
      <c r="I85" s="324">
        <f>'T2 ANSP'!I85+'T2 MET'!I85+'T2 NSA'!I85</f>
        <v>0</v>
      </c>
      <c r="J85" s="325">
        <f>'T2 ANSP'!J85+'T2 MET'!J85+'T2 NSA'!J85</f>
        <v>0</v>
      </c>
    </row>
    <row r="86" spans="1:10">
      <c r="A86" s="271" t="s">
        <v>896</v>
      </c>
      <c r="B86" s="272"/>
      <c r="C86" s="323">
        <f>'T2 ANSP'!C86+'T2 MET'!C86+'T2 NSA'!C86</f>
        <v>0</v>
      </c>
      <c r="D86" s="324">
        <f>'T2 ANSP'!D86+'T2 MET'!D86+'T2 NSA'!D86</f>
        <v>0</v>
      </c>
      <c r="E86" s="1197">
        <f>'T2 ANSP'!E86+'T2 MET'!E86+'T2 NSA'!E86</f>
        <v>0</v>
      </c>
      <c r="F86" s="323">
        <f>'T2 ANSP'!F86+'T2 MET'!F86+'T2 NSA'!F86</f>
        <v>0</v>
      </c>
      <c r="G86" s="324">
        <f>'T2 ANSP'!G86+'T2 MET'!G86+'T2 NSA'!G86</f>
        <v>0</v>
      </c>
      <c r="H86" s="324">
        <f>'T2 ANSP'!H86+'T2 MET'!H86+'T2 NSA'!H86</f>
        <v>0</v>
      </c>
      <c r="I86" s="324">
        <f>'T2 ANSP'!I86+'T2 MET'!I86+'T2 NSA'!I86</f>
        <v>0</v>
      </c>
      <c r="J86" s="325">
        <f>'T2 ANSP'!J86+'T2 MET'!J86+'T2 NSA'!J86</f>
        <v>0</v>
      </c>
    </row>
    <row r="87" spans="1:10">
      <c r="A87" s="271" t="s">
        <v>897</v>
      </c>
      <c r="B87" s="272"/>
      <c r="C87" s="323">
        <f>'T2 ANSP'!C87+'T2 MET'!C87+'T2 NSA'!C87</f>
        <v>-7397.3308496424297</v>
      </c>
      <c r="D87" s="324">
        <f>'T2 ANSP'!D87+'T2 MET'!D87+'T2 NSA'!D87</f>
        <v>1511.4147979546397</v>
      </c>
      <c r="E87" s="1197">
        <f>'T2 ANSP'!E87+'T2 MET'!E87+'T2 NSA'!E87</f>
        <v>11347.106344345964</v>
      </c>
      <c r="F87" s="323">
        <f>'T2 ANSP'!F87+'T2 MET'!F87+'T2 NSA'!F87</f>
        <v>8166.328625974842</v>
      </c>
      <c r="G87" s="324">
        <f>'T2 ANSP'!G87+'T2 MET'!G87+'T2 NSA'!G87</f>
        <v>15452.626267382355</v>
      </c>
      <c r="H87" s="324">
        <f>'T2 ANSP'!H87+'T2 MET'!H87+'T2 NSA'!H87</f>
        <v>0</v>
      </c>
      <c r="I87" s="324">
        <f>'T2 ANSP'!I87+'T2 MET'!I87+'T2 NSA'!I87</f>
        <v>0</v>
      </c>
      <c r="J87" s="325">
        <f>'T2 ANSP'!J87+'T2 MET'!J87+'T2 NSA'!J87</f>
        <v>0</v>
      </c>
    </row>
    <row r="88" spans="1:10">
      <c r="A88" s="249" t="s">
        <v>898</v>
      </c>
      <c r="B88" s="250"/>
      <c r="C88" s="323">
        <f>'T2 ANSP'!C88+'T2 MET'!C88+'T2 NSA'!C88</f>
        <v>-7473.0756774129904</v>
      </c>
      <c r="D88" s="324">
        <f>'T2 ANSP'!D88+'T2 MET'!D88+'T2 NSA'!D88</f>
        <v>-13037.437321951742</v>
      </c>
      <c r="E88" s="1197">
        <f>'T2 ANSP'!E88+'T2 MET'!E88+'T2 NSA'!E88</f>
        <v>-31197.739202655848</v>
      </c>
      <c r="F88" s="323">
        <f>'T2 ANSP'!F88+'T2 MET'!F88+'T2 NSA'!F88</f>
        <v>-5462.5367855259528</v>
      </c>
      <c r="G88" s="324">
        <f>'T2 ANSP'!G88+'T2 MET'!G88+'T2 NSA'!G88</f>
        <v>-3040.8225124284572</v>
      </c>
      <c r="H88" s="324">
        <f>'T2 ANSP'!H88+'T2 MET'!H88+'T2 NSA'!H88</f>
        <v>-7111.2418160925463</v>
      </c>
      <c r="I88" s="324">
        <f>'T2 ANSP'!I88+'T2 MET'!I88+'T2 NSA'!I88</f>
        <v>0</v>
      </c>
      <c r="J88" s="325">
        <f>'T2 ANSP'!J88+'T2 MET'!J88+'T2 NSA'!J88</f>
        <v>0</v>
      </c>
    </row>
    <row r="89" spans="1:10">
      <c r="A89" s="249" t="s">
        <v>899</v>
      </c>
      <c r="B89" s="250"/>
      <c r="C89" s="323">
        <f>'T2 ANSP'!C89+'T2 MET'!C89+'T2 NSA'!C89</f>
        <v>0</v>
      </c>
      <c r="D89" s="324">
        <f>'T2 ANSP'!D89+'T2 MET'!D89+'T2 NSA'!D89</f>
        <v>0</v>
      </c>
      <c r="E89" s="1197">
        <f>'T2 ANSP'!E89+'T2 MET'!E89+'T2 NSA'!E89</f>
        <v>0</v>
      </c>
      <c r="F89" s="323">
        <f>'T2 ANSP'!F89+'T2 MET'!F89+'T2 NSA'!F89</f>
        <v>0</v>
      </c>
      <c r="G89" s="324">
        <f>'T2 ANSP'!G89+'T2 MET'!G89+'T2 NSA'!G89</f>
        <v>0</v>
      </c>
      <c r="H89" s="324">
        <f>'T2 ANSP'!H89+'T2 MET'!H89+'T2 NSA'!H89</f>
        <v>0</v>
      </c>
      <c r="I89" s="324">
        <f>'T2 ANSP'!I89+'T2 MET'!I89+'T2 NSA'!I89</f>
        <v>0</v>
      </c>
      <c r="J89" s="325">
        <f>'T2 ANSP'!J89+'T2 MET'!J89+'T2 NSA'!J89</f>
        <v>0</v>
      </c>
    </row>
    <row r="90" spans="1:10">
      <c r="A90" s="271" t="s">
        <v>911</v>
      </c>
      <c r="B90" s="272"/>
      <c r="C90" s="326">
        <f>'T2 ANSP'!C90+'T2 MET'!C90+'T2 NSA'!C90</f>
        <v>0</v>
      </c>
      <c r="D90" s="327">
        <f>'T2 ANSP'!D90+'T2 MET'!D90+'T2 NSA'!D90</f>
        <v>0</v>
      </c>
      <c r="E90" s="1198">
        <f>'T2 ANSP'!E90+'T2 MET'!E90+'T2 NSA'!E90</f>
        <v>4635.6626138413685</v>
      </c>
      <c r="F90" s="326">
        <f>'T2 ANSP'!F90+'T2 MET'!F90+'T2 NSA'!F90</f>
        <v>0</v>
      </c>
      <c r="G90" s="327">
        <f>'T2 ANSP'!G90+'T2 MET'!G90+'T2 NSA'!G90</f>
        <v>0</v>
      </c>
      <c r="H90" s="327">
        <f>'T2 ANSP'!H90+'T2 MET'!H90+'T2 NSA'!H90</f>
        <v>0</v>
      </c>
      <c r="I90" s="327">
        <f>'T2 ANSP'!I90+'T2 MET'!I90+'T2 NSA'!I90</f>
        <v>0</v>
      </c>
      <c r="J90" s="328">
        <f>'T2 ANSP'!J90+'T2 MET'!J90+'T2 NSA'!J90</f>
        <v>0</v>
      </c>
    </row>
    <row r="91" spans="1:10">
      <c r="A91" s="329" t="s">
        <v>433</v>
      </c>
      <c r="B91" s="330"/>
      <c r="C91" s="331">
        <f>'T2 ANSP'!C91+'T2 MET'!C91+'T2 NSA'!C91</f>
        <v>708967.43577130383</v>
      </c>
      <c r="D91" s="331">
        <f>'T2 ANSP'!D91+'T2 MET'!D91+'T2 NSA'!D91</f>
        <v>687864.51063088491</v>
      </c>
      <c r="E91" s="1199">
        <f>'T2 ANSP'!E91+'T2 MET'!E91+'T2 NSA'!E91</f>
        <v>768381.7807967586</v>
      </c>
      <c r="F91" s="1232">
        <f>'T2 ANSP'!F91+'T2 MET'!F91+'T2 NSA'!F91</f>
        <v>899537.74210271833</v>
      </c>
      <c r="G91" s="331">
        <f>'T2 ANSP'!G91+'T2 MET'!G91+'T2 NSA'!G91</f>
        <v>974961.95555168146</v>
      </c>
      <c r="H91" s="331">
        <f>'T2 ANSP'!H91+'T2 MET'!H91+'T2 NSA'!H91</f>
        <v>967356.00815896725</v>
      </c>
      <c r="I91" s="331">
        <f>'T2 ANSP'!I91+'T2 MET'!I91+'T2 NSA'!I91</f>
        <v>989423.89549992164</v>
      </c>
      <c r="J91" s="331">
        <f>'T2 ANSP'!J91+'T2 MET'!J91+'T2 NSA'!J91</f>
        <v>1018087.596910255</v>
      </c>
    </row>
    <row r="92" spans="1:10">
      <c r="A92" s="269" t="s">
        <v>434</v>
      </c>
      <c r="B92" s="270"/>
      <c r="C92" s="289">
        <f>'T1 ANSP'!K68</f>
        <v>12647.945</v>
      </c>
      <c r="D92" s="289">
        <f>'T1 ANSP'!L68</f>
        <v>12891</v>
      </c>
      <c r="E92" s="1190">
        <f>'T1 ANSP'!M68</f>
        <v>13183</v>
      </c>
      <c r="F92" s="1218">
        <f>'T1 ANSP'!N68</f>
        <v>11956</v>
      </c>
      <c r="G92" s="289">
        <f>'T1 ANSP'!O68</f>
        <v>12930</v>
      </c>
      <c r="H92" s="289">
        <f>'T1 ANSP'!P68</f>
        <v>13247</v>
      </c>
      <c r="I92" s="289">
        <f>'T1 ANSP'!Q68</f>
        <v>13490</v>
      </c>
      <c r="J92" s="289">
        <f>'T1 ANSP'!R68</f>
        <v>13700</v>
      </c>
    </row>
    <row r="93" spans="1:10">
      <c r="A93" s="269" t="s">
        <v>900</v>
      </c>
      <c r="B93" s="270"/>
      <c r="C93" s="332">
        <f t="shared" ref="C93:G93" si="0">C91/C92</f>
        <v>56.053962582166811</v>
      </c>
      <c r="D93" s="332">
        <f t="shared" si="0"/>
        <v>53.360058229065622</v>
      </c>
      <c r="E93" s="1200">
        <f t="shared" si="0"/>
        <v>58.285806022662413</v>
      </c>
      <c r="F93" s="1233">
        <f t="shared" si="0"/>
        <v>75.237348787447161</v>
      </c>
      <c r="G93" s="332">
        <f t="shared" si="0"/>
        <v>75.403090143208161</v>
      </c>
      <c r="H93" s="332">
        <f t="shared" ref="H93:J93" si="1">H91/H92</f>
        <v>73.024534472632837</v>
      </c>
      <c r="I93" s="332">
        <f t="shared" si="1"/>
        <v>73.344988547066094</v>
      </c>
      <c r="J93" s="332">
        <f t="shared" si="1"/>
        <v>74.312963278120804</v>
      </c>
    </row>
    <row r="94" spans="1:10">
      <c r="A94" s="269" t="s">
        <v>901</v>
      </c>
      <c r="B94" s="270"/>
      <c r="C94" s="332">
        <f>'T2 ANSP'!C94+'T2 MET'!C94+'T2 NSA'!C94</f>
        <v>0</v>
      </c>
      <c r="D94" s="332">
        <f>'T2 ANSP'!D94+'T2 MET'!D94+'T2 NSA'!D94</f>
        <v>0</v>
      </c>
      <c r="E94" s="332">
        <f>'T2 ANSP'!E94+'T2 MET'!E94+'T2 NSA'!E94</f>
        <v>0</v>
      </c>
      <c r="F94" s="332">
        <f>'T2 ANSP'!F94+'T2 MET'!F94+'T2 NSA'!F94</f>
        <v>-0.1013716962194714</v>
      </c>
      <c r="G94" s="333"/>
      <c r="H94" s="333"/>
      <c r="I94" s="333"/>
      <c r="J94" s="333"/>
    </row>
    <row r="95" spans="1:10" ht="10.199999999999999" customHeight="1">
      <c r="A95" s="309"/>
      <c r="B95" s="309"/>
      <c r="C95" s="311"/>
      <c r="D95" s="311"/>
      <c r="E95" s="311"/>
      <c r="F95" s="1235"/>
      <c r="G95" s="311"/>
      <c r="H95" s="311"/>
      <c r="I95" s="311"/>
      <c r="J95" s="1236"/>
    </row>
    <row r="96" spans="1:10">
      <c r="A96" s="335" t="s">
        <v>435</v>
      </c>
      <c r="B96" s="313"/>
      <c r="C96" s="336">
        <f>C93+C94</f>
        <v>56.053962582166811</v>
      </c>
      <c r="D96" s="336">
        <f t="shared" ref="D96:G96" si="2">D93+D94</f>
        <v>53.360058229065622</v>
      </c>
      <c r="E96" s="1201">
        <f t="shared" si="2"/>
        <v>58.285806022662413</v>
      </c>
      <c r="F96" s="336">
        <f t="shared" si="2"/>
        <v>75.135977091227687</v>
      </c>
      <c r="G96" s="336">
        <f t="shared" si="2"/>
        <v>75.403090143208161</v>
      </c>
      <c r="H96" s="336">
        <f t="shared" ref="H96:J96" si="3">H93+H94</f>
        <v>73.024534472632837</v>
      </c>
      <c r="I96" s="336">
        <f t="shared" si="3"/>
        <v>73.344988547066094</v>
      </c>
      <c r="J96" s="777">
        <f t="shared" si="3"/>
        <v>74.312963278120804</v>
      </c>
    </row>
    <row r="97" spans="1:7">
      <c r="A97" s="318"/>
      <c r="C97" s="311"/>
      <c r="D97" s="311"/>
      <c r="E97" s="311"/>
      <c r="F97" s="311"/>
      <c r="G97" s="311"/>
    </row>
    <row r="98" spans="1:7">
      <c r="A98" s="221" t="s">
        <v>436</v>
      </c>
      <c r="B98" s="230"/>
      <c r="C98" s="337"/>
      <c r="D98" s="337"/>
      <c r="E98" s="337"/>
      <c r="F98" s="337"/>
      <c r="G98" s="337"/>
    </row>
    <row r="99" spans="1:7">
      <c r="A99" s="338" t="s">
        <v>437</v>
      </c>
      <c r="B99" s="230"/>
      <c r="C99" s="339"/>
      <c r="D99" s="339"/>
      <c r="E99" s="339"/>
      <c r="F99" s="339"/>
      <c r="G99" s="339"/>
    </row>
    <row r="100" spans="1:7">
      <c r="A100" s="338"/>
      <c r="B100" s="230"/>
      <c r="C100" s="337"/>
      <c r="D100" s="337"/>
      <c r="E100" s="337"/>
      <c r="F100" s="337"/>
      <c r="G100" s="337"/>
    </row>
  </sheetData>
  <mergeCells count="5">
    <mergeCell ref="A7:B7"/>
    <mergeCell ref="A80:B80"/>
    <mergeCell ref="C5:E5"/>
    <mergeCell ref="F5:J5"/>
    <mergeCell ref="A1:J1"/>
  </mergeCells>
  <pageMargins left="0.7" right="0.7" top="0.75" bottom="0.75" header="0.3" footer="0.3"/>
  <pageSetup paperSize="9" scale="64"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Q128"/>
  <sheetViews>
    <sheetView showGridLines="0" zoomScaleNormal="100" workbookViewId="0">
      <pane xSplit="2" ySplit="8" topLeftCell="C74" activePane="bottomRight" state="frozen"/>
      <selection pane="topRight" activeCell="C1" sqref="C1"/>
      <selection pane="bottomLeft" activeCell="A9" sqref="A9"/>
      <selection pane="bottomRight" activeCell="F96" sqref="F96"/>
    </sheetView>
  </sheetViews>
  <sheetFormatPr defaultColWidth="1.33203125" defaultRowHeight="13.8"/>
  <cols>
    <col min="1" max="1" width="24" style="221" customWidth="1"/>
    <col min="2" max="2" width="36.33203125" style="221" customWidth="1"/>
    <col min="3" max="10" width="12.5546875" style="221" customWidth="1"/>
    <col min="11" max="11" width="8.6640625" style="219" customWidth="1"/>
    <col min="12" max="12" width="39.5546875" style="219" customWidth="1"/>
    <col min="13" max="17" width="8.6640625" style="219" customWidth="1"/>
    <col min="18" max="16384" width="1.33203125" style="219"/>
  </cols>
  <sheetData>
    <row r="1" spans="1:11">
      <c r="A1" s="1566" t="s">
        <v>400</v>
      </c>
      <c r="B1" s="1566"/>
      <c r="C1" s="1566"/>
      <c r="D1" s="1566"/>
      <c r="E1" s="1566"/>
      <c r="F1" s="1566"/>
      <c r="G1" s="1566"/>
      <c r="H1" s="1566"/>
      <c r="I1" s="1566"/>
      <c r="J1" s="1566"/>
    </row>
    <row r="2" spans="1:11">
      <c r="A2" s="220"/>
      <c r="B2" s="220"/>
      <c r="G2" s="222"/>
      <c r="H2" s="222"/>
      <c r="I2" s="222"/>
      <c r="J2" s="222"/>
    </row>
    <row r="3" spans="1:11">
      <c r="A3" s="225" t="str">
        <f>'T1 ANSP'!A3</f>
        <v>United Kingdom</v>
      </c>
      <c r="C3" s="1336"/>
      <c r="D3" s="219"/>
      <c r="E3" s="224"/>
      <c r="F3" s="219"/>
      <c r="G3" s="219"/>
      <c r="H3" s="219"/>
      <c r="I3" s="219"/>
      <c r="J3" s="219"/>
    </row>
    <row r="4" spans="1:11">
      <c r="A4" s="225" t="str">
        <f>'T1 ANSP'!A4</f>
        <v>Currency : GBP £</v>
      </c>
      <c r="C4" s="977"/>
      <c r="D4" s="977"/>
      <c r="E4" s="977"/>
      <c r="F4" s="977"/>
      <c r="G4" s="977"/>
      <c r="H4" s="977"/>
      <c r="I4" s="977"/>
      <c r="J4" s="977"/>
    </row>
    <row r="5" spans="1:11">
      <c r="A5" s="226" t="str">
        <f>'T1 ANSP'!A5</f>
        <v>NERL</v>
      </c>
      <c r="C5" s="1563" t="s">
        <v>127</v>
      </c>
      <c r="D5" s="1564"/>
      <c r="E5" s="1565"/>
      <c r="F5" s="1563" t="s">
        <v>401</v>
      </c>
      <c r="G5" s="1564"/>
      <c r="H5" s="1564"/>
      <c r="I5" s="1564"/>
      <c r="J5" s="1565"/>
    </row>
    <row r="7" spans="1:11">
      <c r="A7" s="1561" t="s">
        <v>402</v>
      </c>
      <c r="B7" s="1562"/>
      <c r="C7" s="227">
        <v>2020</v>
      </c>
      <c r="D7" s="228">
        <v>2021</v>
      </c>
      <c r="E7" s="1182">
        <v>2022</v>
      </c>
      <c r="F7" s="1248">
        <v>2023</v>
      </c>
      <c r="G7" s="229">
        <v>2024</v>
      </c>
      <c r="H7" s="229">
        <v>2025</v>
      </c>
      <c r="I7" s="229">
        <v>2026</v>
      </c>
      <c r="J7" s="229">
        <v>2027</v>
      </c>
    </row>
    <row r="8" spans="1:11" ht="10.5" customHeight="1"/>
    <row r="9" spans="1:11">
      <c r="A9" s="230" t="s">
        <v>403</v>
      </c>
      <c r="B9" s="230"/>
      <c r="C9" s="231"/>
      <c r="D9" s="231"/>
      <c r="E9" s="231"/>
      <c r="F9" s="231"/>
      <c r="G9" s="231"/>
      <c r="H9" s="231"/>
      <c r="I9" s="231"/>
      <c r="J9" s="231"/>
      <c r="K9" s="219" t="s">
        <v>930</v>
      </c>
    </row>
    <row r="10" spans="1:11" ht="3" customHeight="1"/>
    <row r="11" spans="1:11">
      <c r="A11" s="232" t="s">
        <v>404</v>
      </c>
      <c r="B11" s="233"/>
      <c r="C11" s="234"/>
      <c r="D11" s="235"/>
      <c r="E11" s="235"/>
      <c r="F11" s="235"/>
      <c r="G11" s="235"/>
      <c r="H11" s="235"/>
      <c r="I11" s="235"/>
      <c r="J11" s="236"/>
    </row>
    <row r="12" spans="1:11">
      <c r="A12" s="237" t="s">
        <v>438</v>
      </c>
      <c r="B12" s="238"/>
      <c r="C12" s="340">
        <f>+'T1 ANSP'!K61</f>
        <v>689955.37778031058</v>
      </c>
      <c r="D12" s="341">
        <f>+'T1 ANSP'!L61</f>
        <v>674270.83242374472</v>
      </c>
      <c r="E12" s="341">
        <f>+'T1 ANSP'!M61</f>
        <v>688739.42261568108</v>
      </c>
      <c r="F12" s="341">
        <f>+'T1 ANSP'!N61</f>
        <v>758911.57684834499</v>
      </c>
      <c r="G12" s="341">
        <f>+'T1 ANSP'!O61</f>
        <v>770018.79954953259</v>
      </c>
      <c r="H12" s="341">
        <f>+'T1 ANSP'!P61</f>
        <v>696737.90630166326</v>
      </c>
      <c r="I12" s="341">
        <f>+'T1 ANSP'!Q61</f>
        <v>720194.95390332956</v>
      </c>
      <c r="J12" s="342">
        <f>+'T1 ANSP'!R61</f>
        <v>729122.11112990498</v>
      </c>
      <c r="K12" s="219" t="s">
        <v>956</v>
      </c>
    </row>
    <row r="13" spans="1:11" ht="3" customHeight="1">
      <c r="C13" s="294"/>
      <c r="D13" s="294"/>
      <c r="E13" s="294"/>
      <c r="F13" s="294"/>
      <c r="G13" s="294"/>
      <c r="H13" s="294"/>
      <c r="I13" s="294"/>
      <c r="J13" s="294"/>
    </row>
    <row r="14" spans="1:11">
      <c r="A14" s="242" t="s">
        <v>405</v>
      </c>
      <c r="B14" s="243"/>
      <c r="C14" s="301"/>
      <c r="D14" s="302"/>
      <c r="E14" s="1227"/>
      <c r="F14" s="1250"/>
      <c r="G14" s="302"/>
      <c r="H14" s="302"/>
      <c r="I14" s="302"/>
      <c r="J14" s="803"/>
    </row>
    <row r="15" spans="1:11">
      <c r="A15" s="244" t="s">
        <v>406</v>
      </c>
      <c r="B15" s="245"/>
      <c r="C15" s="1469">
        <f>C12</f>
        <v>689955.37778031058</v>
      </c>
      <c r="D15" s="1470">
        <f t="shared" ref="D15:G15" si="0">D12</f>
        <v>674270.83242374472</v>
      </c>
      <c r="E15" s="1431">
        <f t="shared" si="0"/>
        <v>688739.42261568108</v>
      </c>
      <c r="F15" s="1430">
        <f t="shared" si="0"/>
        <v>758911.57684834499</v>
      </c>
      <c r="G15" s="1430">
        <f t="shared" si="0"/>
        <v>770018.79954953259</v>
      </c>
      <c r="H15" s="1430">
        <f t="shared" ref="H15:J15" si="1">H12</f>
        <v>696737.90630166326</v>
      </c>
      <c r="I15" s="1430">
        <f t="shared" si="1"/>
        <v>720194.95390332956</v>
      </c>
      <c r="J15" s="1431">
        <f t="shared" si="1"/>
        <v>729122.11112990498</v>
      </c>
      <c r="K15" s="219" t="s">
        <v>956</v>
      </c>
    </row>
    <row r="16" spans="1:11">
      <c r="A16" s="249" t="s">
        <v>407</v>
      </c>
      <c r="B16" s="250"/>
      <c r="C16" s="1501">
        <f>+'T1 ANSP'!K65</f>
        <v>106.44304700754891</v>
      </c>
      <c r="D16" s="1471">
        <f>+'T1 ANSP'!L65</f>
        <v>108.5719079476999</v>
      </c>
      <c r="E16" s="248">
        <f>+'T1 ANSP'!M65</f>
        <v>110.7433461066539</v>
      </c>
      <c r="F16" s="806">
        <f>+'T1 ANSP'!N65</f>
        <v>118.73399586480322</v>
      </c>
      <c r="G16" s="806">
        <f>+'T1 ANSP'!O65</f>
        <v>119.75124598510098</v>
      </c>
      <c r="H16" s="806">
        <f>+'T1 ANSP'!P65</f>
        <v>119.88965772959871</v>
      </c>
      <c r="I16" s="806">
        <f>+'T1 ANSP'!Q65</f>
        <v>120.48871867171231</v>
      </c>
      <c r="J16" s="248">
        <f>+'T1 ANSP'!R65</f>
        <v>122.3836193976915</v>
      </c>
      <c r="K16" s="219" t="s">
        <v>956</v>
      </c>
    </row>
    <row r="17" spans="1:12">
      <c r="A17" s="249" t="s">
        <v>408</v>
      </c>
      <c r="B17" s="250"/>
      <c r="C17" s="1501">
        <f>'T1 ANSP'!T65</f>
        <v>105.28410499999997</v>
      </c>
      <c r="D17" s="1472">
        <f>'T1 ANSP'!U65</f>
        <v>108.02149172999997</v>
      </c>
      <c r="E17" s="275">
        <f>'T1 ANSP'!V65</f>
        <v>117.85144747742996</v>
      </c>
      <c r="F17" s="1252" t="s">
        <v>382</v>
      </c>
      <c r="G17" s="267" t="s">
        <v>382</v>
      </c>
      <c r="H17" s="267" t="s">
        <v>382</v>
      </c>
      <c r="I17" s="267" t="s">
        <v>382</v>
      </c>
      <c r="J17" s="268" t="s">
        <v>382</v>
      </c>
      <c r="K17" s="219" t="s">
        <v>958</v>
      </c>
    </row>
    <row r="18" spans="1:12">
      <c r="A18" s="254" t="s">
        <v>409</v>
      </c>
      <c r="B18" s="255"/>
      <c r="C18" s="1502">
        <f>+C17/C16-1</f>
        <v>-1.0887907102722805E-2</v>
      </c>
      <c r="D18" s="1473">
        <f>+D17/D16-1</f>
        <v>-5.0696006739153754E-3</v>
      </c>
      <c r="E18" s="1259">
        <f>+E17/E16-1</f>
        <v>6.4185358494861067E-2</v>
      </c>
      <c r="F18" s="1337" t="s">
        <v>382</v>
      </c>
      <c r="G18" s="1338" t="s">
        <v>382</v>
      </c>
      <c r="H18" s="1338" t="s">
        <v>382</v>
      </c>
      <c r="I18" s="1338" t="s">
        <v>382</v>
      </c>
      <c r="J18" s="1339" t="s">
        <v>382</v>
      </c>
      <c r="K18" s="219" t="s">
        <v>958</v>
      </c>
    </row>
    <row r="19" spans="1:12">
      <c r="A19" s="237" t="s">
        <v>439</v>
      </c>
      <c r="B19" s="238"/>
      <c r="C19" s="239">
        <f>+C15*C18</f>
        <v>-7512.1700582960393</v>
      </c>
      <c r="D19" s="805">
        <f>+D15*D18</f>
        <v>-3418.2838664568976</v>
      </c>
      <c r="E19" s="805">
        <f>+E15*E18</f>
        <v>44206.986750131109</v>
      </c>
      <c r="F19" s="1253"/>
      <c r="G19" s="258"/>
      <c r="H19" s="258"/>
      <c r="I19" s="258"/>
      <c r="J19" s="259"/>
      <c r="K19" s="219" t="s">
        <v>958</v>
      </c>
      <c r="L19" s="219" t="s">
        <v>973</v>
      </c>
    </row>
    <row r="20" spans="1:12" ht="3" customHeight="1"/>
    <row r="21" spans="1:12">
      <c r="A21" s="232" t="s">
        <v>902</v>
      </c>
      <c r="B21" s="233"/>
      <c r="C21" s="234"/>
      <c r="D21" s="235"/>
      <c r="E21" s="1204"/>
      <c r="F21" s="1249"/>
      <c r="G21" s="235"/>
      <c r="H21" s="235"/>
      <c r="I21" s="235"/>
      <c r="J21" s="236"/>
    </row>
    <row r="22" spans="1:12">
      <c r="A22" s="260" t="s">
        <v>440</v>
      </c>
      <c r="B22" s="261"/>
      <c r="C22" s="344">
        <v>0</v>
      </c>
      <c r="D22" s="345"/>
      <c r="E22" s="1291"/>
      <c r="F22" s="294"/>
      <c r="G22" s="294"/>
      <c r="H22" s="294"/>
      <c r="I22" s="294"/>
      <c r="J22" s="343"/>
      <c r="K22" s="219" t="s">
        <v>958</v>
      </c>
    </row>
    <row r="23" spans="1:12">
      <c r="A23" s="264" t="s">
        <v>441</v>
      </c>
      <c r="B23" s="265"/>
      <c r="C23" s="346"/>
      <c r="D23" s="347"/>
      <c r="E23" s="1261"/>
      <c r="F23" s="1251"/>
      <c r="G23" s="348"/>
      <c r="H23" s="348"/>
      <c r="I23" s="348"/>
      <c r="J23" s="349"/>
      <c r="K23" s="219" t="s">
        <v>958</v>
      </c>
    </row>
    <row r="24" spans="1:12">
      <c r="A24" s="264" t="s">
        <v>442</v>
      </c>
      <c r="B24" s="265"/>
      <c r="C24" s="350"/>
      <c r="D24" s="351"/>
      <c r="E24" s="1262"/>
      <c r="F24" s="1251"/>
      <c r="G24" s="348"/>
      <c r="H24" s="348"/>
      <c r="I24" s="348"/>
      <c r="J24" s="349"/>
      <c r="K24" s="219" t="s">
        <v>958</v>
      </c>
    </row>
    <row r="25" spans="1:12">
      <c r="A25" s="264" t="s">
        <v>443</v>
      </c>
      <c r="B25" s="265"/>
      <c r="C25" s="352">
        <v>0</v>
      </c>
      <c r="D25" s="353"/>
      <c r="E25" s="1292"/>
      <c r="F25" s="1252"/>
      <c r="G25" s="267"/>
      <c r="H25" s="267"/>
      <c r="I25" s="267"/>
      <c r="J25" s="268"/>
      <c r="K25" s="219" t="s">
        <v>958</v>
      </c>
    </row>
    <row r="26" spans="1:12">
      <c r="A26" s="264" t="s">
        <v>444</v>
      </c>
      <c r="B26" s="265"/>
      <c r="C26" s="352">
        <v>0</v>
      </c>
      <c r="D26" s="353"/>
      <c r="E26" s="1292"/>
      <c r="F26" s="1252"/>
      <c r="G26" s="267"/>
      <c r="H26" s="267"/>
      <c r="I26" s="267"/>
      <c r="J26" s="268"/>
      <c r="K26" s="219" t="s">
        <v>958</v>
      </c>
    </row>
    <row r="27" spans="1:12">
      <c r="A27" s="264" t="s">
        <v>445</v>
      </c>
      <c r="B27" s="265"/>
      <c r="C27" s="352">
        <v>0</v>
      </c>
      <c r="D27" s="353"/>
      <c r="E27" s="1292"/>
      <c r="F27" s="1252"/>
      <c r="G27" s="267"/>
      <c r="H27" s="267"/>
      <c r="I27" s="267"/>
      <c r="J27" s="268"/>
      <c r="K27" s="219" t="s">
        <v>958</v>
      </c>
    </row>
    <row r="28" spans="1:12">
      <c r="A28" s="269" t="s">
        <v>446</v>
      </c>
      <c r="B28" s="270"/>
      <c r="C28" s="239">
        <f>SUM(C22:C27)</f>
        <v>0</v>
      </c>
      <c r="D28" s="240"/>
      <c r="E28" s="241"/>
      <c r="F28" s="1253"/>
      <c r="G28" s="258"/>
      <c r="H28" s="258"/>
      <c r="I28" s="258"/>
      <c r="J28" s="259"/>
      <c r="K28" s="219" t="s">
        <v>958</v>
      </c>
    </row>
    <row r="29" spans="1:12" ht="10.95" customHeight="1"/>
    <row r="30" spans="1:12">
      <c r="A30" s="230" t="s">
        <v>416</v>
      </c>
      <c r="B30" s="230"/>
      <c r="C30" s="231"/>
      <c r="D30" s="231"/>
      <c r="E30" s="231"/>
      <c r="F30" s="231"/>
      <c r="G30" s="231"/>
      <c r="H30" s="231"/>
      <c r="I30" s="231"/>
      <c r="J30" s="231"/>
    </row>
    <row r="31" spans="1:12" ht="1.95" customHeight="1"/>
    <row r="32" spans="1:12">
      <c r="A32" s="232" t="s">
        <v>417</v>
      </c>
      <c r="B32" s="233"/>
      <c r="C32" s="234"/>
      <c r="D32" s="235"/>
      <c r="E32" s="1204"/>
      <c r="F32" s="1249"/>
      <c r="G32" s="235"/>
      <c r="H32" s="235"/>
      <c r="I32" s="235"/>
      <c r="J32" s="236"/>
    </row>
    <row r="33" spans="1:17">
      <c r="A33" s="249" t="s">
        <v>418</v>
      </c>
      <c r="B33" s="250"/>
      <c r="C33" s="1175">
        <f>'T1 ANSP'!K61-'T1 ANSP'!K28</f>
        <v>689955.37778031058</v>
      </c>
      <c r="D33" s="247">
        <f>'T1 ANSP'!L61-'T1 ANSP'!L28</f>
        <v>674270.83242374472</v>
      </c>
      <c r="E33" s="1206">
        <f>'T1 ANSP'!M61-'T1 ANSP'!M28</f>
        <v>688739.42261568108</v>
      </c>
      <c r="F33" s="1293">
        <f>'T1 ANSP'!N61-'T1 ANSP'!N28</f>
        <v>758911.57684834499</v>
      </c>
      <c r="G33" s="247">
        <f>'T1 ANSP'!O61-'T1 ANSP'!O28</f>
        <v>770018.79954953259</v>
      </c>
      <c r="H33" s="247">
        <f>'T1 ANSP'!P61-'T1 ANSP'!P28</f>
        <v>696737.90630166326</v>
      </c>
      <c r="I33" s="247">
        <f>'T1 ANSP'!Q61-'T1 ANSP'!Q28</f>
        <v>720194.95390332956</v>
      </c>
      <c r="J33" s="248">
        <f>'T1 ANSP'!R61-'T1 ANSP'!R28</f>
        <v>729122.11112990498</v>
      </c>
      <c r="K33" s="219" t="s">
        <v>938</v>
      </c>
    </row>
    <row r="34" spans="1:17">
      <c r="A34" s="271" t="s">
        <v>879</v>
      </c>
      <c r="B34" s="272"/>
      <c r="C34" s="1296">
        <v>0.02</v>
      </c>
      <c r="D34" s="1177">
        <v>0.02</v>
      </c>
      <c r="E34" s="1297">
        <v>0.02</v>
      </c>
      <c r="F34" s="1294">
        <v>0.02</v>
      </c>
      <c r="G34" s="1177">
        <v>0.02</v>
      </c>
      <c r="H34" s="1177">
        <v>0.02</v>
      </c>
      <c r="I34" s="1177">
        <v>0.02</v>
      </c>
      <c r="J34" s="1178">
        <v>0.02</v>
      </c>
      <c r="K34" s="219" t="s">
        <v>959</v>
      </c>
    </row>
    <row r="35" spans="1:17">
      <c r="A35" s="271" t="s">
        <v>882</v>
      </c>
      <c r="B35" s="272"/>
      <c r="C35" s="1296">
        <v>0.7</v>
      </c>
      <c r="D35" s="1177">
        <v>0.7</v>
      </c>
      <c r="E35" s="1297">
        <v>0.7</v>
      </c>
      <c r="F35" s="1294">
        <v>0.7</v>
      </c>
      <c r="G35" s="1177">
        <v>0.7</v>
      </c>
      <c r="H35" s="1177">
        <v>0.7</v>
      </c>
      <c r="I35" s="1177">
        <v>0.7</v>
      </c>
      <c r="J35" s="1178">
        <v>0.7</v>
      </c>
      <c r="K35" s="219" t="s">
        <v>959</v>
      </c>
    </row>
    <row r="36" spans="1:17">
      <c r="A36" s="271" t="s">
        <v>880</v>
      </c>
      <c r="B36" s="272"/>
      <c r="C36" s="1296">
        <v>0.7</v>
      </c>
      <c r="D36" s="1177">
        <v>0.7</v>
      </c>
      <c r="E36" s="1297">
        <v>0.7</v>
      </c>
      <c r="F36" s="1294">
        <v>0.7</v>
      </c>
      <c r="G36" s="1177">
        <v>0.7</v>
      </c>
      <c r="H36" s="1177">
        <v>0.7</v>
      </c>
      <c r="I36" s="1177">
        <v>0.7</v>
      </c>
      <c r="J36" s="1178">
        <v>0.7</v>
      </c>
      <c r="K36" s="219" t="s">
        <v>959</v>
      </c>
    </row>
    <row r="37" spans="1:17">
      <c r="A37" s="271" t="s">
        <v>881</v>
      </c>
      <c r="B37" s="272"/>
      <c r="C37" s="1298">
        <v>0.1</v>
      </c>
      <c r="D37" s="287">
        <v>0.1</v>
      </c>
      <c r="E37" s="1299">
        <v>0.1</v>
      </c>
      <c r="F37" s="1295">
        <v>0.1</v>
      </c>
      <c r="G37" s="287">
        <v>0.1</v>
      </c>
      <c r="H37" s="287">
        <v>0.1</v>
      </c>
      <c r="I37" s="287">
        <v>0.1</v>
      </c>
      <c r="J37" s="354">
        <v>0.1</v>
      </c>
      <c r="K37" s="219" t="s">
        <v>959</v>
      </c>
    </row>
    <row r="38" spans="1:17">
      <c r="A38" s="249" t="s">
        <v>419</v>
      </c>
      <c r="B38" s="250"/>
      <c r="C38" s="1175">
        <f>'T1 ANSP'!K68</f>
        <v>12647.945</v>
      </c>
      <c r="D38" s="274">
        <f>'T1 ANSP'!L68</f>
        <v>12891</v>
      </c>
      <c r="E38" s="275">
        <f>'T1 ANSP'!M68</f>
        <v>13183</v>
      </c>
      <c r="F38" s="274">
        <f>'T1 ANSP'!N68</f>
        <v>11956</v>
      </c>
      <c r="G38" s="274">
        <f>'T1 ANSP'!O68</f>
        <v>12930</v>
      </c>
      <c r="H38" s="294">
        <f>'T1 ANSP'!P68</f>
        <v>13247</v>
      </c>
      <c r="I38" s="266">
        <f>'T1 ANSP'!Q68</f>
        <v>13490</v>
      </c>
      <c r="J38" s="275">
        <f>'T1 ANSP'!R68</f>
        <v>13700</v>
      </c>
      <c r="K38" s="219" t="s">
        <v>956</v>
      </c>
    </row>
    <row r="39" spans="1:17">
      <c r="A39" s="271" t="s">
        <v>420</v>
      </c>
      <c r="B39" s="272"/>
      <c r="C39" s="1477">
        <f>'T1 ANSP'!T68</f>
        <v>5099.1790000000001</v>
      </c>
      <c r="D39" s="1476">
        <f>'T1 ANSP'!U68</f>
        <v>5531.451</v>
      </c>
      <c r="E39" s="275">
        <f>'T1 ANSP'!V68</f>
        <v>10782.061</v>
      </c>
      <c r="F39" s="1252" t="s">
        <v>382</v>
      </c>
      <c r="G39" s="267" t="s">
        <v>382</v>
      </c>
      <c r="H39" s="1347" t="s">
        <v>382</v>
      </c>
      <c r="I39" s="267" t="s">
        <v>382</v>
      </c>
      <c r="J39" s="268" t="s">
        <v>382</v>
      </c>
      <c r="K39" s="219" t="s">
        <v>958</v>
      </c>
    </row>
    <row r="40" spans="1:17">
      <c r="A40" s="276" t="s">
        <v>421</v>
      </c>
      <c r="B40" s="277"/>
      <c r="C40" s="1216">
        <f>+C39/C38-1</f>
        <v>-0.59683735183857922</v>
      </c>
      <c r="D40" s="1475">
        <f t="shared" ref="D40" si="2">+D39/D38-1</f>
        <v>-0.5709059809169188</v>
      </c>
      <c r="E40" s="1474">
        <f>+E39/E38-1</f>
        <v>-0.18212387165288635</v>
      </c>
      <c r="F40" s="1346" t="s">
        <v>382</v>
      </c>
      <c r="G40" s="1348" t="s">
        <v>382</v>
      </c>
      <c r="H40" s="1349" t="s">
        <v>382</v>
      </c>
      <c r="I40" s="1350" t="s">
        <v>382</v>
      </c>
      <c r="J40" s="1351" t="s">
        <v>382</v>
      </c>
      <c r="K40" s="219" t="s">
        <v>958</v>
      </c>
    </row>
    <row r="41" spans="1:17">
      <c r="A41" s="237" t="s">
        <v>903</v>
      </c>
      <c r="B41" s="238"/>
      <c r="C41" s="239">
        <f>IF(C40&lt;-C37,((C40+C37)*-C33)+((C37-C34)*C36*C33),IF(C40&lt;=-C34,(C40+C34)*C36*-C33,IF(C40&lt;=C34,0,IF(C40&lt;=C37,-(C40-C34)*C35*C33,(-(C40-C37+(C37-C34)*C35)*C33)))))</f>
        <v>381433.10393885343</v>
      </c>
      <c r="D41" s="240">
        <f>IF(D40&lt;-D37,((D40+D37)*-D33)+((D37-D34)*D36*D33),IF(D40&lt;=-D34,(D40+D34)*D36*-D33,IF(D40&lt;=D34,0,IF(D40&lt;=D37,-(D40-D34)*D35*D33,(-(D40-D37+(D37-D34)*D35)*D33)))))</f>
        <v>355277.33436190058</v>
      </c>
      <c r="E41" s="240">
        <f>IF(E40&lt;-E37,((E40+E37)*-E33)+((E37-E34)*E36*E33),IF(E40&lt;=-E34,(E40+E34)*E36*-E33,IF(E40&lt;=E34,0,IF(E40&lt;=E37,-(E40-E34)*E35*E33,(-(E40-E37+(E37-E34)*E35)*E33)))))</f>
        <v>95131.355611651379</v>
      </c>
      <c r="F41" s="1253"/>
      <c r="G41" s="258"/>
      <c r="H41" s="1192"/>
      <c r="I41" s="258"/>
      <c r="J41" s="259"/>
      <c r="L41" s="1019" t="s">
        <v>447</v>
      </c>
    </row>
    <row r="42" spans="1:17" ht="3" customHeight="1"/>
    <row r="43" spans="1:17">
      <c r="A43" s="242" t="s">
        <v>422</v>
      </c>
      <c r="B43" s="243"/>
      <c r="C43" s="1300"/>
      <c r="D43" s="1301"/>
      <c r="E43" s="1344"/>
      <c r="F43" s="1249"/>
      <c r="G43" s="235"/>
      <c r="H43" s="235"/>
      <c r="I43" s="235"/>
      <c r="J43" s="236"/>
    </row>
    <row r="44" spans="1:17">
      <c r="A44" s="282" t="s">
        <v>883</v>
      </c>
      <c r="B44" s="283"/>
      <c r="C44" s="1467">
        <f>-(C12-C33)*C40</f>
        <v>0</v>
      </c>
      <c r="D44" s="1468">
        <f>-(D12-D33)*D40</f>
        <v>0</v>
      </c>
      <c r="E44" s="1254">
        <f>-(E12-E33)*E40</f>
        <v>0</v>
      </c>
      <c r="F44" s="1252" t="s">
        <v>382</v>
      </c>
      <c r="G44" s="267" t="s">
        <v>382</v>
      </c>
      <c r="H44" s="267" t="s">
        <v>382</v>
      </c>
      <c r="I44" s="267" t="s">
        <v>382</v>
      </c>
      <c r="J44" s="268" t="s">
        <v>382</v>
      </c>
      <c r="K44" s="219" t="s">
        <v>958</v>
      </c>
    </row>
    <row r="45" spans="1:17">
      <c r="A45" s="284" t="s">
        <v>884</v>
      </c>
      <c r="B45" s="285"/>
      <c r="C45" s="323">
        <f>('T3 ANSP'!E21-'T3 ANSP'!E11+'T3 ANSP'!E36-'T3 ANSP'!E26+'T3 ANSP'!E47+'T3 ANSP'!E58+'T3 ANSP'!E69+'T3 ANSP'!E80+'T3 ANSP'!E91+'T3 ANSP'!E102+'T3 ANSP'!E111+'T3 ANSP'!E126-'T3 ANSP'!E116+'T3 ANSP'!E141-'T3 ANSP'!E131+'T3 ANSP'!E166-'T3 ANSP'!E146+'T3 ANSP'!E181-'T3 ANSP'!E171+'T3 ANSP'!E196-'T3 ANSP'!E186+'T3 ANSP'!E211-'T3 ANSP'!E201+'T3 ANSP'!E226-'T3 ANSP'!E216+'T3 ANSP'!E237+'T3 ANSP'!E248)*-C40</f>
        <v>-4460.2106973964655</v>
      </c>
      <c r="D45" s="324">
        <f>('T3 ANSP'!F21-'T3 ANSP'!F11+'T3 ANSP'!F36-'T3 ANSP'!F26+'T3 ANSP'!F47+'T3 ANSP'!F58+'T3 ANSP'!F69+'T3 ANSP'!F80+'T3 ANSP'!F91+'T3 ANSP'!F102+'T3 ANSP'!F111+'T3 ANSP'!F126-'T3 ANSP'!F116+'T3 ANSP'!F141-'T3 ANSP'!F131+'T3 ANSP'!F166-'T3 ANSP'!F146+'T3 ANSP'!F181-'T3 ANSP'!F171+'T3 ANSP'!F196-'T3 ANSP'!F186+'T3 ANSP'!F211-'T3 ANSP'!F201+'T3 ANSP'!F226-'T3 ANSP'!F216+'T3 ANSP'!F237+'T3 ANSP'!F248)*-D40</f>
        <v>-7443.1509429317057</v>
      </c>
      <c r="E45" s="1333">
        <f>('T3 ANSP'!G21-'T3 ANSP'!G15+'T3 ANSP'!G36-'T3 ANSP'!G26+'T3 ANSP'!G47+'T3 ANSP'!G58+'T3 ANSP'!G69+'T3 ANSP'!G80+'T3 ANSP'!G91+'T3 ANSP'!G102+'T3 ANSP'!G111+'T3 ANSP'!G126-'T3 ANSP'!G116+'T3 ANSP'!G141-'T3 ANSP'!G131+'T3 ANSP'!G166-'T3 ANSP'!G146-'T3 ANSP'!G156+'T3 ANSP'!G181-'T3 ANSP'!G171+'T3 ANSP'!G196-'T3 ANSP'!G186+'T3 ANSP'!G211-'T3 ANSP'!G201+'T3 ANSP'!G226-'T3 ANSP'!G216+'T3 ANSP'!G237+'T3 ANSP'!G248)*-E40</f>
        <v>-5649.8990680928482</v>
      </c>
      <c r="F45" s="1252" t="s">
        <v>382</v>
      </c>
      <c r="G45" s="267" t="s">
        <v>382</v>
      </c>
      <c r="H45" s="267" t="s">
        <v>382</v>
      </c>
      <c r="I45" s="267" t="s">
        <v>382</v>
      </c>
      <c r="J45" s="268" t="s">
        <v>382</v>
      </c>
      <c r="K45" s="219" t="s">
        <v>958</v>
      </c>
      <c r="L45" s="219" t="s">
        <v>448</v>
      </c>
      <c r="M45" s="1332" t="s">
        <v>929</v>
      </c>
      <c r="N45" s="1332"/>
      <c r="O45" s="1332"/>
      <c r="P45" s="1332"/>
      <c r="Q45" s="1332"/>
    </row>
    <row r="46" spans="1:17">
      <c r="A46" s="269" t="s">
        <v>885</v>
      </c>
      <c r="B46" s="270"/>
      <c r="C46" s="239">
        <f>SUM(C44:C45)</f>
        <v>-4460.2106973964655</v>
      </c>
      <c r="D46" s="239">
        <f>SUM(D44:D45)</f>
        <v>-7443.1509429317057</v>
      </c>
      <c r="E46" s="241">
        <f>SUM(E44:E45)</f>
        <v>-5649.8990680928482</v>
      </c>
      <c r="F46" s="1253"/>
      <c r="G46" s="258"/>
      <c r="H46" s="258"/>
      <c r="I46" s="258"/>
      <c r="J46" s="259"/>
    </row>
    <row r="47" spans="1:17" ht="10.95" customHeight="1">
      <c r="C47" s="1466"/>
      <c r="D47" s="1466"/>
      <c r="E47" s="1466"/>
    </row>
    <row r="48" spans="1:17">
      <c r="A48" s="230" t="s">
        <v>423</v>
      </c>
      <c r="B48" s="230"/>
      <c r="C48" s="231"/>
      <c r="D48" s="231"/>
      <c r="E48" s="231"/>
      <c r="F48" s="231"/>
      <c r="G48" s="231"/>
      <c r="H48" s="231"/>
      <c r="I48" s="231"/>
      <c r="J48" s="231"/>
    </row>
    <row r="49" spans="1:14" ht="3.6" customHeight="1"/>
    <row r="50" spans="1:14">
      <c r="A50" s="232" t="s">
        <v>424</v>
      </c>
      <c r="B50" s="233"/>
      <c r="C50" s="234"/>
      <c r="D50" s="235"/>
      <c r="E50" s="1204"/>
      <c r="F50" s="1249"/>
      <c r="G50" s="235"/>
      <c r="H50" s="235"/>
      <c r="I50" s="235"/>
      <c r="J50" s="236"/>
      <c r="L50" s="1019" t="s">
        <v>449</v>
      </c>
    </row>
    <row r="51" spans="1:14">
      <c r="A51" s="271" t="s">
        <v>886</v>
      </c>
      <c r="B51" s="272"/>
      <c r="C51" s="1179">
        <v>0</v>
      </c>
      <c r="D51" s="353"/>
      <c r="E51" s="1292"/>
      <c r="F51" s="1252" t="s">
        <v>382</v>
      </c>
      <c r="G51" s="267" t="s">
        <v>382</v>
      </c>
      <c r="H51" s="267" t="s">
        <v>382</v>
      </c>
      <c r="I51" s="267" t="s">
        <v>382</v>
      </c>
      <c r="J51" s="268" t="s">
        <v>382</v>
      </c>
    </row>
    <row r="52" spans="1:14">
      <c r="A52" s="271" t="s">
        <v>887</v>
      </c>
      <c r="B52" s="272"/>
      <c r="C52" s="1179">
        <v>0</v>
      </c>
      <c r="D52" s="353"/>
      <c r="E52" s="1292"/>
      <c r="F52" s="1252" t="s">
        <v>382</v>
      </c>
      <c r="G52" s="267" t="s">
        <v>382</v>
      </c>
      <c r="H52" s="267" t="s">
        <v>382</v>
      </c>
      <c r="I52" s="267" t="s">
        <v>382</v>
      </c>
      <c r="J52" s="268" t="s">
        <v>382</v>
      </c>
    </row>
    <row r="53" spans="1:14">
      <c r="A53" s="249" t="s">
        <v>904</v>
      </c>
      <c r="B53" s="250"/>
      <c r="C53" s="1179">
        <v>0</v>
      </c>
      <c r="D53" s="353"/>
      <c r="E53" s="1292"/>
      <c r="F53" s="1252" t="s">
        <v>382</v>
      </c>
      <c r="G53" s="267" t="s">
        <v>382</v>
      </c>
      <c r="H53" s="267" t="s">
        <v>382</v>
      </c>
      <c r="I53" s="267" t="s">
        <v>382</v>
      </c>
      <c r="J53" s="268" t="s">
        <v>382</v>
      </c>
    </row>
    <row r="54" spans="1:14" s="290" customFormat="1">
      <c r="A54" s="269" t="s">
        <v>905</v>
      </c>
      <c r="B54" s="270"/>
      <c r="C54" s="239">
        <f>SUM(C51:C53)</f>
        <v>0</v>
      </c>
      <c r="D54" s="240"/>
      <c r="E54" s="241"/>
      <c r="F54" s="1253"/>
      <c r="G54" s="258"/>
      <c r="H54" s="258"/>
      <c r="I54" s="258"/>
      <c r="J54" s="259"/>
      <c r="K54" s="219"/>
      <c r="M54" s="219"/>
      <c r="N54" s="219"/>
    </row>
    <row r="55" spans="1:14" ht="12" customHeight="1"/>
    <row r="56" spans="1:14">
      <c r="A56" s="230" t="s">
        <v>425</v>
      </c>
      <c r="B56" s="230"/>
      <c r="C56" s="291"/>
      <c r="D56" s="291"/>
      <c r="E56" s="291"/>
      <c r="F56" s="231"/>
      <c r="G56" s="231"/>
      <c r="H56" s="231"/>
      <c r="I56" s="231"/>
      <c r="J56" s="231"/>
    </row>
    <row r="57" spans="1:14" ht="3.6" customHeight="1"/>
    <row r="58" spans="1:14">
      <c r="A58" s="232" t="s">
        <v>294</v>
      </c>
      <c r="B58" s="233"/>
      <c r="C58" s="234"/>
      <c r="D58" s="235"/>
      <c r="E58" s="1204"/>
      <c r="F58" s="1249"/>
      <c r="G58" s="235"/>
      <c r="H58" s="235"/>
      <c r="I58" s="235"/>
      <c r="J58" s="236"/>
    </row>
    <row r="59" spans="1:14" s="293" customFormat="1">
      <c r="A59" s="269" t="s">
        <v>906</v>
      </c>
      <c r="B59" s="270"/>
      <c r="C59" s="355">
        <v>0</v>
      </c>
      <c r="D59" s="356"/>
      <c r="E59" s="1302"/>
      <c r="F59" s="1500"/>
      <c r="G59" s="258"/>
      <c r="H59" s="258"/>
      <c r="I59" s="258"/>
      <c r="J59" s="259"/>
    </row>
    <row r="60" spans="1:14" ht="3.6" customHeight="1"/>
    <row r="61" spans="1:14">
      <c r="A61" s="232" t="s">
        <v>426</v>
      </c>
      <c r="B61" s="233"/>
      <c r="C61" s="234"/>
      <c r="D61" s="235"/>
      <c r="E61" s="1204"/>
      <c r="F61" s="1249"/>
      <c r="G61" s="235"/>
      <c r="H61" s="235"/>
      <c r="I61" s="235"/>
      <c r="J61" s="236"/>
      <c r="L61" s="1005"/>
    </row>
    <row r="62" spans="1:14">
      <c r="A62" s="244" t="s">
        <v>427</v>
      </c>
      <c r="B62" s="245"/>
      <c r="C62" s="969">
        <v>48.27207842578828</v>
      </c>
      <c r="D62" s="356"/>
      <c r="E62" s="1302"/>
      <c r="F62" s="1500">
        <v>62.37</v>
      </c>
      <c r="G62" s="258" t="s">
        <v>382</v>
      </c>
      <c r="H62" s="258" t="s">
        <v>382</v>
      </c>
      <c r="I62" s="258" t="s">
        <v>382</v>
      </c>
      <c r="J62" s="259" t="s">
        <v>382</v>
      </c>
      <c r="K62" s="219" t="s">
        <v>960</v>
      </c>
    </row>
    <row r="63" spans="1:14">
      <c r="A63" s="298" t="s">
        <v>907</v>
      </c>
      <c r="B63" s="299"/>
      <c r="C63" s="968">
        <f>(C96-C62)*C39</f>
        <v>4635.6626138413685</v>
      </c>
      <c r="D63" s="972"/>
      <c r="E63" s="1304"/>
      <c r="F63" s="1303"/>
      <c r="G63" s="971">
        <v>0</v>
      </c>
      <c r="H63" s="971">
        <v>0</v>
      </c>
      <c r="I63" s="971">
        <v>0</v>
      </c>
      <c r="J63" s="971">
        <v>0</v>
      </c>
      <c r="K63" s="219" t="s">
        <v>961</v>
      </c>
      <c r="L63" s="987"/>
    </row>
    <row r="64" spans="1:14" ht="3" customHeight="1"/>
    <row r="65" spans="1:12">
      <c r="A65" s="232" t="s">
        <v>428</v>
      </c>
      <c r="B65" s="233"/>
      <c r="C65" s="234"/>
      <c r="D65" s="235"/>
      <c r="E65" s="1204"/>
      <c r="F65" s="1249"/>
      <c r="G65" s="235"/>
      <c r="H65" s="235"/>
      <c r="I65" s="235"/>
      <c r="J65" s="236"/>
    </row>
    <row r="66" spans="1:12">
      <c r="A66" s="298" t="s">
        <v>429</v>
      </c>
      <c r="B66" s="299"/>
      <c r="C66" s="775"/>
      <c r="D66" s="776"/>
      <c r="E66" s="1305"/>
      <c r="F66" s="1255" t="s">
        <v>382</v>
      </c>
      <c r="G66" s="772" t="s">
        <v>382</v>
      </c>
      <c r="H66" s="772" t="s">
        <v>382</v>
      </c>
      <c r="I66" s="772" t="s">
        <v>382</v>
      </c>
      <c r="J66" s="773" t="s">
        <v>382</v>
      </c>
    </row>
    <row r="67" spans="1:12" ht="3" customHeight="1"/>
    <row r="68" spans="1:12">
      <c r="A68" s="242" t="s">
        <v>302</v>
      </c>
      <c r="B68" s="1239"/>
      <c r="C68" s="279"/>
      <c r="D68" s="280"/>
      <c r="E68" s="1219"/>
      <c r="F68" s="1256"/>
      <c r="G68" s="280"/>
      <c r="H68" s="280"/>
      <c r="I68" s="280"/>
      <c r="J68" s="281"/>
    </row>
    <row r="69" spans="1:12">
      <c r="A69" s="303" t="s">
        <v>888</v>
      </c>
      <c r="B69" s="838"/>
      <c r="C69" s="1306">
        <v>-166.68438219613321</v>
      </c>
      <c r="D69" s="901">
        <f>-'T4'!N103</f>
        <v>-10399.967789999999</v>
      </c>
      <c r="E69" s="841">
        <f>-'T4'!O161</f>
        <v>-31197.739202655848</v>
      </c>
      <c r="F69" s="1306">
        <v>-5462.5367855259528</v>
      </c>
      <c r="G69" s="1434">
        <v>-3040.8225124284572</v>
      </c>
      <c r="H69" s="1434">
        <v>-7111.2418160925463</v>
      </c>
      <c r="I69" s="1434">
        <v>0</v>
      </c>
      <c r="J69" s="841">
        <v>0</v>
      </c>
      <c r="K69" s="1332"/>
      <c r="L69" s="1332"/>
    </row>
    <row r="70" spans="1:12">
      <c r="A70" s="271" t="s">
        <v>908</v>
      </c>
      <c r="B70" s="839"/>
      <c r="C70" s="1307"/>
      <c r="D70" s="840"/>
      <c r="E70" s="1308"/>
      <c r="F70" s="1231">
        <v>0</v>
      </c>
      <c r="G70" s="319">
        <v>0</v>
      </c>
      <c r="H70" s="319">
        <v>0</v>
      </c>
      <c r="I70" s="319">
        <v>0</v>
      </c>
      <c r="J70" s="268">
        <v>0</v>
      </c>
    </row>
    <row r="71" spans="1:12">
      <c r="A71" s="271" t="s">
        <v>889</v>
      </c>
      <c r="B71" s="839"/>
      <c r="C71" s="1307">
        <v>-7306.3912952168575</v>
      </c>
      <c r="D71" s="840">
        <v>-2637.4695319517432</v>
      </c>
      <c r="E71" s="813">
        <v>0</v>
      </c>
      <c r="F71" s="1307">
        <v>0</v>
      </c>
      <c r="G71" s="840">
        <v>0</v>
      </c>
      <c r="H71" s="840">
        <v>0</v>
      </c>
      <c r="I71" s="840">
        <v>0</v>
      </c>
      <c r="J71" s="813">
        <v>0</v>
      </c>
    </row>
    <row r="72" spans="1:12">
      <c r="A72" s="276" t="s">
        <v>890</v>
      </c>
      <c r="B72" s="815"/>
      <c r="C72" s="842"/>
      <c r="D72" s="843"/>
      <c r="E72" s="1309"/>
      <c r="F72" s="1432" t="s">
        <v>382</v>
      </c>
      <c r="G72" s="844" t="s">
        <v>382</v>
      </c>
      <c r="H72" s="844" t="s">
        <v>382</v>
      </c>
      <c r="I72" s="844" t="s">
        <v>382</v>
      </c>
      <c r="J72" s="845" t="s">
        <v>382</v>
      </c>
    </row>
    <row r="73" spans="1:12">
      <c r="A73" s="306" t="s">
        <v>891</v>
      </c>
      <c r="B73" s="1246"/>
      <c r="C73" s="804">
        <f>SUM(C69:C72)</f>
        <v>-7473.0756774129904</v>
      </c>
      <c r="D73" s="804">
        <f t="shared" ref="D73:G73" si="3">SUM(D69:D72)</f>
        <v>-13037.437321951742</v>
      </c>
      <c r="E73" s="1310">
        <f t="shared" si="3"/>
        <v>-31197.739202655848</v>
      </c>
      <c r="F73" s="804">
        <f t="shared" si="3"/>
        <v>-5462.5367855259528</v>
      </c>
      <c r="G73" s="804">
        <f t="shared" si="3"/>
        <v>-3040.8225124284572</v>
      </c>
      <c r="H73" s="804">
        <f t="shared" ref="H73:J73" si="4">SUM(H69:H72)</f>
        <v>-7111.2418160925463</v>
      </c>
      <c r="I73" s="804">
        <f t="shared" si="4"/>
        <v>0</v>
      </c>
      <c r="J73" s="1310">
        <f t="shared" si="4"/>
        <v>0</v>
      </c>
    </row>
    <row r="74" spans="1:12" ht="4.2" customHeight="1">
      <c r="A74" s="309"/>
      <c r="B74" s="309"/>
      <c r="C74" s="311"/>
      <c r="D74" s="311"/>
      <c r="E74" s="311"/>
      <c r="F74" s="311"/>
      <c r="G74" s="311"/>
      <c r="H74" s="311"/>
      <c r="I74" s="311"/>
      <c r="J74" s="311"/>
    </row>
    <row r="75" spans="1:12">
      <c r="A75" s="232" t="s">
        <v>430</v>
      </c>
      <c r="B75" s="233"/>
      <c r="C75" s="279"/>
      <c r="D75" s="280"/>
      <c r="E75" s="280"/>
      <c r="F75" s="280"/>
      <c r="G75" s="280"/>
      <c r="H75" s="280"/>
      <c r="I75" s="280"/>
      <c r="J75" s="1219"/>
    </row>
    <row r="76" spans="1:12" s="293" customFormat="1">
      <c r="A76" s="306" t="s">
        <v>892</v>
      </c>
      <c r="B76" s="307"/>
      <c r="C76" s="1006"/>
      <c r="D76" s="258"/>
      <c r="E76" s="258"/>
      <c r="F76" s="258">
        <v>0</v>
      </c>
      <c r="G76" s="258">
        <v>0</v>
      </c>
      <c r="H76" s="258">
        <v>0</v>
      </c>
      <c r="I76" s="258">
        <v>0</v>
      </c>
      <c r="J76" s="259">
        <v>0</v>
      </c>
      <c r="L76" s="961"/>
    </row>
    <row r="77" spans="1:12" ht="10.199999999999999" customHeight="1">
      <c r="A77" s="309"/>
      <c r="B77" s="309"/>
      <c r="C77" s="310"/>
      <c r="D77" s="310"/>
      <c r="E77" s="310"/>
      <c r="F77" s="311"/>
      <c r="G77" s="311"/>
      <c r="H77" s="311"/>
      <c r="I77" s="311"/>
      <c r="J77" s="311"/>
    </row>
    <row r="78" spans="1:12">
      <c r="A78" s="312" t="s">
        <v>431</v>
      </c>
      <c r="B78" s="313"/>
      <c r="C78" s="314">
        <f>C19+C28+C41+C46+C54+C63+C73</f>
        <v>366623.31011958927</v>
      </c>
      <c r="D78" s="314">
        <f t="shared" ref="D78:F78" si="5">D19+D28+D41+D46+D54+D63+D73</f>
        <v>331378.46223056025</v>
      </c>
      <c r="E78" s="314">
        <f t="shared" si="5"/>
        <v>102490.70409103381</v>
      </c>
      <c r="F78" s="314">
        <f t="shared" si="5"/>
        <v>-5462.5367855259528</v>
      </c>
      <c r="G78" s="314"/>
      <c r="H78" s="314"/>
      <c r="I78" s="314"/>
      <c r="J78" s="1433"/>
    </row>
    <row r="79" spans="1:12" ht="26.1" customHeight="1">
      <c r="A79" s="318"/>
      <c r="C79" s="900"/>
      <c r="D79" s="319"/>
      <c r="E79" s="319"/>
      <c r="F79" s="319"/>
      <c r="G79" s="319"/>
      <c r="H79" s="319"/>
      <c r="I79" s="319"/>
      <c r="J79" s="319"/>
    </row>
    <row r="80" spans="1:12">
      <c r="A80" s="1561" t="s">
        <v>432</v>
      </c>
      <c r="B80" s="1562"/>
      <c r="C80" s="227">
        <v>2020</v>
      </c>
      <c r="D80" s="228">
        <v>2021</v>
      </c>
      <c r="E80" s="1182">
        <v>2022</v>
      </c>
      <c r="F80" s="1345">
        <v>2023</v>
      </c>
      <c r="G80" s="228">
        <v>2024</v>
      </c>
      <c r="H80" s="228">
        <v>2025</v>
      </c>
      <c r="I80" s="228">
        <v>2026</v>
      </c>
      <c r="J80" s="229">
        <v>2027</v>
      </c>
    </row>
    <row r="81" spans="1:16">
      <c r="A81" s="260" t="s">
        <v>893</v>
      </c>
      <c r="B81" s="261"/>
      <c r="C81" s="320">
        <f>+C12</f>
        <v>689955.37778031058</v>
      </c>
      <c r="D81" s="321">
        <f>+D12</f>
        <v>674270.83242374472</v>
      </c>
      <c r="E81" s="322">
        <f>+E12</f>
        <v>688739.42261568108</v>
      </c>
      <c r="F81" s="320">
        <f>+F12</f>
        <v>758911.57684834499</v>
      </c>
      <c r="G81" s="321">
        <f t="shared" ref="G81:J81" si="6">+G12</f>
        <v>770018.79954953259</v>
      </c>
      <c r="H81" s="321">
        <f t="shared" si="6"/>
        <v>696737.90630166326</v>
      </c>
      <c r="I81" s="321">
        <f t="shared" si="6"/>
        <v>720194.95390332956</v>
      </c>
      <c r="J81" s="322">
        <f t="shared" si="6"/>
        <v>729122.11112990498</v>
      </c>
      <c r="K81" s="219" t="s">
        <v>956</v>
      </c>
    </row>
    <row r="82" spans="1:16" ht="12.75" customHeight="1">
      <c r="A82" s="249" t="s">
        <v>909</v>
      </c>
      <c r="B82" s="250"/>
      <c r="C82" s="323">
        <f>'T3 ANSP'!E21</f>
        <v>-13078.944372610684</v>
      </c>
      <c r="D82" s="324">
        <f>'T3 ANSP'!F21</f>
        <v>-13954.402440005846</v>
      </c>
      <c r="E82" s="325">
        <f>'T3 ANSP'!G21</f>
        <v>-7512.1700582960393</v>
      </c>
      <c r="F82" s="323">
        <f>'T3 ANSP'!H21</f>
        <v>-3969.8659311800698</v>
      </c>
      <c r="G82" s="1333">
        <v>43331.658206231026</v>
      </c>
      <c r="H82" s="324">
        <f>'T3 ANSP'!J21</f>
        <v>0</v>
      </c>
      <c r="I82" s="324">
        <f>'T3 ANSP'!K21</f>
        <v>0</v>
      </c>
      <c r="J82" s="325">
        <f>'T3 ANSP'!L21</f>
        <v>0</v>
      </c>
      <c r="K82" s="1362" t="s">
        <v>965</v>
      </c>
      <c r="L82" s="1332" t="s">
        <v>963</v>
      </c>
    </row>
    <row r="83" spans="1:16">
      <c r="A83" s="249" t="s">
        <v>894</v>
      </c>
      <c r="B83" s="250"/>
      <c r="C83" s="323">
        <f>'T3 ANSP'!E36</f>
        <v>-52765.667477023497</v>
      </c>
      <c r="D83" s="324">
        <f>'T3 ANSP'!F36</f>
        <v>-62057.379326415998</v>
      </c>
      <c r="E83" s="325">
        <f>'T3 ANSP'!G36</f>
        <v>0</v>
      </c>
      <c r="F83" s="323">
        <f>'T3 ANSP'!H36</f>
        <v>24929.271489367136</v>
      </c>
      <c r="G83" s="1333">
        <f>'T3 ANSP'!I36</f>
        <v>18063.629153141708</v>
      </c>
      <c r="H83" s="1333">
        <f>'T3 ANSP'!J36</f>
        <v>151854.51401245283</v>
      </c>
      <c r="I83" s="1333">
        <f>'T3 ANSP'!K36</f>
        <v>141163.67364776251</v>
      </c>
      <c r="J83" s="1480">
        <f>'T3 ANSP'!L36</f>
        <v>159554.09789316004</v>
      </c>
      <c r="K83" s="1362" t="s">
        <v>964</v>
      </c>
      <c r="L83" s="1019" t="s">
        <v>447</v>
      </c>
    </row>
    <row r="84" spans="1:16" ht="41.4">
      <c r="A84" s="271" t="s">
        <v>910</v>
      </c>
      <c r="B84" s="272"/>
      <c r="C84" s="323">
        <f>'T3 ANSP'!E107</f>
        <v>1590.6636098454458</v>
      </c>
      <c r="D84" s="324">
        <f>'T3 ANSP'!F107</f>
        <v>7943.6378231149201</v>
      </c>
      <c r="E84" s="325">
        <f>'T3 ANSP'!G107</f>
        <v>8029.8140000000003</v>
      </c>
      <c r="F84" s="323">
        <f>'T3 ANSP'!H111</f>
        <v>9151.5062925344555</v>
      </c>
      <c r="G84" s="1333">
        <f>'T3 ANSP'!I111</f>
        <v>7789.8393842788555</v>
      </c>
      <c r="H84" s="324">
        <f>'T3 ANSP'!J111</f>
        <v>4736.3740133098581</v>
      </c>
      <c r="I84" s="324">
        <f>'T3 ANSP'!K111</f>
        <v>4687.164318203284</v>
      </c>
      <c r="J84" s="325">
        <f>'T3 ANSP'!L111</f>
        <v>4683.4637664572128</v>
      </c>
      <c r="K84" s="1362" t="s">
        <v>966</v>
      </c>
      <c r="L84" s="899" t="s">
        <v>450</v>
      </c>
      <c r="N84" s="1332" t="s">
        <v>451</v>
      </c>
      <c r="O84" s="1332"/>
      <c r="P84" s="1332"/>
    </row>
    <row r="85" spans="1:16">
      <c r="A85" s="271" t="s">
        <v>895</v>
      </c>
      <c r="B85" s="272"/>
      <c r="C85" s="323">
        <f>'T3 ANSP'!E126</f>
        <v>-264.10899999999998</v>
      </c>
      <c r="D85" s="324">
        <f>'T3 ANSP'!F126</f>
        <v>228.011</v>
      </c>
      <c r="E85" s="325">
        <f>'T3 ANSP'!G126</f>
        <v>0</v>
      </c>
      <c r="F85" s="323">
        <f>'T3 ANSP'!H126</f>
        <v>0</v>
      </c>
      <c r="G85" s="1333">
        <f>'T3 ANSP'!I126</f>
        <v>0</v>
      </c>
      <c r="H85" s="324">
        <f>'T3 ANSP'!J126</f>
        <v>0</v>
      </c>
      <c r="I85" s="324">
        <f>'T3 ANSP'!K126</f>
        <v>0</v>
      </c>
      <c r="J85" s="325">
        <f>'T3 ANSP'!L126</f>
        <v>0</v>
      </c>
      <c r="K85" s="1362" t="s">
        <v>968</v>
      </c>
      <c r="L85" s="1019" t="s">
        <v>452</v>
      </c>
    </row>
    <row r="86" spans="1:16" ht="14.4">
      <c r="A86" s="271" t="s">
        <v>896</v>
      </c>
      <c r="B86" s="272"/>
      <c r="C86" s="323">
        <f>'T3 ANSP'!E141</f>
        <v>0</v>
      </c>
      <c r="D86" s="324">
        <f>'T3 ANSP'!F141</f>
        <v>0</v>
      </c>
      <c r="E86" s="325">
        <f>'T3 ANSP'!G141</f>
        <v>0</v>
      </c>
      <c r="F86" s="323">
        <f>'T3 ANSP'!H141</f>
        <v>0</v>
      </c>
      <c r="G86" s="1333">
        <f>'T3 ANSP'!I141</f>
        <v>0</v>
      </c>
      <c r="H86" s="324">
        <f>'T3 ANSP'!J141</f>
        <v>0</v>
      </c>
      <c r="I86" s="324">
        <f>'T3 ANSP'!K141</f>
        <v>0</v>
      </c>
      <c r="J86" s="325">
        <f>'T3 ANSP'!L141</f>
        <v>0</v>
      </c>
      <c r="K86" s="1362" t="s">
        <v>969</v>
      </c>
      <c r="N86"/>
      <c r="O86"/>
      <c r="P86"/>
    </row>
    <row r="87" spans="1:16" ht="14.4">
      <c r="A87" s="271" t="s">
        <v>897</v>
      </c>
      <c r="B87" s="272"/>
      <c r="C87" s="323">
        <f>'T3 ANSP'!E166</f>
        <v>4076.59238370824</v>
      </c>
      <c r="D87" s="324">
        <f>'T3 ANSP'!F166</f>
        <v>13834.36575479722</v>
      </c>
      <c r="E87" s="325">
        <f>'T3 ANSP'!G166</f>
        <v>-40533.934523344098</v>
      </c>
      <c r="F87" s="323">
        <f>'T3 ANSP'!H166</f>
        <v>-37869.75</v>
      </c>
      <c r="G87" s="1333">
        <f>'T3 ANSP'!I166</f>
        <v>-11116.31</v>
      </c>
      <c r="H87" s="324">
        <f>'T3 ANSP'!J166</f>
        <v>0</v>
      </c>
      <c r="I87" s="324">
        <f>'T3 ANSP'!K166</f>
        <v>0</v>
      </c>
      <c r="J87" s="325">
        <f>'T3 ANSP'!L166</f>
        <v>0</v>
      </c>
      <c r="K87" s="1362" t="s">
        <v>970</v>
      </c>
      <c r="L87" s="568"/>
      <c r="N87"/>
      <c r="O87"/>
      <c r="P87"/>
    </row>
    <row r="88" spans="1:16" ht="14.4">
      <c r="A88" s="249" t="s">
        <v>898</v>
      </c>
      <c r="B88" s="250"/>
      <c r="C88" s="323">
        <f>'T3 ANSP'!E181+'T3 ANSP'!E196+'T3 ANSP'!E211+'T3 ANSP'!E226</f>
        <v>-7473.0756774129904</v>
      </c>
      <c r="D88" s="324">
        <f>'T3 ANSP'!F181+'T3 ANSP'!F196+'T3 ANSP'!F211+'T3 ANSP'!F226</f>
        <v>-13037.437321951742</v>
      </c>
      <c r="E88" s="325">
        <f>'T3 ANSP'!G181+'T3 ANSP'!G196+'T3 ANSP'!G211+'T3 ANSP'!G226</f>
        <v>-31197.739202655848</v>
      </c>
      <c r="F88" s="323">
        <f>'T3 ANSP'!H181+'T3 ANSP'!H196+'T3 ANSP'!H211+'T3 ANSP'!H226</f>
        <v>-5462.5367855259528</v>
      </c>
      <c r="G88" s="1333">
        <f>'T3 ANSP'!I181+'T3 ANSP'!I196+'T3 ANSP'!I211+'T3 ANSP'!I226</f>
        <v>-3040.8225124284572</v>
      </c>
      <c r="H88" s="324">
        <f>'T3 ANSP'!J181+'T3 ANSP'!J196+'T3 ANSP'!J211+'T3 ANSP'!J226</f>
        <v>-7111.2418160925463</v>
      </c>
      <c r="I88" s="324">
        <f>'T3 ANSP'!K181+'T3 ANSP'!K196+'T3 ANSP'!K211+'T3 ANSP'!K226</f>
        <v>0</v>
      </c>
      <c r="J88" s="325">
        <f>'T3 ANSP'!L181+'T3 ANSP'!L196+'T3 ANSP'!L211+'T3 ANSP'!L226</f>
        <v>0</v>
      </c>
      <c r="K88" s="1362" t="s">
        <v>971</v>
      </c>
      <c r="N88"/>
      <c r="O88"/>
      <c r="P88"/>
    </row>
    <row r="89" spans="1:16" ht="14.4">
      <c r="A89" s="249" t="s">
        <v>899</v>
      </c>
      <c r="B89" s="250"/>
      <c r="C89" s="323">
        <f>'T3 ANSP'!E248</f>
        <v>0</v>
      </c>
      <c r="D89" s="324">
        <f>'T3 ANSP'!F248</f>
        <v>0</v>
      </c>
      <c r="E89" s="325">
        <f>'T3 ANSP'!G248</f>
        <v>0</v>
      </c>
      <c r="F89" s="323">
        <f>'T3 ANSP'!H248</f>
        <v>0</v>
      </c>
      <c r="G89" s="324">
        <f>'T3 ANSP'!I248</f>
        <v>0</v>
      </c>
      <c r="H89" s="324">
        <f>'T3 ANSP'!J248</f>
        <v>0</v>
      </c>
      <c r="I89" s="324">
        <f>'T3 ANSP'!K248</f>
        <v>0</v>
      </c>
      <c r="J89" s="325">
        <f>'T3 ANSP'!L248</f>
        <v>0</v>
      </c>
      <c r="N89"/>
      <c r="O89"/>
      <c r="P89"/>
    </row>
    <row r="90" spans="1:16">
      <c r="A90" s="271" t="s">
        <v>911</v>
      </c>
      <c r="B90" s="272"/>
      <c r="C90" s="326">
        <f>'T3 ANSP'!E237</f>
        <v>0</v>
      </c>
      <c r="D90" s="327">
        <f>'T3 ANSP'!F237</f>
        <v>0</v>
      </c>
      <c r="E90" s="328">
        <f>'T3 ANSP'!G237</f>
        <v>4635.6626138413685</v>
      </c>
      <c r="F90" s="326">
        <f>'T3 ANSP'!H237</f>
        <v>0</v>
      </c>
      <c r="G90" s="327">
        <f>'T3 ANSP'!I237</f>
        <v>0</v>
      </c>
      <c r="H90" s="327">
        <f>'T3 ANSP'!J237</f>
        <v>0</v>
      </c>
      <c r="I90" s="327">
        <f>'T3 ANSP'!K237</f>
        <v>0</v>
      </c>
      <c r="J90" s="328">
        <f>'T3 ANSP'!L237</f>
        <v>0</v>
      </c>
      <c r="L90" s="1019" t="s">
        <v>453</v>
      </c>
    </row>
    <row r="91" spans="1:16">
      <c r="A91" s="329" t="s">
        <v>433</v>
      </c>
      <c r="B91" s="330"/>
      <c r="C91" s="1232">
        <f>SUM(C81:C90)</f>
        <v>622040.83724681695</v>
      </c>
      <c r="D91" s="331">
        <f>SUM(D81:D90)</f>
        <v>607227.62791328342</v>
      </c>
      <c r="E91" s="331">
        <f>SUM(E81:E90)</f>
        <v>622161.05544522649</v>
      </c>
      <c r="F91" s="1357">
        <f>SUM(F81:F90)</f>
        <v>745690.20191354048</v>
      </c>
      <c r="G91" s="331">
        <f>SUM(G81:G90)</f>
        <v>825046.79378075572</v>
      </c>
      <c r="H91" s="331">
        <f t="shared" ref="H91:J91" si="7">SUM(H81:H90)</f>
        <v>846217.55251133337</v>
      </c>
      <c r="I91" s="331">
        <f t="shared" si="7"/>
        <v>866045.7918692953</v>
      </c>
      <c r="J91" s="331">
        <f t="shared" si="7"/>
        <v>893359.67278952221</v>
      </c>
    </row>
    <row r="92" spans="1:16">
      <c r="A92" s="269" t="s">
        <v>434</v>
      </c>
      <c r="B92" s="270"/>
      <c r="C92" s="1218">
        <f>'T1 ANSP'!K68</f>
        <v>12647.945</v>
      </c>
      <c r="D92" s="289">
        <f>'T1 ANSP'!L68</f>
        <v>12891</v>
      </c>
      <c r="E92" s="289">
        <f>'T1 ANSP'!M68</f>
        <v>13183</v>
      </c>
      <c r="F92" s="1218">
        <f>'T1 ANSP'!N68</f>
        <v>11956</v>
      </c>
      <c r="G92" s="289">
        <f>'T1 ANSP'!O68</f>
        <v>12930</v>
      </c>
      <c r="H92" s="289">
        <f>'T1 ANSP'!P68</f>
        <v>13247</v>
      </c>
      <c r="I92" s="289">
        <f>'T1 ANSP'!Q68</f>
        <v>13490</v>
      </c>
      <c r="J92" s="289">
        <f>'T1 ANSP'!R68</f>
        <v>13700</v>
      </c>
    </row>
    <row r="93" spans="1:16">
      <c r="A93" s="269" t="s">
        <v>900</v>
      </c>
      <c r="B93" s="270"/>
      <c r="C93" s="1233">
        <f>C91/C92</f>
        <v>49.18117822672513</v>
      </c>
      <c r="D93" s="332">
        <f t="shared" ref="D93:G93" si="8">D91/D92</f>
        <v>47.104772935635978</v>
      </c>
      <c r="E93" s="332">
        <f t="shared" si="8"/>
        <v>47.194193692272357</v>
      </c>
      <c r="F93" s="1233">
        <f t="shared" si="8"/>
        <v>62.369538467174678</v>
      </c>
      <c r="G93" s="332">
        <f t="shared" si="8"/>
        <v>63.808723416918461</v>
      </c>
      <c r="H93" s="332">
        <f t="shared" ref="H93:J93" si="9">H91/H92</f>
        <v>63.879939043657686</v>
      </c>
      <c r="I93" s="332">
        <f t="shared" si="9"/>
        <v>64.199095023669031</v>
      </c>
      <c r="J93" s="332">
        <f t="shared" si="9"/>
        <v>65.20873524011111</v>
      </c>
    </row>
    <row r="94" spans="1:16">
      <c r="A94" s="269" t="s">
        <v>901</v>
      </c>
      <c r="B94" s="270"/>
      <c r="C94" s="1234">
        <v>0</v>
      </c>
      <c r="D94" s="333"/>
      <c r="E94" s="333"/>
      <c r="F94" s="1234"/>
      <c r="G94" s="333"/>
      <c r="H94" s="333"/>
      <c r="I94" s="333"/>
      <c r="J94" s="334"/>
    </row>
    <row r="95" spans="1:16" ht="10.199999999999999" customHeight="1">
      <c r="A95" s="309"/>
      <c r="B95" s="309"/>
      <c r="C95" s="310"/>
      <c r="D95" s="310"/>
      <c r="E95" s="310"/>
      <c r="F95" s="310"/>
      <c r="G95" s="310"/>
      <c r="H95" s="310"/>
      <c r="I95" s="310"/>
      <c r="J95" s="310"/>
    </row>
    <row r="96" spans="1:16">
      <c r="A96" s="335" t="s">
        <v>435</v>
      </c>
      <c r="B96" s="313"/>
      <c r="C96" s="336">
        <f>C93+C94</f>
        <v>49.18117822672513</v>
      </c>
      <c r="D96" s="336">
        <f t="shared" ref="D96:G96" si="10">D93+D94</f>
        <v>47.104772935635978</v>
      </c>
      <c r="E96" s="777">
        <f t="shared" si="10"/>
        <v>47.194193692272357</v>
      </c>
      <c r="F96" s="336">
        <f t="shared" si="10"/>
        <v>62.369538467174678</v>
      </c>
      <c r="G96" s="336">
        <f t="shared" si="10"/>
        <v>63.808723416918461</v>
      </c>
      <c r="H96" s="336">
        <f t="shared" ref="H96:J96" si="11">H93+H94</f>
        <v>63.879939043657686</v>
      </c>
      <c r="I96" s="336">
        <f t="shared" si="11"/>
        <v>64.199095023669031</v>
      </c>
      <c r="J96" s="777">
        <f t="shared" si="11"/>
        <v>65.20873524011111</v>
      </c>
      <c r="L96" s="219" t="s">
        <v>454</v>
      </c>
    </row>
    <row r="97" spans="1:12">
      <c r="A97" s="318"/>
      <c r="C97" s="311"/>
      <c r="D97" s="311"/>
      <c r="E97" s="311"/>
      <c r="F97" s="337"/>
      <c r="G97" s="337"/>
      <c r="H97" s="337"/>
      <c r="I97" s="337"/>
      <c r="J97" s="337"/>
    </row>
    <row r="98" spans="1:12">
      <c r="A98" s="221" t="s">
        <v>436</v>
      </c>
      <c r="B98" s="230"/>
      <c r="C98" s="337"/>
      <c r="D98" s="337"/>
      <c r="E98" s="337"/>
      <c r="F98" s="337"/>
      <c r="G98" s="337"/>
      <c r="H98" s="337"/>
      <c r="I98" s="337"/>
      <c r="J98" s="337"/>
    </row>
    <row r="99" spans="1:12">
      <c r="A99" s="338" t="s">
        <v>437</v>
      </c>
      <c r="B99" s="230"/>
      <c r="C99" s="339"/>
      <c r="D99" s="339"/>
      <c r="E99" s="339"/>
      <c r="F99" s="337"/>
      <c r="G99" s="337"/>
      <c r="H99" s="337"/>
      <c r="I99" s="337"/>
      <c r="J99" s="337"/>
    </row>
    <row r="100" spans="1:12" ht="14.4">
      <c r="A100" s="338"/>
      <c r="B100" s="230"/>
      <c r="C100" s="337"/>
      <c r="D100" s="337"/>
      <c r="E100"/>
      <c r="F100"/>
      <c r="G100" s="1531"/>
      <c r="H100"/>
      <c r="I100"/>
      <c r="J100"/>
      <c r="L100"/>
    </row>
    <row r="101" spans="1:12" ht="14.4">
      <c r="E101"/>
      <c r="F101"/>
      <c r="G101" s="1531"/>
      <c r="H101"/>
      <c r="I101"/>
      <c r="J101"/>
      <c r="L101"/>
    </row>
    <row r="102" spans="1:12" ht="14.4">
      <c r="E102"/>
      <c r="F102"/>
      <c r="G102" s="1531"/>
      <c r="H102"/>
      <c r="I102"/>
      <c r="J102"/>
      <c r="L102"/>
    </row>
    <row r="103" spans="1:12" ht="14.4">
      <c r="E103"/>
      <c r="F103"/>
      <c r="G103" s="1531"/>
      <c r="H103"/>
      <c r="I103"/>
      <c r="J103"/>
      <c r="L103"/>
    </row>
    <row r="104" spans="1:12" ht="14.4">
      <c r="E104"/>
      <c r="F104"/>
      <c r="G104" s="1531"/>
      <c r="H104"/>
      <c r="I104"/>
      <c r="J104"/>
      <c r="L104"/>
    </row>
    <row r="105" spans="1:12" ht="14.4">
      <c r="E105"/>
      <c r="F105"/>
      <c r="G105" s="1531"/>
      <c r="H105"/>
      <c r="I105"/>
      <c r="J105"/>
      <c r="L105"/>
    </row>
    <row r="106" spans="1:12" ht="14.4">
      <c r="E106"/>
      <c r="F106"/>
      <c r="G106" s="1531"/>
      <c r="H106"/>
      <c r="I106"/>
      <c r="J106"/>
      <c r="L106"/>
    </row>
    <row r="107" spans="1:12" ht="14.4">
      <c r="E107"/>
      <c r="F107"/>
      <c r="G107" s="1531"/>
      <c r="H107"/>
      <c r="I107"/>
      <c r="J107"/>
      <c r="L107"/>
    </row>
    <row r="108" spans="1:12" ht="14.4">
      <c r="E108"/>
      <c r="F108"/>
      <c r="G108" s="1531"/>
      <c r="H108"/>
      <c r="I108"/>
      <c r="J108"/>
      <c r="L108"/>
    </row>
    <row r="109" spans="1:12" ht="14.4">
      <c r="E109"/>
      <c r="F109"/>
      <c r="G109" s="1531"/>
      <c r="H109"/>
      <c r="I109"/>
      <c r="J109"/>
      <c r="L109"/>
    </row>
    <row r="110" spans="1:12" ht="14.4">
      <c r="E110"/>
      <c r="F110"/>
      <c r="G110"/>
      <c r="H110"/>
      <c r="I110"/>
      <c r="J110"/>
      <c r="L110"/>
    </row>
    <row r="111" spans="1:12" ht="14.4">
      <c r="E111"/>
      <c r="F111"/>
      <c r="G111"/>
      <c r="H111"/>
      <c r="I111"/>
      <c r="J111"/>
      <c r="L111"/>
    </row>
    <row r="112" spans="1:12" ht="14.4">
      <c r="E112"/>
      <c r="F112"/>
      <c r="G112"/>
      <c r="H112"/>
      <c r="I112"/>
      <c r="J112"/>
      <c r="L112"/>
    </row>
    <row r="113" spans="5:12" ht="14.4">
      <c r="E113"/>
      <c r="F113"/>
      <c r="G113"/>
      <c r="H113"/>
      <c r="I113"/>
      <c r="J113"/>
      <c r="L113"/>
    </row>
    <row r="114" spans="5:12" ht="14.4">
      <c r="E114"/>
      <c r="F114"/>
      <c r="G114"/>
      <c r="H114"/>
      <c r="I114"/>
      <c r="J114"/>
      <c r="L114"/>
    </row>
    <row r="115" spans="5:12" ht="14.4">
      <c r="E115"/>
      <c r="F115"/>
      <c r="G115"/>
      <c r="H115"/>
      <c r="I115"/>
      <c r="J115"/>
      <c r="L115"/>
    </row>
    <row r="116" spans="5:12" ht="14.4">
      <c r="E116"/>
      <c r="F116"/>
      <c r="G116"/>
      <c r="H116"/>
      <c r="I116"/>
      <c r="J116"/>
      <c r="L116"/>
    </row>
    <row r="117" spans="5:12" ht="14.4">
      <c r="E117"/>
      <c r="F117"/>
      <c r="G117"/>
      <c r="H117"/>
      <c r="I117"/>
      <c r="J117"/>
      <c r="L117"/>
    </row>
    <row r="118" spans="5:12" ht="14.4">
      <c r="E118"/>
      <c r="F118"/>
      <c r="G118"/>
      <c r="H118"/>
      <c r="I118"/>
      <c r="J118"/>
      <c r="L118"/>
    </row>
    <row r="119" spans="5:12" ht="14.4">
      <c r="E119"/>
      <c r="F119"/>
      <c r="G119"/>
      <c r="H119"/>
      <c r="I119"/>
      <c r="J119"/>
      <c r="L119"/>
    </row>
    <row r="120" spans="5:12" ht="14.4">
      <c r="E120"/>
      <c r="F120"/>
      <c r="G120"/>
      <c r="H120"/>
      <c r="I120"/>
      <c r="J120"/>
      <c r="L120"/>
    </row>
    <row r="121" spans="5:12" ht="14.4">
      <c r="E121"/>
      <c r="F121"/>
      <c r="G121"/>
      <c r="H121"/>
      <c r="I121"/>
      <c r="J121"/>
      <c r="L121"/>
    </row>
    <row r="122" spans="5:12" ht="14.4">
      <c r="E122"/>
      <c r="F122"/>
      <c r="G122"/>
      <c r="H122"/>
      <c r="I122"/>
      <c r="J122"/>
      <c r="L122"/>
    </row>
    <row r="123" spans="5:12" ht="14.4">
      <c r="E123"/>
      <c r="F123"/>
      <c r="G123"/>
      <c r="H123"/>
      <c r="I123"/>
      <c r="J123"/>
      <c r="L123"/>
    </row>
    <row r="124" spans="5:12" ht="14.4">
      <c r="E124"/>
      <c r="F124"/>
      <c r="G124"/>
      <c r="H124"/>
      <c r="I124"/>
      <c r="J124"/>
      <c r="L124"/>
    </row>
    <row r="125" spans="5:12" ht="14.4">
      <c r="E125"/>
      <c r="F125"/>
      <c r="G125"/>
      <c r="H125"/>
      <c r="I125"/>
      <c r="J125"/>
      <c r="L125"/>
    </row>
    <row r="126" spans="5:12" ht="14.4">
      <c r="E126"/>
      <c r="F126"/>
      <c r="G126"/>
      <c r="H126"/>
      <c r="I126"/>
      <c r="J126"/>
      <c r="L126"/>
    </row>
    <row r="127" spans="5:12" ht="14.4">
      <c r="E127"/>
      <c r="F127"/>
      <c r="G127"/>
      <c r="H127"/>
      <c r="I127"/>
      <c r="J127"/>
      <c r="L127"/>
    </row>
    <row r="128" spans="5:12" ht="14.4">
      <c r="E128"/>
      <c r="F128"/>
      <c r="G128"/>
      <c r="H128"/>
      <c r="I128"/>
      <c r="J128"/>
      <c r="L128"/>
    </row>
  </sheetData>
  <mergeCells count="5">
    <mergeCell ref="A7:B7"/>
    <mergeCell ref="A80:B80"/>
    <mergeCell ref="C5:E5"/>
    <mergeCell ref="F5:J5"/>
    <mergeCell ref="A1:J1"/>
  </mergeCells>
  <pageMargins left="0.7" right="0.7" top="0.75" bottom="0.75" header="0.3" footer="0.3"/>
  <pageSetup paperSize="9" scale="27" orientation="portrait" r:id="rId1"/>
  <customProperties>
    <customPr name="_pios_id" r:id="rId2"/>
  </customPropertie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K104"/>
  <sheetViews>
    <sheetView showGridLines="0" zoomScaleNormal="100" workbookViewId="0">
      <pane xSplit="2" ySplit="10" topLeftCell="C72" activePane="bottomRight" state="frozen"/>
      <selection activeCell="B93" sqref="B93"/>
      <selection pane="topRight" activeCell="B93" sqref="B93"/>
      <selection pane="bottomLeft" activeCell="B93" sqref="B93"/>
      <selection pane="bottomRight" activeCell="G82" sqref="G82"/>
    </sheetView>
  </sheetViews>
  <sheetFormatPr defaultColWidth="1.44140625" defaultRowHeight="13.8"/>
  <cols>
    <col min="1" max="1" width="24" style="221" customWidth="1"/>
    <col min="2" max="2" width="52.5546875" style="221" customWidth="1"/>
    <col min="3" max="7" width="12.5546875" style="221" customWidth="1"/>
    <col min="8" max="10" width="10.5546875" style="219" customWidth="1"/>
    <col min="11" max="11" width="8.6640625" style="219" bestFit="1" customWidth="1"/>
    <col min="12" max="12" width="1.5546875" style="219" customWidth="1"/>
    <col min="13" max="16384" width="1.44140625" style="219"/>
  </cols>
  <sheetData>
    <row r="1" spans="1:10">
      <c r="A1" s="1566" t="s">
        <v>400</v>
      </c>
      <c r="B1" s="1566"/>
      <c r="C1" s="1566"/>
      <c r="D1" s="1566"/>
      <c r="E1" s="1566"/>
      <c r="F1" s="1566"/>
      <c r="G1" s="1566"/>
      <c r="H1" s="1566"/>
      <c r="I1" s="1566"/>
      <c r="J1" s="1566"/>
    </row>
    <row r="2" spans="1:10">
      <c r="A2" s="220"/>
      <c r="B2" s="220"/>
      <c r="G2" s="222"/>
    </row>
    <row r="3" spans="1:10">
      <c r="A3" s="223" t="str">
        <f>'T1 MET'!A3</f>
        <v>United Kingdom</v>
      </c>
      <c r="C3" s="219"/>
      <c r="D3" s="219"/>
      <c r="E3" s="224"/>
      <c r="F3" s="219"/>
      <c r="G3" s="219"/>
    </row>
    <row r="4" spans="1:10">
      <c r="A4" s="225" t="str">
        <f>'T1 MET'!A4</f>
        <v>Currency : GBP £</v>
      </c>
      <c r="C4" s="219"/>
      <c r="D4" s="219"/>
      <c r="E4" s="224"/>
      <c r="F4" s="219"/>
      <c r="G4" s="219"/>
    </row>
    <row r="5" spans="1:10">
      <c r="A5" s="226" t="str">
        <f>'T1 MET'!A5</f>
        <v>Met Office</v>
      </c>
      <c r="C5" s="1563" t="s">
        <v>127</v>
      </c>
      <c r="D5" s="1564"/>
      <c r="E5" s="1564"/>
      <c r="F5" s="1563" t="s">
        <v>401</v>
      </c>
      <c r="G5" s="1564"/>
      <c r="H5" s="1564"/>
      <c r="I5" s="1564"/>
      <c r="J5" s="1565"/>
    </row>
    <row r="7" spans="1:10">
      <c r="A7" s="1561" t="s">
        <v>402</v>
      </c>
      <c r="B7" s="1567"/>
      <c r="C7" s="227">
        <v>2020</v>
      </c>
      <c r="D7" s="228">
        <v>2021</v>
      </c>
      <c r="E7" s="1182">
        <v>2022</v>
      </c>
      <c r="F7" s="1181">
        <v>2023</v>
      </c>
      <c r="G7" s="229">
        <v>2024</v>
      </c>
      <c r="H7" s="228">
        <v>2025</v>
      </c>
      <c r="I7" s="229">
        <v>2026</v>
      </c>
      <c r="J7" s="1182">
        <v>2027</v>
      </c>
    </row>
    <row r="8" spans="1:10">
      <c r="C8" s="249"/>
      <c r="E8" s="250"/>
      <c r="F8" s="249"/>
      <c r="H8" s="221"/>
      <c r="I8" s="221"/>
      <c r="J8" s="250"/>
    </row>
    <row r="9" spans="1:10">
      <c r="A9" s="230" t="s">
        <v>403</v>
      </c>
      <c r="B9" s="230"/>
      <c r="C9" s="1202"/>
      <c r="D9" s="231"/>
      <c r="E9" s="1203"/>
      <c r="F9" s="1202"/>
      <c r="G9" s="231"/>
      <c r="H9" s="231"/>
      <c r="I9" s="231"/>
      <c r="J9" s="1203"/>
    </row>
    <row r="10" spans="1:10" ht="3" customHeight="1">
      <c r="C10" s="249"/>
      <c r="E10" s="250"/>
      <c r="F10" s="249"/>
      <c r="H10" s="221"/>
      <c r="I10" s="221"/>
      <c r="J10" s="250"/>
    </row>
    <row r="11" spans="1:10">
      <c r="A11" s="232" t="s">
        <v>404</v>
      </c>
      <c r="B11" s="1237"/>
      <c r="C11" s="234"/>
      <c r="D11" s="235"/>
      <c r="E11" s="1204"/>
      <c r="F11" s="234"/>
      <c r="G11" s="235"/>
      <c r="H11" s="235"/>
      <c r="I11" s="235"/>
      <c r="J11" s="1204"/>
    </row>
    <row r="12" spans="1:10">
      <c r="A12" s="237" t="s">
        <v>438</v>
      </c>
      <c r="B12" s="1238"/>
      <c r="C12" s="340">
        <f>+'T1 MET'!K61</f>
        <v>30937.954929357504</v>
      </c>
      <c r="D12" s="341">
        <f>+'T1 MET'!L61</f>
        <v>30193.924055224317</v>
      </c>
      <c r="E12" s="342">
        <f>+'T1 MET'!M61</f>
        <v>31631.804677089873</v>
      </c>
      <c r="F12" s="340">
        <f>+'T1 MET'!N61</f>
        <v>34979.994081867517</v>
      </c>
      <c r="G12" s="341">
        <f>+'T1 MET'!O61</f>
        <v>39154.635377280938</v>
      </c>
      <c r="H12" s="341">
        <f>+'T1 MET'!P61</f>
        <v>39333.693407857965</v>
      </c>
      <c r="I12" s="341">
        <f>+'T1 MET'!Q61</f>
        <v>39178.680831826401</v>
      </c>
      <c r="J12" s="342">
        <f>+'T1 MET'!R61</f>
        <v>39736.652638500746</v>
      </c>
    </row>
    <row r="13" spans="1:10" ht="3" customHeight="1">
      <c r="C13" s="1224"/>
      <c r="D13" s="294"/>
      <c r="E13" s="275"/>
      <c r="F13" s="1224"/>
      <c r="G13" s="294"/>
      <c r="H13" s="294"/>
      <c r="I13" s="294"/>
      <c r="J13" s="275"/>
    </row>
    <row r="14" spans="1:10">
      <c r="A14" s="242" t="s">
        <v>405</v>
      </c>
      <c r="B14" s="1239"/>
      <c r="C14" s="301"/>
      <c r="D14" s="302"/>
      <c r="E14" s="1227"/>
      <c r="F14" s="301"/>
      <c r="G14" s="302"/>
      <c r="H14" s="302"/>
      <c r="I14" s="302"/>
      <c r="J14" s="1227"/>
    </row>
    <row r="15" spans="1:10">
      <c r="A15" s="244" t="s">
        <v>406</v>
      </c>
      <c r="B15" s="801"/>
      <c r="C15" s="809">
        <f>C12</f>
        <v>30937.954929357504</v>
      </c>
      <c r="D15" s="810">
        <f t="shared" ref="D15:G15" si="0">D12</f>
        <v>30193.924055224317</v>
      </c>
      <c r="E15" s="811">
        <f t="shared" si="0"/>
        <v>31631.804677089873</v>
      </c>
      <c r="F15" s="809">
        <f t="shared" si="0"/>
        <v>34979.994081867517</v>
      </c>
      <c r="G15" s="810">
        <f t="shared" si="0"/>
        <v>39154.635377280938</v>
      </c>
      <c r="H15" s="810">
        <f t="shared" ref="H15:J15" si="1">H12</f>
        <v>39333.693407857965</v>
      </c>
      <c r="I15" s="810">
        <f t="shared" si="1"/>
        <v>39178.680831826401</v>
      </c>
      <c r="J15" s="811">
        <f t="shared" si="1"/>
        <v>39736.652638500746</v>
      </c>
    </row>
    <row r="16" spans="1:10">
      <c r="A16" s="249" t="s">
        <v>407</v>
      </c>
      <c r="C16" s="807">
        <f>'T1'!K65</f>
        <v>106.44304700754891</v>
      </c>
      <c r="D16" s="806">
        <f>+'T1 ANSP'!L65</f>
        <v>108.5719079476999</v>
      </c>
      <c r="E16" s="806">
        <f>'T1 MET'!M65</f>
        <v>110.7433461066539</v>
      </c>
      <c r="F16" s="246">
        <f>+'T1 ANSP'!N65</f>
        <v>118.73399586480322</v>
      </c>
      <c r="G16" s="274">
        <f>+'T1 ANSP'!O65</f>
        <v>119.75124598510098</v>
      </c>
      <c r="H16" s="274">
        <f>+'T1 ANSP'!P65</f>
        <v>119.88965772959871</v>
      </c>
      <c r="I16" s="274">
        <f>+'T1 ANSP'!Q65</f>
        <v>120.48871867171231</v>
      </c>
      <c r="J16" s="275">
        <f>+'T1 ANSP'!R65</f>
        <v>122.3836193976915</v>
      </c>
    </row>
    <row r="17" spans="1:10">
      <c r="A17" s="249" t="s">
        <v>408</v>
      </c>
      <c r="C17" s="807">
        <f>'T1 MET'!T65</f>
        <v>105.28410499999997</v>
      </c>
      <c r="D17" s="294">
        <f>'T1 MET'!U65</f>
        <v>108.02149172999997</v>
      </c>
      <c r="E17" s="294">
        <f>'T1 MET'!V65</f>
        <v>117.85144747742996</v>
      </c>
      <c r="F17" s="246"/>
      <c r="G17" s="266"/>
      <c r="H17" s="266"/>
      <c r="I17" s="266"/>
      <c r="J17" s="1212"/>
    </row>
    <row r="18" spans="1:10">
      <c r="A18" s="254" t="s">
        <v>409</v>
      </c>
      <c r="B18" s="802"/>
      <c r="C18" s="1258">
        <f>+C17/C16-1</f>
        <v>-1.0887907102722805E-2</v>
      </c>
      <c r="D18" s="808">
        <f>+D17/D16-1</f>
        <v>-5.0696006739153754E-3</v>
      </c>
      <c r="E18" s="808">
        <f>+E17/E16-1</f>
        <v>6.4185358494861067E-2</v>
      </c>
      <c r="F18" s="1352"/>
      <c r="G18" s="1353"/>
      <c r="H18" s="1353"/>
      <c r="I18" s="1353"/>
      <c r="J18" s="1354"/>
    </row>
    <row r="19" spans="1:10">
      <c r="A19" s="237" t="s">
        <v>439</v>
      </c>
      <c r="B19" s="1238"/>
      <c r="C19" s="239">
        <f>+C15*C18</f>
        <v>-336.8495792190696</v>
      </c>
      <c r="D19" s="805">
        <f>+D15*D18</f>
        <v>-153.07113773851486</v>
      </c>
      <c r="E19" s="805">
        <f>+E15*E18</f>
        <v>2030.2987230384365</v>
      </c>
      <c r="F19" s="804"/>
      <c r="G19" s="805"/>
      <c r="H19" s="805"/>
      <c r="I19" s="805"/>
      <c r="J19" s="1260"/>
    </row>
    <row r="20" spans="1:10" ht="3" customHeight="1">
      <c r="C20" s="249"/>
      <c r="E20" s="250"/>
      <c r="F20" s="249"/>
      <c r="H20" s="221"/>
      <c r="I20" s="221"/>
      <c r="J20" s="250"/>
    </row>
    <row r="21" spans="1:10">
      <c r="A21" s="232" t="s">
        <v>902</v>
      </c>
      <c r="B21" s="1237"/>
      <c r="C21" s="234"/>
      <c r="D21" s="235"/>
      <c r="E21" s="1204"/>
      <c r="F21" s="234"/>
      <c r="G21" s="235"/>
      <c r="H21" s="235"/>
      <c r="I21" s="235"/>
      <c r="J21" s="1204"/>
    </row>
    <row r="22" spans="1:10">
      <c r="A22" s="260" t="s">
        <v>410</v>
      </c>
      <c r="B22" s="1240"/>
      <c r="C22" s="344">
        <v>0</v>
      </c>
      <c r="D22" s="344">
        <v>0</v>
      </c>
      <c r="E22" s="344">
        <v>0</v>
      </c>
      <c r="F22" s="1224"/>
      <c r="G22" s="294"/>
      <c r="H22" s="294"/>
      <c r="I22" s="294"/>
      <c r="J22" s="275"/>
    </row>
    <row r="23" spans="1:10">
      <c r="A23" s="264" t="s">
        <v>411</v>
      </c>
      <c r="B23" s="1241"/>
      <c r="C23" s="346"/>
      <c r="D23" s="346"/>
      <c r="E23" s="346"/>
      <c r="F23" s="1279"/>
      <c r="G23" s="347"/>
      <c r="H23" s="347"/>
      <c r="I23" s="347"/>
      <c r="J23" s="1261"/>
    </row>
    <row r="24" spans="1:10">
      <c r="A24" s="264" t="s">
        <v>412</v>
      </c>
      <c r="B24" s="1241"/>
      <c r="C24" s="350"/>
      <c r="D24" s="350"/>
      <c r="E24" s="350"/>
      <c r="F24" s="1279"/>
      <c r="G24" s="351"/>
      <c r="H24" s="351"/>
      <c r="I24" s="351"/>
      <c r="J24" s="1262"/>
    </row>
    <row r="25" spans="1:10">
      <c r="A25" s="264" t="s">
        <v>413</v>
      </c>
      <c r="B25" s="1241"/>
      <c r="C25" s="352">
        <v>0</v>
      </c>
      <c r="D25" s="352">
        <v>0</v>
      </c>
      <c r="E25" s="352">
        <v>0</v>
      </c>
      <c r="F25" s="246"/>
      <c r="G25" s="266"/>
      <c r="H25" s="266"/>
      <c r="I25" s="266"/>
      <c r="J25" s="1212"/>
    </row>
    <row r="26" spans="1:10">
      <c r="A26" s="264" t="s">
        <v>414</v>
      </c>
      <c r="B26" s="1241"/>
      <c r="C26" s="352">
        <v>0</v>
      </c>
      <c r="D26" s="352">
        <v>0</v>
      </c>
      <c r="E26" s="352">
        <v>0</v>
      </c>
      <c r="F26" s="246"/>
      <c r="G26" s="266"/>
      <c r="H26" s="266"/>
      <c r="I26" s="266"/>
      <c r="J26" s="1212"/>
    </row>
    <row r="27" spans="1:10">
      <c r="A27" s="264" t="s">
        <v>415</v>
      </c>
      <c r="B27" s="1241"/>
      <c r="C27" s="352">
        <v>0</v>
      </c>
      <c r="D27" s="352">
        <v>0</v>
      </c>
      <c r="E27" s="352">
        <v>0</v>
      </c>
      <c r="F27" s="1352"/>
      <c r="G27" s="1353"/>
      <c r="H27" s="1353"/>
      <c r="I27" s="1353"/>
      <c r="J27" s="1354"/>
    </row>
    <row r="28" spans="1:10">
      <c r="A28" s="269" t="s">
        <v>446</v>
      </c>
      <c r="B28" s="1242"/>
      <c r="C28" s="239">
        <f>SUM(C22:C27)</f>
        <v>0</v>
      </c>
      <c r="D28" s="239">
        <f t="shared" ref="D28:E28" si="2">SUM(D22:D27)</f>
        <v>0</v>
      </c>
      <c r="E28" s="239">
        <f t="shared" si="2"/>
        <v>0</v>
      </c>
      <c r="F28" s="804"/>
      <c r="G28" s="805"/>
      <c r="H28" s="805"/>
      <c r="I28" s="805"/>
      <c r="J28" s="1260"/>
    </row>
    <row r="29" spans="1:10" ht="10.95" customHeight="1">
      <c r="C29" s="249"/>
      <c r="E29" s="250"/>
      <c r="F29" s="249"/>
      <c r="H29" s="221"/>
      <c r="I29" s="221"/>
      <c r="J29" s="250"/>
    </row>
    <row r="30" spans="1:10">
      <c r="A30" s="230" t="s">
        <v>416</v>
      </c>
      <c r="B30" s="230"/>
      <c r="C30" s="1202"/>
      <c r="D30" s="231"/>
      <c r="E30" s="1203"/>
      <c r="F30" s="1202"/>
      <c r="G30" s="231"/>
      <c r="H30" s="231"/>
      <c r="I30" s="231"/>
      <c r="J30" s="1203"/>
    </row>
    <row r="31" spans="1:10" ht="1.95" customHeight="1">
      <c r="C31" s="249"/>
      <c r="E31" s="250"/>
      <c r="F31" s="249"/>
      <c r="H31" s="221"/>
      <c r="I31" s="221"/>
      <c r="J31" s="250"/>
    </row>
    <row r="32" spans="1:10">
      <c r="A32" s="232" t="s">
        <v>417</v>
      </c>
      <c r="B32" s="1237"/>
      <c r="C32" s="234"/>
      <c r="D32" s="235"/>
      <c r="E32" s="1204"/>
      <c r="F32" s="234"/>
      <c r="G32" s="235"/>
      <c r="H32" s="235"/>
      <c r="I32" s="235"/>
      <c r="J32" s="1204"/>
    </row>
    <row r="33" spans="1:11">
      <c r="A33" s="249" t="s">
        <v>418</v>
      </c>
      <c r="C33" s="350"/>
      <c r="D33" s="357"/>
      <c r="E33" s="1263"/>
      <c r="F33" s="1280"/>
      <c r="G33" s="357"/>
      <c r="H33" s="357"/>
      <c r="I33" s="357"/>
      <c r="J33" s="1263"/>
    </row>
    <row r="34" spans="1:11">
      <c r="A34" s="271" t="s">
        <v>879</v>
      </c>
      <c r="B34" s="839"/>
      <c r="C34" s="1264"/>
      <c r="D34" s="358"/>
      <c r="E34" s="1265"/>
      <c r="F34" s="1281"/>
      <c r="G34" s="358"/>
      <c r="H34" s="358"/>
      <c r="I34" s="358"/>
      <c r="J34" s="1265"/>
    </row>
    <row r="35" spans="1:11">
      <c r="A35" s="271" t="s">
        <v>882</v>
      </c>
      <c r="B35" s="839"/>
      <c r="C35" s="1264"/>
      <c r="D35" s="358"/>
      <c r="E35" s="1265"/>
      <c r="F35" s="1281"/>
      <c r="G35" s="358"/>
      <c r="H35" s="358"/>
      <c r="I35" s="358"/>
      <c r="J35" s="1265"/>
    </row>
    <row r="36" spans="1:11">
      <c r="A36" s="271" t="s">
        <v>880</v>
      </c>
      <c r="B36" s="839"/>
      <c r="C36" s="1264"/>
      <c r="D36" s="358"/>
      <c r="E36" s="1265"/>
      <c r="F36" s="1281"/>
      <c r="G36" s="358"/>
      <c r="H36" s="358"/>
      <c r="I36" s="358"/>
      <c r="J36" s="1265"/>
    </row>
    <row r="37" spans="1:11">
      <c r="A37" s="271" t="s">
        <v>881</v>
      </c>
      <c r="B37" s="839"/>
      <c r="C37" s="1266"/>
      <c r="D37" s="359"/>
      <c r="E37" s="1267"/>
      <c r="F37" s="1281"/>
      <c r="G37" s="359"/>
      <c r="H37" s="359"/>
      <c r="I37" s="359"/>
      <c r="J37" s="1267"/>
    </row>
    <row r="38" spans="1:11">
      <c r="A38" s="249" t="s">
        <v>419</v>
      </c>
      <c r="C38" s="246">
        <f>'T1 MET'!K68</f>
        <v>12647.945</v>
      </c>
      <c r="D38" s="246">
        <f>'T1 MET'!L68</f>
        <v>12891</v>
      </c>
      <c r="E38" s="246">
        <f>'T1 MET'!M68</f>
        <v>13183</v>
      </c>
      <c r="F38" s="246">
        <f>'T1 MET'!N68</f>
        <v>11956</v>
      </c>
      <c r="G38" s="274">
        <f>'T1 MET'!O68</f>
        <v>12930</v>
      </c>
      <c r="H38" s="274">
        <f>'T1 MET'!P68</f>
        <v>13247</v>
      </c>
      <c r="I38" s="274">
        <f>'T1 MET'!Q68</f>
        <v>13490</v>
      </c>
      <c r="J38" s="275">
        <f>'T1 MET'!R68</f>
        <v>13700</v>
      </c>
    </row>
    <row r="39" spans="1:11">
      <c r="A39" s="271" t="s">
        <v>420</v>
      </c>
      <c r="B39" s="839"/>
      <c r="C39" s="246">
        <f>'T1 MET'!T68</f>
        <v>5099.1790000000001</v>
      </c>
      <c r="D39" s="246">
        <f>'T1 MET'!U68</f>
        <v>5531.451</v>
      </c>
      <c r="E39" s="246">
        <f>'T1 MET'!V68</f>
        <v>10782.061</v>
      </c>
      <c r="F39" s="246"/>
      <c r="G39" s="266"/>
      <c r="H39" s="266"/>
      <c r="I39" s="266"/>
      <c r="J39" s="1212"/>
    </row>
    <row r="40" spans="1:11">
      <c r="A40" s="276" t="s">
        <v>421</v>
      </c>
      <c r="B40" s="815"/>
      <c r="C40" s="1216">
        <f>+C39/C38-1</f>
        <v>-0.59683735183857922</v>
      </c>
      <c r="D40" s="1216">
        <f t="shared" ref="D40:E40" si="3">+D39/D38-1</f>
        <v>-0.5709059809169188</v>
      </c>
      <c r="E40" s="1216">
        <f t="shared" si="3"/>
        <v>-0.18212387165288635</v>
      </c>
      <c r="F40" s="1352"/>
      <c r="G40" s="1353"/>
      <c r="H40" s="1353"/>
      <c r="I40" s="1353"/>
      <c r="J40" s="1354"/>
    </row>
    <row r="41" spans="1:11">
      <c r="A41" s="237" t="s">
        <v>903</v>
      </c>
      <c r="B41" s="1238"/>
      <c r="C41" s="239">
        <f>IF(C40&lt;-C37,((C40+C37)*-C33)+((C37-C34)*C36*C33),IF(C40&lt;=-C34,(C40+C34)*C36*-C33,IF(C40&lt;=C34,0,IF(C40&lt;=C37,-(C40-C34)*C35*C33,(-(C40-C37+(C37-C34)*C35)*C33)))))</f>
        <v>0</v>
      </c>
      <c r="D41" s="239">
        <f t="shared" ref="D41:E41" si="4">IF(D40&lt;-D37,((D40+D37)*-D33)+((D37-D34)*D36*D33),IF(D40&lt;=-D34,(D40+D34)*D36*-D33,IF(D40&lt;=D34,0,IF(D40&lt;=D37,-(D40-D34)*D35*D33,(-(D40-D37+(D37-D34)*D35)*D33)))))</f>
        <v>0</v>
      </c>
      <c r="E41" s="239">
        <f t="shared" si="4"/>
        <v>0</v>
      </c>
      <c r="F41" s="804"/>
      <c r="G41" s="805"/>
      <c r="H41" s="805"/>
      <c r="I41" s="805"/>
      <c r="J41" s="1260"/>
    </row>
    <row r="42" spans="1:11" ht="3" customHeight="1">
      <c r="C42" s="249"/>
      <c r="E42" s="250"/>
      <c r="F42" s="249"/>
      <c r="H42" s="221"/>
      <c r="I42" s="221"/>
      <c r="J42" s="250"/>
    </row>
    <row r="43" spans="1:11">
      <c r="A43" s="242" t="s">
        <v>422</v>
      </c>
      <c r="B43" s="1239"/>
      <c r="C43" s="234"/>
      <c r="D43" s="235"/>
      <c r="E43" s="1204"/>
      <c r="F43" s="234"/>
      <c r="G43" s="235"/>
      <c r="H43" s="235"/>
      <c r="I43" s="235"/>
      <c r="J43" s="1204"/>
    </row>
    <row r="44" spans="1:11">
      <c r="A44" s="282" t="s">
        <v>883</v>
      </c>
      <c r="B44" s="1243"/>
      <c r="C44" s="323">
        <f>-(C12-C33)*C40</f>
        <v>18464.92709133905</v>
      </c>
      <c r="D44" s="324">
        <f>-(D12-D33)*D40</f>
        <v>17237.891830478791</v>
      </c>
      <c r="E44" s="324">
        <f>-(E12-E33)*E40</f>
        <v>5760.9067351594858</v>
      </c>
      <c r="F44" s="323"/>
      <c r="G44" s="324"/>
      <c r="H44" s="324"/>
      <c r="I44" s="324"/>
      <c r="J44" s="325"/>
    </row>
    <row r="45" spans="1:11">
      <c r="A45" s="284" t="s">
        <v>884</v>
      </c>
      <c r="B45" s="1244"/>
      <c r="C45" s="323">
        <f>('T3 MET'!E21-'T3 MET'!E11+'T3 MET'!E36-'T3 MET'!E26+'T3 MET'!E47+'T3 MET'!E58+'T3 MET'!E69+'T3 MET'!E80+'T3 MET'!E91+'T3 MET'!E102+'T3 MET'!E111+'T3 MET'!E126-'T3 MET'!E116+'T3 MET'!E141-'T3 MET'!E131+'T3 MET'!E166-'T3 MET'!E146+'T3 MET'!E181-'T3 MET'!E171+'T3 MET'!E196-'T3 MET'!E186+'T3 MET'!E211-'T3 MET'!E201+'T3 MET'!E226-'T3 MET'!E216+'T3 MET'!E237+'T3 MET'!E248)*-C40</f>
        <v>0</v>
      </c>
      <c r="D45" s="323">
        <f>('T3 MET'!F21-'T3 MET'!F11+'T3 MET'!F36-'T3 MET'!F26+'T3 MET'!F47+'T3 MET'!F58+'T3 MET'!F69+'T3 MET'!F80+'T3 MET'!F91+'T3 MET'!F102+'T3 MET'!F111+'T3 MET'!F126-'T3 MET'!F116+'T3 MET'!F141-'T3 MET'!F131+'T3 MET'!F166-'T3 MET'!F146+'T3 MET'!F181-'T3 MET'!F171+'T3 MET'!F196-'T3 MET'!F186+'T3 MET'!F211-'T3 MET'!F201+'T3 MET'!F226-'T3 MET'!F216+'T3 MET'!F237+'T3 MET'!F248)*-D40</f>
        <v>0</v>
      </c>
      <c r="E45" s="324">
        <f>('T3 MET'!G21-'T3 MET'!G11+'T3 MET'!G36-'T3 MET'!G26+'T3 MET'!G47+'T3 MET'!G58+'T3 MET'!G69+'T3 MET'!G80+'T3 MET'!G91+'T3 MET'!G102+'T3 MET'!G111+'T3 MET'!G126-'T3 MET'!G116+'T3 MET'!G141-'T3 MET'!G131+'T3 MET'!G166-'T3 MET'!G146-'T3 MET'!G156+'T3 MET'!G181-'T3 MET'!G171+'T3 MET'!G196-'T3 MET'!G186+'T3 MET'!G211-'T3 MET'!G201+'T3 MET'!G226-'T3 MET'!G216+'T3 MET'!G237+'T3 MET'!G248)*-E40</f>
        <v>3301.5556621309147</v>
      </c>
      <c r="F45" s="323"/>
      <c r="G45" s="324"/>
      <c r="H45" s="324"/>
      <c r="I45" s="324"/>
      <c r="J45" s="325"/>
      <c r="K45" s="1332" t="s">
        <v>455</v>
      </c>
    </row>
    <row r="46" spans="1:11">
      <c r="A46" s="269" t="s">
        <v>885</v>
      </c>
      <c r="B46" s="1242"/>
      <c r="C46" s="239">
        <f>SUM(C44:C45)</f>
        <v>18464.92709133905</v>
      </c>
      <c r="D46" s="240">
        <f>SUM(D44:D45)</f>
        <v>17237.891830478791</v>
      </c>
      <c r="E46" s="240">
        <f>SUM(E44:E45)</f>
        <v>9062.462397290401</v>
      </c>
      <c r="F46" s="1006"/>
      <c r="G46" s="240"/>
      <c r="H46" s="240"/>
      <c r="I46" s="240"/>
      <c r="J46" s="241"/>
    </row>
    <row r="47" spans="1:11" ht="10.95" customHeight="1">
      <c r="C47" s="1326"/>
      <c r="D47" s="1326"/>
      <c r="E47" s="1326"/>
      <c r="F47" s="249"/>
      <c r="H47" s="221"/>
      <c r="I47" s="221"/>
      <c r="J47" s="250"/>
    </row>
    <row r="48" spans="1:11">
      <c r="A48" s="230" t="s">
        <v>423</v>
      </c>
      <c r="B48" s="230"/>
      <c r="C48" s="1202"/>
      <c r="D48" s="231"/>
      <c r="E48" s="1203"/>
      <c r="F48" s="1202"/>
      <c r="G48" s="231"/>
      <c r="H48" s="231"/>
      <c r="I48" s="231"/>
      <c r="J48" s="1203"/>
    </row>
    <row r="49" spans="1:10" ht="3.6" customHeight="1">
      <c r="C49" s="249"/>
      <c r="E49" s="250"/>
      <c r="F49" s="249"/>
      <c r="H49" s="221"/>
      <c r="I49" s="221"/>
      <c r="J49" s="250"/>
    </row>
    <row r="50" spans="1:10">
      <c r="A50" s="232" t="s">
        <v>424</v>
      </c>
      <c r="B50" s="1237"/>
      <c r="C50" s="234"/>
      <c r="D50" s="235"/>
      <c r="E50" s="1204"/>
      <c r="F50" s="234"/>
      <c r="G50" s="235"/>
      <c r="H50" s="235"/>
      <c r="I50" s="235"/>
      <c r="J50" s="1204"/>
    </row>
    <row r="51" spans="1:10">
      <c r="A51" s="271" t="s">
        <v>886</v>
      </c>
      <c r="B51" s="839"/>
      <c r="C51" s="346"/>
      <c r="D51" s="383"/>
      <c r="E51" s="1268"/>
      <c r="F51" s="1281"/>
      <c r="G51" s="383"/>
      <c r="H51" s="383"/>
      <c r="I51" s="383"/>
      <c r="J51" s="1268"/>
    </row>
    <row r="52" spans="1:10">
      <c r="A52" s="271" t="s">
        <v>887</v>
      </c>
      <c r="B52" s="839"/>
      <c r="C52" s="346"/>
      <c r="D52" s="383"/>
      <c r="E52" s="1268"/>
      <c r="F52" s="1281"/>
      <c r="G52" s="383"/>
      <c r="H52" s="383"/>
      <c r="I52" s="383"/>
      <c r="J52" s="1268"/>
    </row>
    <row r="53" spans="1:10">
      <c r="A53" s="249" t="s">
        <v>904</v>
      </c>
      <c r="C53" s="346"/>
      <c r="D53" s="383"/>
      <c r="E53" s="1268"/>
      <c r="F53" s="1280"/>
      <c r="G53" s="383"/>
      <c r="H53" s="383"/>
      <c r="I53" s="383"/>
      <c r="J53" s="1268"/>
    </row>
    <row r="54" spans="1:10" s="290" customFormat="1">
      <c r="A54" s="269" t="s">
        <v>905</v>
      </c>
      <c r="B54" s="1242"/>
      <c r="C54" s="763"/>
      <c r="D54" s="764"/>
      <c r="E54" s="765"/>
      <c r="F54" s="763"/>
      <c r="G54" s="764"/>
      <c r="H54" s="764"/>
      <c r="I54" s="764"/>
      <c r="J54" s="765"/>
    </row>
    <row r="55" spans="1:10" ht="12" customHeight="1">
      <c r="C55" s="249"/>
      <c r="E55" s="250"/>
      <c r="F55" s="249"/>
      <c r="H55" s="221"/>
      <c r="I55" s="221"/>
      <c r="J55" s="250"/>
    </row>
    <row r="56" spans="1:10">
      <c r="A56" s="230" t="s">
        <v>425</v>
      </c>
      <c r="B56" s="230"/>
      <c r="C56" s="1222"/>
      <c r="D56" s="291"/>
      <c r="E56" s="1223"/>
      <c r="F56" s="1202"/>
      <c r="G56" s="291"/>
      <c r="H56" s="291"/>
      <c r="I56" s="291"/>
      <c r="J56" s="1223"/>
    </row>
    <row r="57" spans="1:10" ht="3.6" customHeight="1">
      <c r="C57" s="249"/>
      <c r="E57" s="250"/>
      <c r="F57" s="249"/>
      <c r="H57" s="221"/>
      <c r="I57" s="221"/>
      <c r="J57" s="250"/>
    </row>
    <row r="58" spans="1:10">
      <c r="A58" s="232" t="s">
        <v>294</v>
      </c>
      <c r="B58" s="1237"/>
      <c r="C58" s="234"/>
      <c r="D58" s="235"/>
      <c r="E58" s="1204"/>
      <c r="F58" s="234"/>
      <c r="G58" s="235"/>
      <c r="H58" s="235"/>
      <c r="I58" s="235"/>
      <c r="J58" s="1204"/>
    </row>
    <row r="59" spans="1:10" s="293" customFormat="1">
      <c r="A59" s="269" t="s">
        <v>906</v>
      </c>
      <c r="B59" s="1242"/>
      <c r="C59" s="360"/>
      <c r="D59" s="292"/>
      <c r="E59" s="308"/>
      <c r="F59" s="366"/>
      <c r="G59" s="292"/>
      <c r="H59" s="292"/>
      <c r="I59" s="292"/>
      <c r="J59" s="308"/>
    </row>
    <row r="60" spans="1:10" ht="3.6" customHeight="1">
      <c r="C60" s="249"/>
      <c r="E60" s="250"/>
      <c r="F60" s="249"/>
      <c r="H60" s="221"/>
      <c r="I60" s="221"/>
      <c r="J60" s="250"/>
    </row>
    <row r="61" spans="1:10">
      <c r="A61" s="232" t="s">
        <v>426</v>
      </c>
      <c r="B61" s="1237"/>
      <c r="C61" s="234"/>
      <c r="D61" s="235"/>
      <c r="E61" s="1204"/>
      <c r="F61" s="234"/>
      <c r="G61" s="235"/>
      <c r="H61" s="235"/>
      <c r="I61" s="235"/>
      <c r="J61" s="1204"/>
    </row>
    <row r="62" spans="1:10">
      <c r="A62" s="244" t="s">
        <v>427</v>
      </c>
      <c r="B62" s="801"/>
      <c r="C62" s="970">
        <v>2.1317261364875879</v>
      </c>
      <c r="D62" s="297"/>
      <c r="E62" s="1269"/>
      <c r="F62" s="1283"/>
      <c r="G62" s="297"/>
      <c r="H62" s="297"/>
      <c r="I62" s="297"/>
      <c r="J62" s="1269"/>
    </row>
    <row r="63" spans="1:10">
      <c r="A63" s="298" t="s">
        <v>907</v>
      </c>
      <c r="B63" s="1245"/>
      <c r="C63" s="1006">
        <f>(C96-C62)*C39</f>
        <v>0</v>
      </c>
      <c r="D63" s="361"/>
      <c r="E63" s="1270"/>
      <c r="F63" s="1284"/>
      <c r="G63" s="361"/>
      <c r="H63" s="300"/>
      <c r="I63" s="361"/>
      <c r="J63" s="1270"/>
    </row>
    <row r="64" spans="1:10" ht="3" customHeight="1">
      <c r="C64" s="249"/>
      <c r="E64" s="250"/>
      <c r="F64" s="249"/>
      <c r="H64" s="221"/>
      <c r="I64" s="221"/>
      <c r="J64" s="250"/>
    </row>
    <row r="65" spans="1:10">
      <c r="A65" s="232" t="s">
        <v>428</v>
      </c>
      <c r="B65" s="1237"/>
      <c r="C65" s="234"/>
      <c r="D65" s="235"/>
      <c r="E65" s="1204"/>
      <c r="F65" s="234"/>
      <c r="G65" s="235"/>
      <c r="H65" s="235"/>
      <c r="I65" s="235"/>
      <c r="J65" s="1204"/>
    </row>
    <row r="66" spans="1:10">
      <c r="A66" s="298" t="s">
        <v>429</v>
      </c>
      <c r="B66" s="1245"/>
      <c r="C66" s="774"/>
      <c r="D66" s="772"/>
      <c r="E66" s="1271"/>
      <c r="F66" s="1285"/>
      <c r="G66" s="772"/>
      <c r="H66" s="772"/>
      <c r="I66" s="772"/>
      <c r="J66" s="1271"/>
    </row>
    <row r="67" spans="1:10" ht="3" customHeight="1">
      <c r="C67" s="249"/>
      <c r="E67" s="250"/>
      <c r="F67" s="249"/>
      <c r="H67" s="221"/>
      <c r="I67" s="221"/>
      <c r="J67" s="250"/>
    </row>
    <row r="68" spans="1:10">
      <c r="A68" s="232" t="s">
        <v>302</v>
      </c>
      <c r="B68" s="1237"/>
      <c r="C68" s="279"/>
      <c r="D68" s="280"/>
      <c r="E68" s="1219"/>
      <c r="F68" s="279"/>
      <c r="G68" s="280"/>
      <c r="H68" s="280"/>
      <c r="I68" s="280"/>
      <c r="J68" s="1219"/>
    </row>
    <row r="69" spans="1:10">
      <c r="A69" s="303" t="s">
        <v>888</v>
      </c>
      <c r="B69" s="838"/>
      <c r="C69" s="1008">
        <v>0</v>
      </c>
      <c r="D69" s="362"/>
      <c r="E69" s="1272"/>
      <c r="F69" s="1286"/>
      <c r="G69" s="362"/>
      <c r="H69" s="362"/>
      <c r="I69" s="362"/>
      <c r="J69" s="1272"/>
    </row>
    <row r="70" spans="1:10">
      <c r="A70" s="271" t="s">
        <v>908</v>
      </c>
      <c r="B70" s="839"/>
      <c r="C70" s="1009">
        <v>0</v>
      </c>
      <c r="D70" s="267"/>
      <c r="E70" s="305"/>
      <c r="F70" s="1287"/>
      <c r="G70" s="267"/>
      <c r="H70" s="267"/>
      <c r="I70" s="267"/>
      <c r="J70" s="305"/>
    </row>
    <row r="71" spans="1:10">
      <c r="A71" s="271" t="s">
        <v>889</v>
      </c>
      <c r="B71" s="839"/>
      <c r="C71" s="1009">
        <v>0</v>
      </c>
      <c r="D71" s="363"/>
      <c r="E71" s="1273"/>
      <c r="F71" s="1287"/>
      <c r="G71" s="363"/>
      <c r="H71" s="363"/>
      <c r="I71" s="363"/>
      <c r="J71" s="1273"/>
    </row>
    <row r="72" spans="1:10">
      <c r="A72" s="271" t="s">
        <v>890</v>
      </c>
      <c r="B72" s="839"/>
      <c r="C72" s="364"/>
      <c r="D72" s="365"/>
      <c r="E72" s="1274"/>
      <c r="F72" s="1288"/>
      <c r="G72" s="365"/>
      <c r="H72" s="365"/>
      <c r="I72" s="365"/>
      <c r="J72" s="1274"/>
    </row>
    <row r="73" spans="1:10">
      <c r="A73" s="306" t="s">
        <v>891</v>
      </c>
      <c r="B73" s="1246"/>
      <c r="C73" s="239"/>
      <c r="D73" s="240"/>
      <c r="E73" s="241"/>
      <c r="F73" s="366"/>
      <c r="G73" s="240"/>
      <c r="H73" s="240"/>
      <c r="I73" s="240"/>
      <c r="J73" s="241"/>
    </row>
    <row r="74" spans="1:10" ht="4.2" customHeight="1">
      <c r="A74" s="309"/>
      <c r="B74" s="309"/>
      <c r="C74" s="1235"/>
      <c r="D74" s="311"/>
      <c r="E74" s="1236"/>
      <c r="F74" s="1235"/>
      <c r="G74" s="311"/>
      <c r="H74" s="311"/>
      <c r="I74" s="311"/>
      <c r="J74" s="1236"/>
    </row>
    <row r="75" spans="1:10">
      <c r="A75" s="232" t="s">
        <v>430</v>
      </c>
      <c r="B75" s="1237"/>
      <c r="C75" s="279"/>
      <c r="D75" s="280"/>
      <c r="E75" s="1219"/>
      <c r="F75" s="279"/>
      <c r="G75" s="280"/>
      <c r="H75" s="280"/>
      <c r="I75" s="280"/>
      <c r="J75" s="1219"/>
    </row>
    <row r="76" spans="1:10" s="293" customFormat="1">
      <c r="A76" s="306" t="s">
        <v>892</v>
      </c>
      <c r="B76" s="1246"/>
      <c r="C76" s="366"/>
      <c r="D76" s="292"/>
      <c r="E76" s="308"/>
      <c r="F76" s="366">
        <v>-1212</v>
      </c>
      <c r="G76" s="292"/>
      <c r="H76" s="292"/>
      <c r="I76" s="292"/>
      <c r="J76" s="308"/>
    </row>
    <row r="77" spans="1:10" ht="10.199999999999999" customHeight="1">
      <c r="A77" s="309"/>
      <c r="B77" s="309"/>
      <c r="C77" s="1235"/>
      <c r="D77" s="311"/>
      <c r="E77" s="1236"/>
      <c r="F77" s="1235"/>
      <c r="G77" s="311"/>
      <c r="H77" s="311"/>
      <c r="I77" s="311"/>
      <c r="J77" s="1236"/>
    </row>
    <row r="78" spans="1:10">
      <c r="A78" s="312" t="s">
        <v>431</v>
      </c>
      <c r="B78" s="313"/>
      <c r="C78" s="314">
        <f>C19+C28+C41+C46+C54+C63+C73</f>
        <v>18128.07751211998</v>
      </c>
      <c r="D78" s="315">
        <f>D19+D28+D41+D46+D54+D63+D73</f>
        <v>17084.820692740275</v>
      </c>
      <c r="E78" s="315">
        <f>E19+E28+E41+E46+E54+E63+E73</f>
        <v>11092.761120328838</v>
      </c>
      <c r="F78" s="384"/>
      <c r="G78" s="315"/>
      <c r="H78" s="315"/>
      <c r="I78" s="315"/>
      <c r="J78" s="1230"/>
    </row>
    <row r="79" spans="1:10" ht="26.1" customHeight="1">
      <c r="A79" s="318"/>
      <c r="C79" s="1275"/>
      <c r="D79" s="319"/>
      <c r="E79" s="268"/>
      <c r="F79" s="1231"/>
      <c r="G79" s="319"/>
      <c r="H79" s="319"/>
      <c r="I79" s="319"/>
      <c r="J79" s="268"/>
    </row>
    <row r="80" spans="1:10">
      <c r="A80" s="1561" t="s">
        <v>432</v>
      </c>
      <c r="B80" s="1567"/>
      <c r="C80" s="227">
        <v>2020</v>
      </c>
      <c r="D80" s="228">
        <v>2021</v>
      </c>
      <c r="E80" s="1182">
        <v>2022</v>
      </c>
      <c r="F80" s="1181">
        <v>2023</v>
      </c>
      <c r="G80" s="228">
        <v>2024</v>
      </c>
      <c r="H80" s="228">
        <v>2025</v>
      </c>
      <c r="I80" s="228">
        <v>2026</v>
      </c>
      <c r="J80" s="1182">
        <v>2027</v>
      </c>
    </row>
    <row r="81" spans="1:11">
      <c r="A81" s="260" t="s">
        <v>893</v>
      </c>
      <c r="B81" s="1240"/>
      <c r="C81" s="320">
        <f>+C12</f>
        <v>30937.954929357504</v>
      </c>
      <c r="D81" s="321">
        <f>+D12</f>
        <v>30193.924055224317</v>
      </c>
      <c r="E81" s="322">
        <f>+E12</f>
        <v>31631.804677089873</v>
      </c>
      <c r="F81" s="320">
        <f>+F12</f>
        <v>34979.994081867517</v>
      </c>
      <c r="G81" s="321">
        <f>+G12</f>
        <v>39154.635377280938</v>
      </c>
      <c r="H81" s="321">
        <f t="shared" ref="H81:J81" si="5">+H12</f>
        <v>39333.693407857965</v>
      </c>
      <c r="I81" s="321">
        <f t="shared" si="5"/>
        <v>39178.680831826401</v>
      </c>
      <c r="J81" s="322">
        <f t="shared" si="5"/>
        <v>39736.652638500746</v>
      </c>
    </row>
    <row r="82" spans="1:11">
      <c r="A82" s="249" t="s">
        <v>909</v>
      </c>
      <c r="C82" s="323">
        <f>'T3 MET'!E21</f>
        <v>-610</v>
      </c>
      <c r="D82" s="324">
        <f>'T3 MET'!F21</f>
        <v>-658.94394173630394</v>
      </c>
      <c r="E82" s="325">
        <f>'T3 MET'!G21</f>
        <v>-336.8495792190696</v>
      </c>
      <c r="F82" s="1254">
        <f>'T3 MET'!H21</f>
        <v>-153.07113773851486</v>
      </c>
      <c r="G82" s="324">
        <f>'T3 MET'!I21</f>
        <v>2030.2987230384365</v>
      </c>
      <c r="H82" s="324">
        <f>'T3 MET'!J21</f>
        <v>0</v>
      </c>
      <c r="I82" s="324">
        <f>'T3 MET'!K21</f>
        <v>0</v>
      </c>
      <c r="J82" s="325">
        <f>'T3 MET'!L21</f>
        <v>0</v>
      </c>
    </row>
    <row r="83" spans="1:11">
      <c r="A83" s="249" t="s">
        <v>894</v>
      </c>
      <c r="C83" s="323">
        <f>'T3 MET'!E36</f>
        <v>0</v>
      </c>
      <c r="D83" s="324">
        <f>'T3 MET'!F36</f>
        <v>0</v>
      </c>
      <c r="E83" s="325">
        <f>'T3 MET'!G36</f>
        <v>0</v>
      </c>
      <c r="F83" s="1254">
        <f>'T3 MET'!H36</f>
        <v>0</v>
      </c>
      <c r="G83" s="324">
        <f>'T3 MET'!I36</f>
        <v>0</v>
      </c>
      <c r="H83" s="324">
        <f>'T3 MET'!J36</f>
        <v>0</v>
      </c>
      <c r="I83" s="324">
        <f>'T3 MET'!K36</f>
        <v>0</v>
      </c>
      <c r="J83" s="325">
        <f>'T3 MET'!L36</f>
        <v>0</v>
      </c>
    </row>
    <row r="84" spans="1:11">
      <c r="A84" s="271" t="s">
        <v>910</v>
      </c>
      <c r="B84" s="839"/>
      <c r="C84" s="323">
        <f>'T3 MET'!E41+'T3 MET'!E52+'T3 MET'!E63+'T3 MET'!E74+'T3 MET'!E85+'T3 MET'!E96+'T3 MET'!E107</f>
        <v>0</v>
      </c>
      <c r="D84" s="324">
        <f>'T3 MET'!F41+'T3 MET'!F52+'T3 MET'!F63+'T3 MET'!F74+'T3 MET'!F85+'T3 MET'!F96+'T3 MET'!F107</f>
        <v>0</v>
      </c>
      <c r="E84" s="325">
        <f>'T3 MET'!G41+'T3 MET'!G52+'T3 MET'!G63+'T3 MET'!G74+'T3 MET'!G85+'T3 MET'!G96+'T3 MET'!G107</f>
        <v>0</v>
      </c>
      <c r="F84" s="1254">
        <f>'T3 MET'!H47+'T3 MET'!H58+'T3 MET'!H69+'T3 MET'!H80+'T3 MET'!H91+'T3 MET'!H102+'T3 MET'!H111</f>
        <v>0</v>
      </c>
      <c r="G84" s="324">
        <f>'T3 MET'!I47+'T3 MET'!I58+'T3 MET'!I69+'T3 MET'!I80+'T3 MET'!I91+'T3 MET'!I102+'T3 MET'!I111</f>
        <v>0</v>
      </c>
      <c r="H84" s="324">
        <f>'T3 MET'!J47+'T3 MET'!J58+'T3 MET'!J69+'T3 MET'!J80+'T3 MET'!J91+'T3 MET'!J102+'T3 MET'!J111</f>
        <v>0</v>
      </c>
      <c r="I84" s="324">
        <f>'T3 MET'!K47+'T3 MET'!K58+'T3 MET'!K69+'T3 MET'!K80+'T3 MET'!K91+'T3 MET'!K102+'T3 MET'!K111</f>
        <v>0</v>
      </c>
      <c r="J84" s="325">
        <f>'T3 MET'!L47+'T3 MET'!L58+'T3 MET'!L69+'T3 MET'!L80+'T3 MET'!L91+'T3 MET'!L102+'T3 MET'!L111</f>
        <v>0</v>
      </c>
    </row>
    <row r="85" spans="1:11">
      <c r="A85" s="271" t="s">
        <v>895</v>
      </c>
      <c r="B85" s="839"/>
      <c r="C85" s="323">
        <f>'T3 MET'!E126</f>
        <v>0</v>
      </c>
      <c r="D85" s="324">
        <f>'T3 MET'!F126</f>
        <v>0</v>
      </c>
      <c r="E85" s="325">
        <f>'T3 MET'!G126</f>
        <v>0</v>
      </c>
      <c r="F85" s="1254">
        <f>'T3 MET'!H126</f>
        <v>0</v>
      </c>
      <c r="G85" s="324">
        <f>'T3 MET'!I126</f>
        <v>0</v>
      </c>
      <c r="H85" s="324">
        <f>'T3 MET'!J126</f>
        <v>0</v>
      </c>
      <c r="I85" s="324">
        <f>'T3 MET'!K126</f>
        <v>0</v>
      </c>
      <c r="J85" s="325">
        <f>'T3 MET'!L126</f>
        <v>0</v>
      </c>
    </row>
    <row r="86" spans="1:11">
      <c r="A86" s="271" t="s">
        <v>896</v>
      </c>
      <c r="B86" s="839"/>
      <c r="C86" s="323">
        <f>'T3 MET'!E141</f>
        <v>0</v>
      </c>
      <c r="D86" s="324">
        <f>'T3 MET'!F141</f>
        <v>0</v>
      </c>
      <c r="E86" s="325">
        <f>'T3 MET'!G141</f>
        <v>0</v>
      </c>
      <c r="F86" s="1254">
        <f>'T3 MET'!H141</f>
        <v>0</v>
      </c>
      <c r="G86" s="324">
        <f>'T3 MET'!I141</f>
        <v>0</v>
      </c>
      <c r="H86" s="324">
        <f>'T3 MET'!J141</f>
        <v>0</v>
      </c>
      <c r="I86" s="324">
        <f>'T3 MET'!K141</f>
        <v>0</v>
      </c>
      <c r="J86" s="325">
        <f>'T3 MET'!L141</f>
        <v>0</v>
      </c>
    </row>
    <row r="87" spans="1:11">
      <c r="A87" s="271" t="s">
        <v>897</v>
      </c>
      <c r="B87" s="839"/>
      <c r="C87" s="323">
        <f>'T3 MET'!E166</f>
        <v>-3366</v>
      </c>
      <c r="D87" s="324">
        <f>'T3 MET'!F166</f>
        <v>-3558.1829458164898</v>
      </c>
      <c r="E87" s="325">
        <f>'T3 MET'!G166</f>
        <v>16091.90178042886</v>
      </c>
      <c r="F87" s="1254">
        <f>'T3 MET'!H166</f>
        <v>14830.308868089351</v>
      </c>
      <c r="G87" s="324">
        <f>'T3 MET'!I166</f>
        <v>8568.92949060512</v>
      </c>
      <c r="H87" s="324">
        <f>'T3 MET'!J166</f>
        <v>0</v>
      </c>
      <c r="I87" s="324">
        <f>'T3 MET'!K166</f>
        <v>0</v>
      </c>
      <c r="J87" s="325">
        <f>'T3 MET'!L166</f>
        <v>0</v>
      </c>
    </row>
    <row r="88" spans="1:11">
      <c r="A88" s="249" t="s">
        <v>898</v>
      </c>
      <c r="C88" s="323">
        <f>'T3 MET'!E181+'T3 MET'!E196+'T3 MET'!E211+'T3 MET'!E226</f>
        <v>0</v>
      </c>
      <c r="D88" s="324">
        <f>'T3 MET'!F181+'T3 MET'!F196+'T3 MET'!F211+'T3 MET'!F226</f>
        <v>0</v>
      </c>
      <c r="E88" s="325">
        <f>'T3 MET'!G181+'T3 MET'!G196+'T3 MET'!G211+'T3 MET'!G226</f>
        <v>0</v>
      </c>
      <c r="F88" s="1254">
        <f>'T3 MET'!H181+'T3 MET'!H196+'T3 MET'!H211+'T3 MET'!H226</f>
        <v>0</v>
      </c>
      <c r="G88" s="324">
        <f>'T3 MET'!I181+'T3 MET'!I196+'T3 MET'!I211+'T3 MET'!I226</f>
        <v>0</v>
      </c>
      <c r="H88" s="324">
        <f>'T3 MET'!J181+'T3 MET'!J196+'T3 MET'!J211+'T3 MET'!J226</f>
        <v>0</v>
      </c>
      <c r="I88" s="324">
        <f>'T3 MET'!K181+'T3 MET'!K196+'T3 MET'!K211+'T3 MET'!K226</f>
        <v>0</v>
      </c>
      <c r="J88" s="325">
        <f>'T3 MET'!L181+'T3 MET'!L196+'T3 MET'!L211+'T3 MET'!L226</f>
        <v>0</v>
      </c>
    </row>
    <row r="89" spans="1:11">
      <c r="A89" s="249" t="s">
        <v>899</v>
      </c>
      <c r="C89" s="323">
        <f>'T3 MET'!E248</f>
        <v>0</v>
      </c>
      <c r="D89" s="324">
        <f>'T3 MET'!F248</f>
        <v>0</v>
      </c>
      <c r="E89" s="325">
        <f>'T3 MET'!G248</f>
        <v>0</v>
      </c>
      <c r="F89" s="1254">
        <f>'T3 MET'!H248</f>
        <v>0</v>
      </c>
      <c r="G89" s="324">
        <f>'T3 MET'!I248</f>
        <v>0</v>
      </c>
      <c r="H89" s="324">
        <f>'T3 MET'!J248</f>
        <v>0</v>
      </c>
      <c r="I89" s="324">
        <f>'T3 MET'!K248</f>
        <v>0</v>
      </c>
      <c r="J89" s="325">
        <f>'T3 MET'!L248</f>
        <v>0</v>
      </c>
    </row>
    <row r="90" spans="1:11">
      <c r="A90" s="271" t="s">
        <v>911</v>
      </c>
      <c r="B90" s="839"/>
      <c r="C90" s="326">
        <f>'T3 MET'!E237</f>
        <v>0</v>
      </c>
      <c r="D90" s="327">
        <f>'T3 MET'!F237</f>
        <v>0</v>
      </c>
      <c r="E90" s="325">
        <f>'T3 MET'!G237</f>
        <v>0</v>
      </c>
      <c r="F90" s="1257">
        <f>'T3 MET'!H237</f>
        <v>0</v>
      </c>
      <c r="G90" s="327">
        <f>'T3 MET'!I237</f>
        <v>0</v>
      </c>
      <c r="H90" s="327">
        <f>'T3 MET'!J237</f>
        <v>0</v>
      </c>
      <c r="I90" s="327">
        <f>'T3 MET'!K237</f>
        <v>0</v>
      </c>
      <c r="J90" s="328">
        <f>'T3 MET'!L237</f>
        <v>0</v>
      </c>
    </row>
    <row r="91" spans="1:11">
      <c r="A91" s="329" t="s">
        <v>433</v>
      </c>
      <c r="B91" s="1247"/>
      <c r="C91" s="1232">
        <f>SUM(C81:C90)</f>
        <v>26961.954929357504</v>
      </c>
      <c r="D91" s="331">
        <f>SUM(D81:D90)</f>
        <v>25976.797167671524</v>
      </c>
      <c r="E91" s="331">
        <f>SUM(E81:E90)</f>
        <v>47386.856878299659</v>
      </c>
      <c r="F91" s="1232">
        <f>SUM(F81:F90)</f>
        <v>49657.23181221835</v>
      </c>
      <c r="G91" s="331">
        <f>SUM(G81:G90)</f>
        <v>49753.863590924499</v>
      </c>
      <c r="H91" s="331">
        <f t="shared" ref="H91:J91" si="6">SUM(H81:H90)</f>
        <v>39333.693407857965</v>
      </c>
      <c r="I91" s="331">
        <f t="shared" si="6"/>
        <v>39178.680831826401</v>
      </c>
      <c r="J91" s="331">
        <f t="shared" si="6"/>
        <v>39736.652638500746</v>
      </c>
    </row>
    <row r="92" spans="1:11">
      <c r="A92" s="269" t="s">
        <v>434</v>
      </c>
      <c r="B92" s="1242"/>
      <c r="C92" s="1218">
        <f>'T1 ANSP'!K68</f>
        <v>12647.945</v>
      </c>
      <c r="D92" s="289">
        <f>'T1 ANSP'!L68</f>
        <v>12891</v>
      </c>
      <c r="E92" s="289">
        <f>'T1 ANSP'!M68</f>
        <v>13183</v>
      </c>
      <c r="F92" s="1218">
        <f>'T1 ANSP'!N68</f>
        <v>11956</v>
      </c>
      <c r="G92" s="289">
        <f>'T1 ANSP'!O68</f>
        <v>12930</v>
      </c>
      <c r="H92" s="289">
        <f>'T1 ANSP'!P68</f>
        <v>13247</v>
      </c>
      <c r="I92" s="289">
        <f>'T1 ANSP'!Q68</f>
        <v>13490</v>
      </c>
      <c r="J92" s="289">
        <f>'T1 ANSP'!R68</f>
        <v>13700</v>
      </c>
      <c r="K92" s="367"/>
    </row>
    <row r="93" spans="1:11">
      <c r="A93" s="269" t="s">
        <v>900</v>
      </c>
      <c r="B93" s="1242"/>
      <c r="C93" s="1233">
        <f>C91/C92</f>
        <v>2.1317261364875879</v>
      </c>
      <c r="D93" s="332">
        <f t="shared" ref="D93:G93" si="7">D91/D92</f>
        <v>2.0151110982601446</v>
      </c>
      <c r="E93" s="332">
        <f t="shared" si="7"/>
        <v>3.5945427352119896</v>
      </c>
      <c r="F93" s="1233">
        <f t="shared" si="7"/>
        <v>4.1533315333069885</v>
      </c>
      <c r="G93" s="332">
        <f t="shared" si="7"/>
        <v>3.8479399528943929</v>
      </c>
      <c r="H93" s="332">
        <f t="shared" ref="H93:J93" si="8">H91/H92</f>
        <v>2.9692529182349183</v>
      </c>
      <c r="I93" s="332">
        <f t="shared" si="8"/>
        <v>2.9042758214845366</v>
      </c>
      <c r="J93" s="332">
        <f t="shared" si="8"/>
        <v>2.9004855940511494</v>
      </c>
      <c r="K93" s="367"/>
    </row>
    <row r="94" spans="1:11">
      <c r="A94" s="269" t="s">
        <v>901</v>
      </c>
      <c r="B94" s="1242"/>
      <c r="C94" s="1436">
        <f t="shared" ref="C94:E94" si="9">C76/C92</f>
        <v>0</v>
      </c>
      <c r="D94" s="1436">
        <f t="shared" si="9"/>
        <v>0</v>
      </c>
      <c r="E94" s="1436">
        <f t="shared" si="9"/>
        <v>0</v>
      </c>
      <c r="F94" s="1436">
        <f>F76/F92</f>
        <v>-0.1013716962194714</v>
      </c>
      <c r="G94" s="1436">
        <f t="shared" ref="G94:J94" si="10">G76/G92</f>
        <v>0</v>
      </c>
      <c r="H94" s="1436">
        <f t="shared" si="10"/>
        <v>0</v>
      </c>
      <c r="I94" s="1436">
        <f t="shared" si="10"/>
        <v>0</v>
      </c>
      <c r="J94" s="1436">
        <f t="shared" si="10"/>
        <v>0</v>
      </c>
      <c r="K94" s="367"/>
    </row>
    <row r="95" spans="1:11" ht="10.199999999999999" customHeight="1">
      <c r="A95" s="309"/>
      <c r="B95" s="309"/>
      <c r="C95" s="1235"/>
      <c r="D95" s="311"/>
      <c r="E95" s="1236"/>
      <c r="F95" s="1235"/>
      <c r="G95" s="311"/>
      <c r="H95" s="311"/>
      <c r="I95" s="311"/>
      <c r="J95" s="1236"/>
    </row>
    <row r="96" spans="1:11">
      <c r="A96" s="335" t="s">
        <v>435</v>
      </c>
      <c r="B96" s="313"/>
      <c r="C96" s="336">
        <f>C93+C94</f>
        <v>2.1317261364875879</v>
      </c>
      <c r="D96" s="336">
        <f t="shared" ref="D96:G96" si="11">D93+D94</f>
        <v>2.0151110982601446</v>
      </c>
      <c r="E96" s="777">
        <f t="shared" si="11"/>
        <v>3.5945427352119896</v>
      </c>
      <c r="F96" s="336">
        <f>F93+F94</f>
        <v>4.0519598370875167</v>
      </c>
      <c r="G96" s="336">
        <f t="shared" si="11"/>
        <v>3.8479399528943929</v>
      </c>
      <c r="H96" s="336">
        <f t="shared" ref="H96:J96" si="12">H93+H94</f>
        <v>2.9692529182349183</v>
      </c>
      <c r="I96" s="336">
        <f t="shared" si="12"/>
        <v>2.9042758214845366</v>
      </c>
      <c r="J96" s="777">
        <f t="shared" si="12"/>
        <v>2.9004855940511494</v>
      </c>
    </row>
    <row r="97" spans="1:7">
      <c r="A97" s="318"/>
      <c r="C97" s="311"/>
      <c r="D97" s="311"/>
      <c r="E97" s="311"/>
      <c r="F97" s="311"/>
      <c r="G97" s="311"/>
    </row>
    <row r="98" spans="1:7">
      <c r="A98" s="221" t="s">
        <v>436</v>
      </c>
      <c r="B98" s="230"/>
      <c r="C98" s="337"/>
      <c r="D98" s="337"/>
      <c r="E98" s="337"/>
      <c r="F98" s="337"/>
      <c r="G98" s="337"/>
    </row>
    <row r="99" spans="1:7">
      <c r="A99" s="338" t="s">
        <v>437</v>
      </c>
      <c r="B99" s="230"/>
      <c r="C99" s="339"/>
      <c r="D99" s="339"/>
      <c r="E99" s="339"/>
      <c r="F99" s="339"/>
      <c r="G99" s="339"/>
    </row>
    <row r="100" spans="1:7">
      <c r="A100" s="338"/>
      <c r="B100" s="230"/>
      <c r="C100" s="337"/>
      <c r="D100" s="337"/>
      <c r="E100" s="337"/>
      <c r="F100" s="337"/>
      <c r="G100" s="337"/>
    </row>
    <row r="103" spans="1:7">
      <c r="D103" s="1356"/>
    </row>
    <row r="104" spans="1:7">
      <c r="D104" s="1356"/>
    </row>
  </sheetData>
  <mergeCells count="5">
    <mergeCell ref="A7:B7"/>
    <mergeCell ref="A80:B80"/>
    <mergeCell ref="C5:E5"/>
    <mergeCell ref="F5:J5"/>
    <mergeCell ref="A1:J1"/>
  </mergeCells>
  <pageMargins left="0.7" right="0.7" top="0.75" bottom="0.75" header="0.3" footer="0.3"/>
  <pageSetup paperSize="9" scale="43" orientation="portrait" r:id="rId1"/>
  <customProperties>
    <customPr name="_pios_id" r:id="rId2"/>
  </customPropertie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K99"/>
  <sheetViews>
    <sheetView showGridLines="0" zoomScaleNormal="100" workbookViewId="0">
      <pane xSplit="2" ySplit="7" topLeftCell="C73" activePane="bottomRight" state="frozen"/>
      <selection activeCell="B93" sqref="B93"/>
      <selection pane="topRight" activeCell="B93" sqref="B93"/>
      <selection pane="bottomLeft" activeCell="B93" sqref="B93"/>
      <selection pane="bottomRight" activeCell="F98" sqref="F98"/>
    </sheetView>
  </sheetViews>
  <sheetFormatPr defaultColWidth="1.44140625" defaultRowHeight="13.8"/>
  <cols>
    <col min="1" max="1" width="24" style="221" customWidth="1"/>
    <col min="2" max="2" width="49.5546875" style="221" customWidth="1"/>
    <col min="3" max="7" width="12.5546875" style="221" customWidth="1"/>
    <col min="8" max="10" width="10.5546875" style="219" customWidth="1"/>
    <col min="11" max="11" width="8.6640625" style="219" bestFit="1" customWidth="1"/>
    <col min="12" max="16384" width="1.44140625" style="219"/>
  </cols>
  <sheetData>
    <row r="1" spans="1:10">
      <c r="A1" s="1566" t="s">
        <v>400</v>
      </c>
      <c r="B1" s="1566"/>
      <c r="C1" s="1566"/>
      <c r="D1" s="1566"/>
      <c r="E1" s="1566"/>
      <c r="F1" s="1566"/>
      <c r="G1" s="1566"/>
      <c r="H1" s="1566"/>
      <c r="I1" s="1566"/>
      <c r="J1" s="1566"/>
    </row>
    <row r="2" spans="1:10">
      <c r="A2" s="220"/>
      <c r="B2" s="220"/>
      <c r="G2" s="222"/>
    </row>
    <row r="3" spans="1:10">
      <c r="A3" s="223" t="str">
        <f>'T1 NSA'!A3</f>
        <v>United Kingdom</v>
      </c>
      <c r="C3" s="219"/>
      <c r="D3" s="219"/>
      <c r="E3" s="224"/>
      <c r="F3" s="219"/>
      <c r="G3" s="219"/>
    </row>
    <row r="4" spans="1:10">
      <c r="A4" s="225" t="str">
        <f>'T1 NSA'!A4</f>
        <v>Currency : GBP £</v>
      </c>
      <c r="C4" s="219"/>
      <c r="D4" s="219"/>
      <c r="E4" s="224"/>
      <c r="F4" s="219"/>
      <c r="G4" s="219"/>
    </row>
    <row r="5" spans="1:10">
      <c r="A5" s="226" t="str">
        <f>'T1 NSA'!A5</f>
        <v>UK CAA + DfT Eurocontrol</v>
      </c>
      <c r="C5" s="1563" t="s">
        <v>127</v>
      </c>
      <c r="D5" s="1564"/>
      <c r="E5" s="1564"/>
      <c r="F5" s="1563" t="s">
        <v>401</v>
      </c>
      <c r="G5" s="1564"/>
      <c r="H5" s="1564"/>
      <c r="I5" s="1564"/>
      <c r="J5" s="1565"/>
    </row>
    <row r="7" spans="1:10">
      <c r="A7" s="1561" t="s">
        <v>402</v>
      </c>
      <c r="B7" s="1567"/>
      <c r="C7" s="227">
        <v>2020</v>
      </c>
      <c r="D7" s="228">
        <v>2021</v>
      </c>
      <c r="E7" s="1182">
        <v>2022</v>
      </c>
      <c r="F7" s="1181">
        <v>2023</v>
      </c>
      <c r="G7" s="229">
        <v>2024</v>
      </c>
      <c r="H7" s="228">
        <v>2025</v>
      </c>
      <c r="I7" s="229">
        <v>2026</v>
      </c>
      <c r="J7" s="1182">
        <v>2027</v>
      </c>
    </row>
    <row r="8" spans="1:10">
      <c r="C8" s="249"/>
      <c r="E8" s="250"/>
      <c r="F8" s="249"/>
      <c r="H8" s="221"/>
      <c r="I8" s="221"/>
      <c r="J8" s="250"/>
    </row>
    <row r="9" spans="1:10">
      <c r="A9" s="230" t="s">
        <v>403</v>
      </c>
      <c r="B9" s="230"/>
      <c r="C9" s="1202"/>
      <c r="D9" s="231"/>
      <c r="E9" s="1203"/>
      <c r="F9" s="1202"/>
      <c r="G9" s="231"/>
      <c r="H9" s="231"/>
      <c r="I9" s="231"/>
      <c r="J9" s="1203"/>
    </row>
    <row r="10" spans="1:10" ht="3" customHeight="1">
      <c r="C10" s="249"/>
      <c r="E10" s="250"/>
      <c r="F10" s="249"/>
      <c r="H10" s="221"/>
      <c r="I10" s="221"/>
      <c r="J10" s="250"/>
    </row>
    <row r="11" spans="1:10">
      <c r="A11" s="232" t="s">
        <v>404</v>
      </c>
      <c r="B11" s="1237"/>
      <c r="C11" s="234"/>
      <c r="D11" s="235"/>
      <c r="E11" s="1204"/>
      <c r="F11" s="234"/>
      <c r="G11" s="235"/>
      <c r="H11" s="235"/>
      <c r="I11" s="235"/>
      <c r="J11" s="1204"/>
    </row>
    <row r="12" spans="1:10">
      <c r="A12" s="237" t="s">
        <v>438</v>
      </c>
      <c r="B12" s="1238"/>
      <c r="C12" s="340">
        <f>+'T1 NSA'!K61</f>
        <v>69525.56682847999</v>
      </c>
      <c r="D12" s="341">
        <f>+'T1 NSA'!L61</f>
        <v>70562.277679311999</v>
      </c>
      <c r="E12" s="342">
        <f>+'T1 NSA'!M61</f>
        <v>70564.365678352013</v>
      </c>
      <c r="F12" s="340">
        <f>+'T1 NSA'!N61</f>
        <v>79593.537814576004</v>
      </c>
      <c r="G12" s="341">
        <f>+'T1 NSA'!O61</f>
        <v>80109.552470896</v>
      </c>
      <c r="H12" s="341">
        <f>+'T1 NSA'!P61</f>
        <v>81804.762239775999</v>
      </c>
      <c r="I12" s="341">
        <f>+'T1 NSA'!Q61</f>
        <v>84199.422798799991</v>
      </c>
      <c r="J12" s="342">
        <f>+'T1 NSA'!R61</f>
        <v>84991.271482231998</v>
      </c>
    </row>
    <row r="13" spans="1:10" ht="3" customHeight="1">
      <c r="C13" s="249"/>
      <c r="E13" s="250"/>
      <c r="F13" s="249"/>
      <c r="H13" s="221"/>
      <c r="I13" s="221"/>
      <c r="J13" s="250"/>
    </row>
    <row r="14" spans="1:10">
      <c r="A14" s="242" t="s">
        <v>405</v>
      </c>
      <c r="B14" s="1239"/>
      <c r="C14" s="234"/>
      <c r="D14" s="235"/>
      <c r="E14" s="1204"/>
      <c r="F14" s="234"/>
      <c r="G14" s="235"/>
      <c r="H14" s="235"/>
      <c r="I14" s="235"/>
      <c r="J14" s="1204"/>
    </row>
    <row r="15" spans="1:10">
      <c r="A15" s="244" t="s">
        <v>406</v>
      </c>
      <c r="B15" s="801"/>
      <c r="C15" s="368"/>
      <c r="D15" s="369"/>
      <c r="E15" s="370"/>
      <c r="F15" s="368"/>
      <c r="G15" s="369"/>
      <c r="H15" s="369"/>
      <c r="I15" s="369"/>
      <c r="J15" s="370"/>
    </row>
    <row r="16" spans="1:10">
      <c r="A16" s="249" t="s">
        <v>407</v>
      </c>
      <c r="C16" s="371"/>
      <c r="D16" s="372"/>
      <c r="E16" s="1276"/>
      <c r="F16" s="371"/>
      <c r="G16" s="372"/>
      <c r="H16" s="372"/>
      <c r="I16" s="372"/>
      <c r="J16" s="1276"/>
    </row>
    <row r="17" spans="1:10">
      <c r="A17" s="249" t="s">
        <v>408</v>
      </c>
      <c r="C17" s="373"/>
      <c r="D17" s="374"/>
      <c r="E17" s="1277"/>
      <c r="F17" s="1289"/>
      <c r="G17" s="374"/>
      <c r="H17" s="374"/>
      <c r="I17" s="374"/>
      <c r="J17" s="1277"/>
    </row>
    <row r="18" spans="1:10">
      <c r="A18" s="254" t="s">
        <v>409</v>
      </c>
      <c r="B18" s="802"/>
      <c r="C18" s="375"/>
      <c r="D18" s="376"/>
      <c r="E18" s="1278"/>
      <c r="F18" s="1289"/>
      <c r="G18" s="376"/>
      <c r="H18" s="376"/>
      <c r="I18" s="376"/>
      <c r="J18" s="1278"/>
    </row>
    <row r="19" spans="1:10">
      <c r="A19" s="237" t="s">
        <v>439</v>
      </c>
      <c r="B19" s="1238"/>
      <c r="C19" s="377"/>
      <c r="D19" s="378"/>
      <c r="E19" s="379"/>
      <c r="F19" s="377"/>
      <c r="G19" s="378"/>
      <c r="H19" s="378"/>
      <c r="I19" s="378"/>
      <c r="J19" s="379"/>
    </row>
    <row r="20" spans="1:10" ht="3" customHeight="1">
      <c r="C20" s="249"/>
      <c r="E20" s="250"/>
      <c r="F20" s="249"/>
      <c r="H20" s="221"/>
      <c r="I20" s="221"/>
      <c r="J20" s="250"/>
    </row>
    <row r="21" spans="1:10">
      <c r="A21" s="232" t="s">
        <v>902</v>
      </c>
      <c r="B21" s="1237"/>
      <c r="C21" s="234"/>
      <c r="D21" s="235"/>
      <c r="E21" s="1204"/>
      <c r="F21" s="234"/>
      <c r="G21" s="235"/>
      <c r="H21" s="235"/>
      <c r="I21" s="235"/>
      <c r="J21" s="1204"/>
    </row>
    <row r="22" spans="1:10">
      <c r="A22" s="260" t="s">
        <v>410</v>
      </c>
      <c r="B22" s="1240"/>
      <c r="C22" s="380"/>
      <c r="D22" s="381"/>
      <c r="E22" s="382"/>
      <c r="F22" s="380"/>
      <c r="G22" s="381"/>
      <c r="H22" s="381"/>
      <c r="I22" s="381"/>
      <c r="J22" s="382"/>
    </row>
    <row r="23" spans="1:10">
      <c r="A23" s="264" t="s">
        <v>411</v>
      </c>
      <c r="B23" s="1241"/>
      <c r="C23" s="246">
        <f>'T1 NSA'!T61-'T1 NSA'!T57-('T1 NSA'!K61-'T1 NSA'!K57)</f>
        <v>-3711.3231999999698</v>
      </c>
      <c r="D23" s="324">
        <f>'T1 NSA'!U61-'T1 NSA'!U57-('T1 NSA'!L61-'T1 NSA'!L57)</f>
        <v>0.26560000000608852</v>
      </c>
      <c r="E23" s="324">
        <f>'T1 NSA'!V61-'T1 NSA'!V57-('T1 NSA'!M61-'T1 NSA'!M57)</f>
        <v>-85.705767720006406</v>
      </c>
      <c r="F23" s="323"/>
      <c r="G23" s="324"/>
      <c r="H23" s="324"/>
      <c r="I23" s="324"/>
      <c r="J23" s="325"/>
    </row>
    <row r="24" spans="1:10">
      <c r="A24" s="264" t="s">
        <v>412</v>
      </c>
      <c r="B24" s="1241"/>
      <c r="C24" s="246">
        <f>'T1 NSA'!T57-'T1 NSA'!K57</f>
        <v>-3808.3130923808203</v>
      </c>
      <c r="D24" s="324">
        <f>'T1 NSA'!U57-'T1 NSA'!L57</f>
        <v>-6609.2647955020075</v>
      </c>
      <c r="E24" s="324">
        <f>'T1 NSA'!V57-'T1 NSA'!M57</f>
        <v>2137.4447000479995</v>
      </c>
      <c r="F24" s="323"/>
      <c r="G24" s="324"/>
      <c r="H24" s="324"/>
      <c r="I24" s="324"/>
      <c r="J24" s="325"/>
    </row>
    <row r="25" spans="1:10">
      <c r="A25" s="264" t="s">
        <v>413</v>
      </c>
      <c r="B25" s="1241"/>
      <c r="C25" s="380"/>
      <c r="D25" s="381"/>
      <c r="E25" s="382"/>
      <c r="F25" s="380"/>
      <c r="G25" s="381"/>
      <c r="H25" s="381"/>
      <c r="I25" s="381"/>
      <c r="J25" s="382"/>
    </row>
    <row r="26" spans="1:10">
      <c r="A26" s="264" t="s">
        <v>414</v>
      </c>
      <c r="B26" s="1241"/>
      <c r="C26" s="380"/>
      <c r="D26" s="381"/>
      <c r="E26" s="382"/>
      <c r="F26" s="380"/>
      <c r="G26" s="381"/>
      <c r="H26" s="381"/>
      <c r="I26" s="381"/>
      <c r="J26" s="382"/>
    </row>
    <row r="27" spans="1:10">
      <c r="A27" s="264" t="s">
        <v>415</v>
      </c>
      <c r="B27" s="1241"/>
      <c r="C27" s="380"/>
      <c r="D27" s="381"/>
      <c r="E27" s="382"/>
      <c r="F27" s="380"/>
      <c r="G27" s="381"/>
      <c r="H27" s="381"/>
      <c r="I27" s="381"/>
      <c r="J27" s="382"/>
    </row>
    <row r="28" spans="1:10">
      <c r="A28" s="269" t="s">
        <v>446</v>
      </c>
      <c r="B28" s="1242"/>
      <c r="C28" s="239">
        <f>SUM(C22:C27)</f>
        <v>-7519.6362923807901</v>
      </c>
      <c r="D28" s="341">
        <f>SUM(D22:D27)</f>
        <v>-6608.9991955020014</v>
      </c>
      <c r="E28" s="341">
        <f>SUM(E22:E27)</f>
        <v>2051.7389323279931</v>
      </c>
      <c r="F28" s="340"/>
      <c r="G28" s="341"/>
      <c r="H28" s="341"/>
      <c r="I28" s="341"/>
      <c r="J28" s="342"/>
    </row>
    <row r="29" spans="1:10" ht="10.95" customHeight="1">
      <c r="C29" s="249"/>
      <c r="E29" s="250"/>
      <c r="F29" s="249"/>
      <c r="H29" s="221"/>
      <c r="I29" s="221"/>
      <c r="J29" s="250"/>
    </row>
    <row r="30" spans="1:10">
      <c r="A30" s="230" t="s">
        <v>416</v>
      </c>
      <c r="B30" s="230"/>
      <c r="C30" s="1202"/>
      <c r="D30" s="231"/>
      <c r="E30" s="1203"/>
      <c r="F30" s="1202"/>
      <c r="G30" s="231"/>
      <c r="H30" s="231"/>
      <c r="I30" s="231"/>
      <c r="J30" s="1203"/>
    </row>
    <row r="31" spans="1:10" ht="1.95" customHeight="1">
      <c r="C31" s="249"/>
      <c r="E31" s="250"/>
      <c r="F31" s="249"/>
      <c r="H31" s="221"/>
      <c r="I31" s="221"/>
      <c r="J31" s="250"/>
    </row>
    <row r="32" spans="1:10">
      <c r="A32" s="232" t="s">
        <v>417</v>
      </c>
      <c r="B32" s="1237"/>
      <c r="C32" s="234"/>
      <c r="D32" s="235"/>
      <c r="E32" s="1204"/>
      <c r="F32" s="234"/>
      <c r="G32" s="235"/>
      <c r="H32" s="235"/>
      <c r="I32" s="235"/>
      <c r="J32" s="1204"/>
    </row>
    <row r="33" spans="1:11">
      <c r="A33" s="249" t="s">
        <v>418</v>
      </c>
      <c r="C33" s="350"/>
      <c r="D33" s="357"/>
      <c r="E33" s="1263"/>
      <c r="F33" s="1280"/>
      <c r="G33" s="357"/>
      <c r="H33" s="357"/>
      <c r="I33" s="357"/>
      <c r="J33" s="1263"/>
    </row>
    <row r="34" spans="1:11">
      <c r="A34" s="271" t="s">
        <v>879</v>
      </c>
      <c r="B34" s="839"/>
      <c r="C34" s="1264"/>
      <c r="D34" s="358"/>
      <c r="E34" s="1265"/>
      <c r="F34" s="1281"/>
      <c r="G34" s="358"/>
      <c r="H34" s="358"/>
      <c r="I34" s="358"/>
      <c r="J34" s="1265"/>
    </row>
    <row r="35" spans="1:11">
      <c r="A35" s="271" t="s">
        <v>882</v>
      </c>
      <c r="B35" s="839"/>
      <c r="C35" s="1264"/>
      <c r="D35" s="358"/>
      <c r="E35" s="1265"/>
      <c r="F35" s="1281"/>
      <c r="G35" s="358"/>
      <c r="H35" s="358"/>
      <c r="I35" s="358"/>
      <c r="J35" s="1265"/>
    </row>
    <row r="36" spans="1:11">
      <c r="A36" s="271" t="s">
        <v>880</v>
      </c>
      <c r="B36" s="839"/>
      <c r="C36" s="1264"/>
      <c r="D36" s="358"/>
      <c r="E36" s="1265"/>
      <c r="F36" s="1281"/>
      <c r="G36" s="358"/>
      <c r="H36" s="358"/>
      <c r="I36" s="358"/>
      <c r="J36" s="1265"/>
    </row>
    <row r="37" spans="1:11">
      <c r="A37" s="271" t="s">
        <v>881</v>
      </c>
      <c r="B37" s="839"/>
      <c r="C37" s="1266"/>
      <c r="D37" s="359"/>
      <c r="E37" s="1267"/>
      <c r="F37" s="1281"/>
      <c r="G37" s="359"/>
      <c r="H37" s="359"/>
      <c r="I37" s="359"/>
      <c r="J37" s="1267"/>
    </row>
    <row r="38" spans="1:11">
      <c r="A38" s="249" t="s">
        <v>419</v>
      </c>
      <c r="C38" s="246">
        <f>'T1 NSA'!K68</f>
        <v>12647.945</v>
      </c>
      <c r="D38" s="274">
        <f>'T1 NSA'!L68</f>
        <v>12891</v>
      </c>
      <c r="E38" s="274">
        <f>'T1 NSA'!M68</f>
        <v>13183</v>
      </c>
      <c r="F38" s="246">
        <f>'T1 NSA'!N68</f>
        <v>11956</v>
      </c>
      <c r="G38" s="274">
        <f>'T1 NSA'!O68</f>
        <v>12930</v>
      </c>
      <c r="H38" s="274">
        <f>'T1 NSA'!P68</f>
        <v>13247</v>
      </c>
      <c r="I38" s="274">
        <f>'T1 NSA'!Q68</f>
        <v>13490</v>
      </c>
      <c r="J38" s="275">
        <f>'T1 NSA'!R68</f>
        <v>13700</v>
      </c>
    </row>
    <row r="39" spans="1:11">
      <c r="A39" s="271" t="s">
        <v>420</v>
      </c>
      <c r="B39" s="839"/>
      <c r="C39" s="246">
        <f>'T1 NSA'!T68</f>
        <v>5099.1790000000001</v>
      </c>
      <c r="D39" s="266">
        <f>'T1 NSA'!U68</f>
        <v>5531.451</v>
      </c>
      <c r="E39" s="266">
        <f>'T1 NSA'!V68</f>
        <v>10782.061</v>
      </c>
      <c r="F39" s="246"/>
      <c r="G39" s="266"/>
      <c r="H39" s="266"/>
      <c r="I39" s="266"/>
      <c r="J39" s="1212"/>
    </row>
    <row r="40" spans="1:11">
      <c r="A40" s="276" t="s">
        <v>421</v>
      </c>
      <c r="B40" s="815"/>
      <c r="C40" s="1216">
        <f>+C39/C38-1</f>
        <v>-0.59683735183857922</v>
      </c>
      <c r="D40" s="278">
        <f>+D39/D38-1</f>
        <v>-0.5709059809169188</v>
      </c>
      <c r="E40" s="278">
        <f>+E39/E38-1</f>
        <v>-0.18212387165288635</v>
      </c>
      <c r="F40" s="1282"/>
      <c r="G40" s="278"/>
      <c r="H40" s="278"/>
      <c r="I40" s="278"/>
      <c r="J40" s="1217"/>
    </row>
    <row r="41" spans="1:11">
      <c r="A41" s="237" t="s">
        <v>903</v>
      </c>
      <c r="B41" s="1238"/>
      <c r="C41" s="239">
        <f>IF(C40&lt;-C37,((C40+C37)*-C33)+((C37-C34)*C36*C33),IF(C40&lt;=-C34,(C40+C34)*C36*-C33,IF(C40&lt;=C34,0,IF(C40&lt;=C37,-(C40-C34)*C35*C33,(-(C40-C37+(C37-C34)*C35)*C33)))))</f>
        <v>0</v>
      </c>
      <c r="D41" s="240"/>
      <c r="E41" s="241"/>
      <c r="F41" s="1006"/>
      <c r="G41" s="240"/>
      <c r="H41" s="240"/>
      <c r="I41" s="240"/>
      <c r="J41" s="241"/>
    </row>
    <row r="42" spans="1:11" ht="3" customHeight="1">
      <c r="C42" s="249"/>
      <c r="E42" s="250"/>
      <c r="F42" s="249"/>
      <c r="H42" s="221"/>
      <c r="I42" s="221"/>
      <c r="J42" s="250"/>
    </row>
    <row r="43" spans="1:11">
      <c r="A43" s="242" t="s">
        <v>422</v>
      </c>
      <c r="B43" s="1239"/>
      <c r="C43" s="234"/>
      <c r="D43" s="235"/>
      <c r="E43" s="1204"/>
      <c r="F43" s="234"/>
      <c r="G43" s="235"/>
      <c r="H43" s="235"/>
      <c r="I43" s="235"/>
      <c r="J43" s="1204"/>
    </row>
    <row r="44" spans="1:11">
      <c r="A44" s="282" t="s">
        <v>883</v>
      </c>
      <c r="B44" s="1243"/>
      <c r="C44" s="323">
        <f>-(C12-C33)*C40</f>
        <v>41495.455190986162</v>
      </c>
      <c r="D44" s="324">
        <f>-(D12-D33)*D40</f>
        <v>40284.426354239622</v>
      </c>
      <c r="E44" s="324">
        <f>-(E12-E33)*E40</f>
        <v>12851.455478071521</v>
      </c>
      <c r="F44" s="323"/>
      <c r="G44" s="324"/>
      <c r="H44" s="324"/>
      <c r="I44" s="324"/>
      <c r="J44" s="325"/>
    </row>
    <row r="45" spans="1:11">
      <c r="A45" s="284" t="s">
        <v>884</v>
      </c>
      <c r="B45" s="1244"/>
      <c r="C45" s="323">
        <f>('T3 NSA'!E21-'T3 NSA'!E11+'T3 NSA'!E36-'T3 NSA'!E26+'T3 NSA'!E47+'T3 NSA'!E58+'T3 NSA'!E69+'T3 NSA'!E80+'T3 NSA'!E91+'T3 NSA'!E102+'T3 NSA'!E111+'T3 NSA'!E126-'T3 NSA'!E116+'T3 NSA'!E141-'T3 NSA'!E131+'T3 NSA'!E166-'T3 NSA'!E146+'T3 NSA'!E181-'T3 NSA'!E171+'T3 NSA'!E196-'T3 NSA'!E186+'T3 NSA'!E211-'T3 NSA'!E201+'T3 NSA'!E226-'T3 NSA'!E216+'T3 NSA'!E237+'T3 NSA'!E248)*-C40</f>
        <v>0</v>
      </c>
      <c r="D45" s="323">
        <f>('T3 NSA'!F21-'T3 NSA'!F11+'T3 NSA'!F36-'T3 NSA'!F26+'T3 NSA'!F47+'T3 NSA'!F58+'T3 NSA'!F69+'T3 NSA'!F80+'T3 NSA'!F91+'T3 NSA'!F102+'T3 NSA'!F111+'T3 NSA'!F126-'T3 NSA'!F116+'T3 NSA'!F141-'T3 NSA'!F131+'T3 NSA'!F166-'T3 NSA'!F146+'T3 NSA'!F181-'T3 NSA'!F171+'T3 NSA'!F196-'T3 NSA'!F186+'T3 NSA'!F211-'T3 NSA'!F201+'T3 NSA'!F226-'T3 NSA'!F216+'T3 NSA'!F237+'T3 NSA'!F248)*-D40</f>
        <v>0</v>
      </c>
      <c r="E45" s="323">
        <f>('T3 NSA'!G21-'T3 NSA'!G11+'T3 NSA'!G36-'T3 NSA'!G26+'T3 NSA'!G47+'T3 NSA'!G58+'T3 NSA'!G69+'T3 NSA'!G80+'T3 NSA'!G91+'T3 NSA'!G102+'T3 NSA'!G111+'T3 NSA'!G126-'T3 NSA'!G116+'T3 NSA'!G141-'T3 NSA'!G131+'T3 NSA'!G166-'T3 NSA'!G146-'T3 NSA'!G156+'T3 NSA'!G181-'T3 NSA'!G171+'T3 NSA'!G196-'T3 NSA'!G186+'T3 NSA'!G211-'T3 NSA'!G201+'T3 NSA'!G226-'T3 NSA'!G216+'T3 NSA'!G237+'T3 NSA'!G248)*-E40</f>
        <v>6187.8076803913154</v>
      </c>
      <c r="F45" s="323"/>
      <c r="G45" s="324"/>
      <c r="H45" s="324"/>
      <c r="I45" s="324"/>
      <c r="J45" s="325"/>
      <c r="K45" s="1332" t="s">
        <v>455</v>
      </c>
    </row>
    <row r="46" spans="1:11">
      <c r="A46" s="269" t="s">
        <v>885</v>
      </c>
      <c r="B46" s="1242"/>
      <c r="C46" s="239">
        <f>SUM(C44:C45)</f>
        <v>41495.455190986162</v>
      </c>
      <c r="D46" s="240">
        <f>SUM(D44:D45)</f>
        <v>40284.426354239622</v>
      </c>
      <c r="E46" s="240">
        <f>SUM(E44:E45)</f>
        <v>19039.263158462836</v>
      </c>
      <c r="F46" s="1006"/>
      <c r="G46" s="240"/>
      <c r="H46" s="240"/>
      <c r="I46" s="240"/>
      <c r="J46" s="241"/>
    </row>
    <row r="47" spans="1:11" ht="10.95" customHeight="1">
      <c r="C47" s="1326"/>
      <c r="D47" s="1326"/>
      <c r="E47" s="1326"/>
      <c r="F47" s="249"/>
      <c r="H47" s="221"/>
      <c r="I47" s="221"/>
      <c r="J47" s="250"/>
    </row>
    <row r="48" spans="1:11" ht="14.4">
      <c r="A48" s="230" t="s">
        <v>423</v>
      </c>
      <c r="B48" s="230"/>
      <c r="C48" s="1202"/>
      <c r="D48" s="231"/>
      <c r="E48" s="1478"/>
      <c r="F48" s="1202"/>
      <c r="G48" s="231"/>
      <c r="H48" s="231"/>
      <c r="I48" s="231"/>
      <c r="J48" s="1203"/>
    </row>
    <row r="49" spans="1:10" ht="3.6" customHeight="1">
      <c r="C49" s="249"/>
      <c r="E49" s="250"/>
      <c r="F49" s="249"/>
      <c r="H49" s="221"/>
      <c r="I49" s="221"/>
      <c r="J49" s="250"/>
    </row>
    <row r="50" spans="1:10">
      <c r="A50" s="232" t="s">
        <v>424</v>
      </c>
      <c r="B50" s="1237"/>
      <c r="C50" s="234"/>
      <c r="D50" s="235"/>
      <c r="E50" s="1204"/>
      <c r="F50" s="234"/>
      <c r="G50" s="235"/>
      <c r="H50" s="235"/>
      <c r="I50" s="235"/>
      <c r="J50" s="1204"/>
    </row>
    <row r="51" spans="1:10">
      <c r="A51" s="271" t="s">
        <v>886</v>
      </c>
      <c r="B51" s="839"/>
      <c r="C51" s="346"/>
      <c r="D51" s="383"/>
      <c r="E51" s="1268"/>
      <c r="F51" s="1281"/>
      <c r="G51" s="383"/>
      <c r="H51" s="383"/>
      <c r="I51" s="383"/>
      <c r="J51" s="1268"/>
    </row>
    <row r="52" spans="1:10">
      <c r="A52" s="271" t="s">
        <v>887</v>
      </c>
      <c r="B52" s="839"/>
      <c r="C52" s="346"/>
      <c r="D52" s="383"/>
      <c r="E52" s="1268"/>
      <c r="F52" s="1281"/>
      <c r="G52" s="383"/>
      <c r="H52" s="383"/>
      <c r="I52" s="383"/>
      <c r="J52" s="1268"/>
    </row>
    <row r="53" spans="1:10">
      <c r="A53" s="249" t="s">
        <v>904</v>
      </c>
      <c r="C53" s="346"/>
      <c r="D53" s="383"/>
      <c r="E53" s="1268"/>
      <c r="F53" s="1280"/>
      <c r="G53" s="383"/>
      <c r="H53" s="383"/>
      <c r="I53" s="383"/>
      <c r="J53" s="1268"/>
    </row>
    <row r="54" spans="1:10" s="290" customFormat="1">
      <c r="A54" s="269" t="s">
        <v>905</v>
      </c>
      <c r="B54" s="1242"/>
      <c r="C54" s="763"/>
      <c r="D54" s="764"/>
      <c r="E54" s="765"/>
      <c r="F54" s="763"/>
      <c r="G54" s="764"/>
      <c r="H54" s="764"/>
      <c r="I54" s="764"/>
      <c r="J54" s="765"/>
    </row>
    <row r="55" spans="1:10" ht="12" customHeight="1">
      <c r="C55" s="249"/>
      <c r="E55" s="250"/>
      <c r="F55" s="249"/>
      <c r="H55" s="221"/>
      <c r="I55" s="221"/>
      <c r="J55" s="250"/>
    </row>
    <row r="56" spans="1:10">
      <c r="A56" s="230" t="s">
        <v>425</v>
      </c>
      <c r="B56" s="230"/>
      <c r="C56" s="1222"/>
      <c r="D56" s="291"/>
      <c r="E56" s="1223"/>
      <c r="F56" s="1202"/>
      <c r="G56" s="291"/>
      <c r="H56" s="291"/>
      <c r="I56" s="291"/>
      <c r="J56" s="1223"/>
    </row>
    <row r="57" spans="1:10" ht="3.6" customHeight="1">
      <c r="C57" s="249"/>
      <c r="E57" s="250"/>
      <c r="F57" s="249"/>
      <c r="H57" s="221"/>
      <c r="I57" s="221"/>
      <c r="J57" s="250"/>
    </row>
    <row r="58" spans="1:10">
      <c r="A58" s="232" t="s">
        <v>294</v>
      </c>
      <c r="B58" s="1237"/>
      <c r="C58" s="234"/>
      <c r="D58" s="235"/>
      <c r="E58" s="1204"/>
      <c r="F58" s="234"/>
      <c r="G58" s="235"/>
      <c r="H58" s="235"/>
      <c r="I58" s="235"/>
      <c r="J58" s="1204"/>
    </row>
    <row r="59" spans="1:10" s="293" customFormat="1">
      <c r="A59" s="269" t="s">
        <v>906</v>
      </c>
      <c r="B59" s="1242"/>
      <c r="C59" s="360"/>
      <c r="D59" s="292"/>
      <c r="E59" s="308"/>
      <c r="F59" s="366"/>
      <c r="G59" s="292"/>
      <c r="H59" s="292"/>
      <c r="I59" s="292"/>
      <c r="J59" s="308"/>
    </row>
    <row r="60" spans="1:10" ht="3.6" customHeight="1">
      <c r="C60" s="249"/>
      <c r="E60" s="250"/>
      <c r="F60" s="249"/>
      <c r="H60" s="221"/>
      <c r="I60" s="221"/>
      <c r="J60" s="250"/>
    </row>
    <row r="61" spans="1:10">
      <c r="A61" s="232" t="s">
        <v>426</v>
      </c>
      <c r="B61" s="1237"/>
      <c r="C61" s="234"/>
      <c r="D61" s="235"/>
      <c r="E61" s="1204"/>
      <c r="F61" s="234"/>
      <c r="G61" s="235"/>
      <c r="H61" s="235"/>
      <c r="I61" s="235"/>
      <c r="J61" s="1204"/>
    </row>
    <row r="62" spans="1:10">
      <c r="A62" s="244" t="s">
        <v>427</v>
      </c>
      <c r="B62" s="801"/>
      <c r="C62" s="970">
        <v>4.7410582189540929</v>
      </c>
      <c r="D62" s="297"/>
      <c r="E62" s="1269"/>
      <c r="F62" s="1283"/>
      <c r="G62" s="297"/>
      <c r="H62" s="297"/>
      <c r="I62" s="297"/>
      <c r="J62" s="1269"/>
    </row>
    <row r="63" spans="1:10">
      <c r="A63" s="298" t="s">
        <v>907</v>
      </c>
      <c r="B63" s="1245"/>
      <c r="C63" s="1006">
        <f>(C96-C62)*C39</f>
        <v>0</v>
      </c>
      <c r="D63" s="300"/>
      <c r="E63" s="1270"/>
      <c r="F63" s="1284"/>
      <c r="G63" s="300"/>
      <c r="H63" s="300"/>
      <c r="I63" s="300"/>
      <c r="J63" s="1270"/>
    </row>
    <row r="64" spans="1:10" ht="3" customHeight="1">
      <c r="C64" s="249"/>
      <c r="E64" s="250"/>
      <c r="F64" s="249"/>
      <c r="H64" s="221"/>
      <c r="I64" s="221"/>
      <c r="J64" s="250"/>
    </row>
    <row r="65" spans="1:10">
      <c r="A65" s="232" t="s">
        <v>428</v>
      </c>
      <c r="B65" s="1237"/>
      <c r="C65" s="234"/>
      <c r="D65" s="235"/>
      <c r="E65" s="1204"/>
      <c r="F65" s="234"/>
      <c r="G65" s="235"/>
      <c r="H65" s="235"/>
      <c r="I65" s="235"/>
      <c r="J65" s="1204"/>
    </row>
    <row r="66" spans="1:10">
      <c r="A66" s="298" t="s">
        <v>429</v>
      </c>
      <c r="B66" s="1245"/>
      <c r="C66" s="774"/>
      <c r="D66" s="772"/>
      <c r="E66" s="1271"/>
      <c r="F66" s="1285"/>
      <c r="G66" s="772"/>
      <c r="H66" s="772"/>
      <c r="I66" s="772"/>
      <c r="J66" s="1271"/>
    </row>
    <row r="67" spans="1:10" ht="3" customHeight="1">
      <c r="C67" s="249"/>
      <c r="E67" s="250"/>
      <c r="F67" s="249"/>
      <c r="H67" s="221"/>
      <c r="I67" s="221"/>
      <c r="J67" s="250"/>
    </row>
    <row r="68" spans="1:10">
      <c r="A68" s="232" t="s">
        <v>302</v>
      </c>
      <c r="B68" s="1237"/>
      <c r="C68" s="279"/>
      <c r="D68" s="280"/>
      <c r="E68" s="1219"/>
      <c r="F68" s="279"/>
      <c r="G68" s="280"/>
      <c r="H68" s="280"/>
      <c r="I68" s="280"/>
      <c r="J68" s="1219"/>
    </row>
    <row r="69" spans="1:10">
      <c r="A69" s="303" t="s">
        <v>888</v>
      </c>
      <c r="B69" s="838"/>
      <c r="C69" s="1008">
        <v>0</v>
      </c>
      <c r="D69" s="362"/>
      <c r="E69" s="1272"/>
      <c r="F69" s="1286"/>
      <c r="G69" s="362"/>
      <c r="H69" s="362"/>
      <c r="I69" s="362"/>
      <c r="J69" s="1272"/>
    </row>
    <row r="70" spans="1:10">
      <c r="A70" s="271" t="s">
        <v>908</v>
      </c>
      <c r="B70" s="839"/>
      <c r="C70" s="1009">
        <v>0</v>
      </c>
      <c r="D70" s="267"/>
      <c r="E70" s="305"/>
      <c r="F70" s="1287"/>
      <c r="G70" s="267"/>
      <c r="H70" s="267"/>
      <c r="I70" s="267"/>
      <c r="J70" s="305"/>
    </row>
    <row r="71" spans="1:10">
      <c r="A71" s="271" t="s">
        <v>889</v>
      </c>
      <c r="B71" s="839"/>
      <c r="C71" s="1009">
        <v>0</v>
      </c>
      <c r="D71" s="363"/>
      <c r="E71" s="1273"/>
      <c r="F71" s="1287"/>
      <c r="G71" s="363"/>
      <c r="H71" s="363"/>
      <c r="I71" s="363"/>
      <c r="J71" s="1273"/>
    </row>
    <row r="72" spans="1:10">
      <c r="A72" s="271" t="s">
        <v>890</v>
      </c>
      <c r="B72" s="839"/>
      <c r="C72" s="364"/>
      <c r="D72" s="365"/>
      <c r="E72" s="1274"/>
      <c r="F72" s="1290"/>
      <c r="G72" s="365"/>
      <c r="H72" s="365"/>
      <c r="I72" s="365"/>
      <c r="J72" s="1274"/>
    </row>
    <row r="73" spans="1:10">
      <c r="A73" s="306" t="s">
        <v>891</v>
      </c>
      <c r="B73" s="1246"/>
      <c r="C73" s="239"/>
      <c r="D73" s="240"/>
      <c r="E73" s="241"/>
      <c r="F73" s="239"/>
      <c r="G73" s="240"/>
      <c r="H73" s="240"/>
      <c r="I73" s="240"/>
      <c r="J73" s="241"/>
    </row>
    <row r="74" spans="1:10" ht="4.2" customHeight="1">
      <c r="A74" s="309"/>
      <c r="B74" s="309"/>
      <c r="C74" s="1235"/>
      <c r="D74" s="311"/>
      <c r="E74" s="1236"/>
      <c r="F74" s="1235"/>
      <c r="G74" s="311"/>
      <c r="H74" s="311"/>
      <c r="I74" s="311"/>
      <c r="J74" s="1236"/>
    </row>
    <row r="75" spans="1:10">
      <c r="A75" s="232" t="s">
        <v>430</v>
      </c>
      <c r="B75" s="1237"/>
      <c r="C75" s="279"/>
      <c r="D75" s="280"/>
      <c r="E75" s="1219"/>
      <c r="F75" s="279"/>
      <c r="G75" s="280"/>
      <c r="H75" s="280"/>
      <c r="I75" s="280"/>
      <c r="J75" s="1219"/>
    </row>
    <row r="76" spans="1:10" s="293" customFormat="1">
      <c r="A76" s="306" t="s">
        <v>892</v>
      </c>
      <c r="B76" s="1246"/>
      <c r="C76" s="366"/>
      <c r="D76" s="292"/>
      <c r="E76" s="308"/>
      <c r="F76" s="366"/>
      <c r="G76" s="292"/>
      <c r="H76" s="292"/>
      <c r="I76" s="292"/>
      <c r="J76" s="308"/>
    </row>
    <row r="77" spans="1:10" ht="10.199999999999999" customHeight="1">
      <c r="A77" s="309"/>
      <c r="B77" s="309"/>
      <c r="C77" s="1235"/>
      <c r="D77" s="311"/>
      <c r="E77" s="1236"/>
      <c r="F77" s="1235"/>
      <c r="G77" s="311"/>
      <c r="H77" s="311"/>
      <c r="I77" s="311"/>
      <c r="J77" s="1236"/>
    </row>
    <row r="78" spans="1:10">
      <c r="A78" s="312" t="s">
        <v>431</v>
      </c>
      <c r="B78" s="313"/>
      <c r="C78" s="384">
        <f>C19+C28+C41+C46+C54+C63+C73</f>
        <v>33975.818898605372</v>
      </c>
      <c r="D78" s="316">
        <f>D19+D28+D41+D46+D54+D63+D73</f>
        <v>33675.427158737621</v>
      </c>
      <c r="E78" s="316">
        <f>E19+E28+E41+E46+E54+E63+E73</f>
        <v>21091.002090790829</v>
      </c>
      <c r="F78" s="384"/>
      <c r="G78" s="316"/>
      <c r="H78" s="316"/>
      <c r="I78" s="316"/>
      <c r="J78" s="317"/>
    </row>
    <row r="79" spans="1:10" ht="26.1" customHeight="1">
      <c r="A79" s="318"/>
      <c r="C79" s="1275"/>
      <c r="D79" s="319"/>
      <c r="E79" s="268"/>
      <c r="F79" s="1231"/>
      <c r="G79" s="319"/>
      <c r="H79" s="319"/>
      <c r="I79" s="319"/>
      <c r="J79" s="268"/>
    </row>
    <row r="80" spans="1:10">
      <c r="A80" s="1561" t="s">
        <v>432</v>
      </c>
      <c r="B80" s="1567"/>
      <c r="C80" s="227">
        <v>2020</v>
      </c>
      <c r="D80" s="228">
        <v>2021</v>
      </c>
      <c r="E80" s="1182">
        <v>2022</v>
      </c>
      <c r="F80" s="1181">
        <v>2023</v>
      </c>
      <c r="G80" s="228">
        <v>2024</v>
      </c>
      <c r="H80" s="228">
        <v>2025</v>
      </c>
      <c r="I80" s="228">
        <v>2026</v>
      </c>
      <c r="J80" s="1182">
        <v>2027</v>
      </c>
    </row>
    <row r="81" spans="1:10">
      <c r="A81" s="260" t="s">
        <v>893</v>
      </c>
      <c r="B81" s="1240"/>
      <c r="C81" s="320">
        <f>+C12</f>
        <v>69525.56682847999</v>
      </c>
      <c r="D81" s="321">
        <f>+D12</f>
        <v>70562.277679311999</v>
      </c>
      <c r="E81" s="322">
        <f>+E12</f>
        <v>70564.365678352013</v>
      </c>
      <c r="F81" s="320">
        <f>+F12</f>
        <v>79593.537814576004</v>
      </c>
      <c r="G81" s="321">
        <f>+G12</f>
        <v>80109.552470896</v>
      </c>
      <c r="H81" s="321">
        <f t="shared" ref="H81:J81" si="0">+H12</f>
        <v>81804.762239775999</v>
      </c>
      <c r="I81" s="321">
        <f t="shared" si="0"/>
        <v>84199.422798799991</v>
      </c>
      <c r="J81" s="322">
        <f t="shared" si="0"/>
        <v>84991.271482231998</v>
      </c>
    </row>
    <row r="82" spans="1:10">
      <c r="A82" s="249" t="s">
        <v>909</v>
      </c>
      <c r="C82" s="323">
        <f>'T3 NSA'!E21</f>
        <v>-1453</v>
      </c>
      <c r="D82" s="324">
        <f>'T3 NSA'!F21</f>
        <v>-1608.5000588783619</v>
      </c>
      <c r="E82" s="325">
        <f>'T3 NSA'!G21</f>
        <v>0</v>
      </c>
      <c r="F82" s="1254">
        <f>'T3 NSA'!H21</f>
        <v>0</v>
      </c>
      <c r="G82" s="324">
        <f>'T3 NSA'!I21</f>
        <v>0</v>
      </c>
      <c r="H82" s="324">
        <f>'T3 NSA'!J21</f>
        <v>0</v>
      </c>
      <c r="I82" s="324">
        <f>'T3 NSA'!K21</f>
        <v>0</v>
      </c>
      <c r="J82" s="325">
        <f>'T3 NSA'!L21</f>
        <v>0</v>
      </c>
    </row>
    <row r="83" spans="1:10">
      <c r="A83" s="249" t="s">
        <v>894</v>
      </c>
      <c r="C83" s="323">
        <f>'T3 NSA'!E36</f>
        <v>0</v>
      </c>
      <c r="D83" s="324">
        <f>'T3 NSA'!F36</f>
        <v>0</v>
      </c>
      <c r="E83" s="325">
        <f>'T3 NSA'!G36</f>
        <v>0</v>
      </c>
      <c r="F83" s="1254">
        <f>'T3 NSA'!H36</f>
        <v>0</v>
      </c>
      <c r="G83" s="324">
        <f>'T3 NSA'!I36</f>
        <v>0</v>
      </c>
      <c r="H83" s="324">
        <f>'T3 NSA'!J36</f>
        <v>0</v>
      </c>
      <c r="I83" s="324">
        <f>'T3 NSA'!K36</f>
        <v>0</v>
      </c>
      <c r="J83" s="325">
        <f>'T3 NSA'!L36</f>
        <v>0</v>
      </c>
    </row>
    <row r="84" spans="1:10">
      <c r="A84" s="271" t="s">
        <v>910</v>
      </c>
      <c r="B84" s="839"/>
      <c r="C84" s="323">
        <f>'T3 NSA'!E41+'T3 NSA'!E52+'T3 NSA'!E63+'T3 NSA'!E74+'T3 NSA'!E85+'T3 NSA'!E96+'T3 NSA'!E107</f>
        <v>0</v>
      </c>
      <c r="D84" s="324">
        <f>'T3 NSA'!F41+'T3 NSA'!F52+'T3 NSA'!F63+'T3 NSA'!F74+'T3 NSA'!F85+'T3 NSA'!F96+'T3 NSA'!F107</f>
        <v>-5528.924059477531</v>
      </c>
      <c r="E84" s="325">
        <f>'T3 NSA'!G41+'T3 NSA'!G52+'T3 NSA'!G63+'T3 NSA'!G74+'T3 NSA'!G85+'T3 NSA'!G96+'T3 NSA'!G107</f>
        <v>-7519.6362923807901</v>
      </c>
      <c r="F84" s="1388">
        <f>'T3 NSA'!H47+'T3 NSA'!H58+'T3 NSA'!H69+'T3 NSA'!H80+'T3 NSA'!H91+'T3 NSA'!H102+'T3 NSA'!H111</f>
        <v>-6608.9991955020014</v>
      </c>
      <c r="G84" s="324">
        <f>'T3 NSA'!I47+'T3 NSA'!I58+'T3 NSA'!I69+'T3 NSA'!I80+'T3 NSA'!I91+'T3 NSA'!I102+'T3 NSA'!I111</f>
        <v>2051.7389323279931</v>
      </c>
      <c r="H84" s="324">
        <f>'T3 NSA'!J47+'T3 NSA'!J58+'T3 NSA'!J69+'T3 NSA'!J80+'T3 NSA'!J91+'T3 NSA'!J102+'T3 NSA'!J111</f>
        <v>0</v>
      </c>
      <c r="I84" s="324">
        <f>'T3 NSA'!K47+'T3 NSA'!K58+'T3 NSA'!K69+'T3 NSA'!K80+'T3 NSA'!K91+'T3 NSA'!K102+'T3 NSA'!K111</f>
        <v>0</v>
      </c>
      <c r="J84" s="325">
        <f>'T3 NSA'!L47+'T3 NSA'!L58+'T3 NSA'!L69+'T3 NSA'!L80+'T3 NSA'!L91+'T3 NSA'!L102+'T3 NSA'!L111</f>
        <v>0</v>
      </c>
    </row>
    <row r="85" spans="1:10">
      <c r="A85" s="271" t="s">
        <v>895</v>
      </c>
      <c r="B85" s="839"/>
      <c r="C85" s="323">
        <f>'T3 NSA'!E126</f>
        <v>0</v>
      </c>
      <c r="D85" s="324">
        <f>'T3 NSA'!F126</f>
        <v>0</v>
      </c>
      <c r="E85" s="325">
        <f>'T3 NSA'!G126</f>
        <v>0</v>
      </c>
      <c r="F85" s="1254">
        <f>'T3 NSA'!H126</f>
        <v>0</v>
      </c>
      <c r="G85" s="324">
        <f>'T3 NSA'!I126</f>
        <v>0</v>
      </c>
      <c r="H85" s="324">
        <f>'T3 NSA'!J126</f>
        <v>0</v>
      </c>
      <c r="I85" s="324">
        <f>'T3 NSA'!K126</f>
        <v>0</v>
      </c>
      <c r="J85" s="325">
        <f>'T3 NSA'!L126</f>
        <v>0</v>
      </c>
    </row>
    <row r="86" spans="1:10">
      <c r="A86" s="271" t="s">
        <v>896</v>
      </c>
      <c r="B86" s="839"/>
      <c r="C86" s="323">
        <f>'T3 NSA'!E141</f>
        <v>0</v>
      </c>
      <c r="D86" s="324">
        <f>'T3 NSA'!F141</f>
        <v>0</v>
      </c>
      <c r="E86" s="325">
        <f>'T3 NSA'!G141</f>
        <v>0</v>
      </c>
      <c r="F86" s="1254">
        <f>'T3 NSA'!H141</f>
        <v>0</v>
      </c>
      <c r="G86" s="324">
        <f>'T3 NSA'!I141</f>
        <v>0</v>
      </c>
      <c r="H86" s="324">
        <f>'T3 NSA'!J141</f>
        <v>0</v>
      </c>
      <c r="I86" s="324">
        <f>'T3 NSA'!K141</f>
        <v>0</v>
      </c>
      <c r="J86" s="325">
        <f>'T3 NSA'!L141</f>
        <v>0</v>
      </c>
    </row>
    <row r="87" spans="1:10">
      <c r="A87" s="271" t="s">
        <v>897</v>
      </c>
      <c r="B87" s="839"/>
      <c r="C87" s="323">
        <f>'T3 NSA'!E166</f>
        <v>-8107.9232333506698</v>
      </c>
      <c r="D87" s="324">
        <f>'T3 NSA'!F166</f>
        <v>-8764.7680110260899</v>
      </c>
      <c r="E87" s="325">
        <f>'T3 NSA'!G166</f>
        <v>35789.139087261203</v>
      </c>
      <c r="F87" s="1254">
        <f>'T3 NSA'!H166</f>
        <v>31205.769757885493</v>
      </c>
      <c r="G87" s="324">
        <f>'T3 NSA'!I166</f>
        <v>18000.006776777234</v>
      </c>
      <c r="H87" s="324">
        <f>'T3 NSA'!J166</f>
        <v>0</v>
      </c>
      <c r="I87" s="324">
        <f>'T3 NSA'!K166</f>
        <v>0</v>
      </c>
      <c r="J87" s="325">
        <f>'T3 NSA'!L166</f>
        <v>0</v>
      </c>
    </row>
    <row r="88" spans="1:10">
      <c r="A88" s="249" t="s">
        <v>898</v>
      </c>
      <c r="C88" s="323">
        <f>'T3 NSA'!E181+'T3 NSA'!E196+'T3 NSA'!E211+'T3 NSA'!E226</f>
        <v>0</v>
      </c>
      <c r="D88" s="324">
        <f>'T3 NSA'!F181+'T3 NSA'!F196+'T3 NSA'!F211+'T3 NSA'!F226</f>
        <v>0</v>
      </c>
      <c r="E88" s="325">
        <f>'T3 NSA'!G181+'T3 NSA'!G196+'T3 NSA'!G211+'T3 NSA'!G226</f>
        <v>0</v>
      </c>
      <c r="F88" s="1254">
        <f>'T3 NSA'!H181+'T3 NSA'!H196+'T3 NSA'!H211+'T3 NSA'!H226</f>
        <v>0</v>
      </c>
      <c r="G88" s="324">
        <f>'T3 NSA'!I181+'T3 NSA'!I196+'T3 NSA'!I211+'T3 NSA'!I226</f>
        <v>0</v>
      </c>
      <c r="H88" s="324">
        <f>'T3 NSA'!J181+'T3 NSA'!J196+'T3 NSA'!J211+'T3 NSA'!J226</f>
        <v>0</v>
      </c>
      <c r="I88" s="324">
        <f>'T3 NSA'!K181+'T3 NSA'!K196+'T3 NSA'!K211+'T3 NSA'!K226</f>
        <v>0</v>
      </c>
      <c r="J88" s="325">
        <f>'T3 NSA'!L181+'T3 NSA'!L196+'T3 NSA'!L211+'T3 NSA'!L226</f>
        <v>0</v>
      </c>
    </row>
    <row r="89" spans="1:10">
      <c r="A89" s="249" t="s">
        <v>899</v>
      </c>
      <c r="C89" s="323">
        <f>'T3 NSA'!E248</f>
        <v>0</v>
      </c>
      <c r="D89" s="324">
        <f>'T3 NSA'!F248</f>
        <v>0</v>
      </c>
      <c r="E89" s="325">
        <f>'T3 NSA'!G248</f>
        <v>0</v>
      </c>
      <c r="F89" s="1254">
        <f>'T3 NSA'!H248</f>
        <v>0</v>
      </c>
      <c r="G89" s="324">
        <f>'T3 NSA'!I248</f>
        <v>0</v>
      </c>
      <c r="H89" s="324">
        <f>'T3 NSA'!J248</f>
        <v>0</v>
      </c>
      <c r="I89" s="324">
        <f>'T3 NSA'!K248</f>
        <v>0</v>
      </c>
      <c r="J89" s="325">
        <f>'T3 NSA'!L248</f>
        <v>0</v>
      </c>
    </row>
    <row r="90" spans="1:10">
      <c r="A90" s="271" t="s">
        <v>911</v>
      </c>
      <c r="B90" s="839"/>
      <c r="C90" s="326">
        <f>'T3 NSA'!E237</f>
        <v>0</v>
      </c>
      <c r="D90" s="327">
        <f>'T3 NSA'!F237</f>
        <v>0</v>
      </c>
      <c r="E90" s="325">
        <f>'T3 NSA'!G237</f>
        <v>0</v>
      </c>
      <c r="F90" s="1257">
        <f>'T3 NSA'!H237</f>
        <v>0</v>
      </c>
      <c r="G90" s="327">
        <f>'T3 NSA'!I237</f>
        <v>0</v>
      </c>
      <c r="H90" s="327">
        <f>'T3 NSA'!J237</f>
        <v>0</v>
      </c>
      <c r="I90" s="327">
        <f>'T3 NSA'!K237</f>
        <v>0</v>
      </c>
      <c r="J90" s="328">
        <f>'T3 NSA'!L237</f>
        <v>0</v>
      </c>
    </row>
    <row r="91" spans="1:10">
      <c r="A91" s="329" t="s">
        <v>433</v>
      </c>
      <c r="B91" s="1247"/>
      <c r="C91" s="1232">
        <f>SUM(C81:C90)</f>
        <v>59964.643595129324</v>
      </c>
      <c r="D91" s="331">
        <f>SUM(D81:D90)</f>
        <v>54660.085549930016</v>
      </c>
      <c r="E91" s="331">
        <f>SUM(E81:E90)</f>
        <v>98833.868473232433</v>
      </c>
      <c r="F91" s="1232">
        <f>SUM(F81:F90)</f>
        <v>104190.3083769595</v>
      </c>
      <c r="G91" s="331">
        <f>SUM(G81:G90)</f>
        <v>100161.29818000123</v>
      </c>
      <c r="H91" s="331">
        <f t="shared" ref="H91:J91" si="1">SUM(H81:H90)</f>
        <v>81804.762239775999</v>
      </c>
      <c r="I91" s="331">
        <f t="shared" si="1"/>
        <v>84199.422798799991</v>
      </c>
      <c r="J91" s="331">
        <f t="shared" si="1"/>
        <v>84991.271482231998</v>
      </c>
    </row>
    <row r="92" spans="1:10">
      <c r="A92" s="269" t="s">
        <v>434</v>
      </c>
      <c r="B92" s="1242"/>
      <c r="C92" s="1218">
        <f>'T1 NSA'!K68</f>
        <v>12647.945</v>
      </c>
      <c r="D92" s="289">
        <f>'T1 NSA'!L68</f>
        <v>12891</v>
      </c>
      <c r="E92" s="289">
        <f>'T1 NSA'!M68</f>
        <v>13183</v>
      </c>
      <c r="F92" s="1218">
        <f>'T1 NSA'!N68</f>
        <v>11956</v>
      </c>
      <c r="G92" s="289">
        <f>'T1 NSA'!O68</f>
        <v>12930</v>
      </c>
      <c r="H92" s="289">
        <f>'T1 NSA'!P68</f>
        <v>13247</v>
      </c>
      <c r="I92" s="289">
        <f>'T1 NSA'!Q68</f>
        <v>13490</v>
      </c>
      <c r="J92" s="289">
        <f>'T1 NSA'!R68</f>
        <v>13700</v>
      </c>
    </row>
    <row r="93" spans="1:10">
      <c r="A93" s="269" t="s">
        <v>900</v>
      </c>
      <c r="B93" s="1242"/>
      <c r="C93" s="1233">
        <f>C91/C92</f>
        <v>4.7410582189540929</v>
      </c>
      <c r="D93" s="332">
        <f t="shared" ref="D93:G93" si="2">D91/D92</f>
        <v>4.2401741951694998</v>
      </c>
      <c r="E93" s="332">
        <f t="shared" si="2"/>
        <v>7.4970695951780648</v>
      </c>
      <c r="F93" s="1233">
        <f t="shared" si="2"/>
        <v>8.7144787869654987</v>
      </c>
      <c r="G93" s="332">
        <f t="shared" si="2"/>
        <v>7.7464267733953003</v>
      </c>
      <c r="H93" s="332">
        <f t="shared" ref="H93:J93" si="3">H91/H92</f>
        <v>6.1753425107402427</v>
      </c>
      <c r="I93" s="332">
        <f t="shared" si="3"/>
        <v>6.241617701912527</v>
      </c>
      <c r="J93" s="332">
        <f t="shared" si="3"/>
        <v>6.2037424439585402</v>
      </c>
    </row>
    <row r="94" spans="1:10">
      <c r="A94" s="269" t="s">
        <v>901</v>
      </c>
      <c r="B94" s="1242"/>
      <c r="C94" s="1234">
        <v>0</v>
      </c>
      <c r="D94" s="333"/>
      <c r="E94" s="333"/>
      <c r="F94" s="1234"/>
      <c r="G94" s="333"/>
      <c r="H94" s="333"/>
      <c r="I94" s="333"/>
      <c r="J94" s="333"/>
    </row>
    <row r="95" spans="1:10" ht="10.199999999999999" customHeight="1">
      <c r="A95" s="309"/>
      <c r="B95" s="309"/>
      <c r="C95" s="1235"/>
      <c r="D95" s="311"/>
      <c r="E95" s="1236"/>
      <c r="F95" s="1235"/>
      <c r="G95" s="311"/>
      <c r="H95" s="311"/>
      <c r="I95" s="311"/>
      <c r="J95" s="1236"/>
    </row>
    <row r="96" spans="1:10">
      <c r="A96" s="335" t="s">
        <v>435</v>
      </c>
      <c r="B96" s="313"/>
      <c r="C96" s="336">
        <f>C93+C94</f>
        <v>4.7410582189540929</v>
      </c>
      <c r="D96" s="336">
        <f t="shared" ref="D96:G96" si="4">D93+D94</f>
        <v>4.2401741951694998</v>
      </c>
      <c r="E96" s="777">
        <f t="shared" si="4"/>
        <v>7.4970695951780648</v>
      </c>
      <c r="F96" s="336">
        <f t="shared" si="4"/>
        <v>8.7144787869654987</v>
      </c>
      <c r="G96" s="336">
        <f t="shared" si="4"/>
        <v>7.7464267733953003</v>
      </c>
      <c r="H96" s="336">
        <f t="shared" ref="H96:J96" si="5">H93+H94</f>
        <v>6.1753425107402427</v>
      </c>
      <c r="I96" s="336">
        <f t="shared" si="5"/>
        <v>6.241617701912527</v>
      </c>
      <c r="J96" s="777">
        <f t="shared" si="5"/>
        <v>6.2037424439585402</v>
      </c>
    </row>
    <row r="97" spans="1:7">
      <c r="A97" s="318"/>
      <c r="C97" s="311"/>
      <c r="D97" s="311"/>
      <c r="E97" s="311"/>
      <c r="F97" s="311"/>
      <c r="G97" s="311"/>
    </row>
    <row r="98" spans="1:7">
      <c r="A98" s="221" t="s">
        <v>436</v>
      </c>
      <c r="B98" s="230"/>
      <c r="C98" s="337"/>
      <c r="D98" s="337"/>
      <c r="E98" s="337"/>
      <c r="F98" s="337"/>
      <c r="G98" s="337"/>
    </row>
    <row r="99" spans="1:7">
      <c r="A99" s="338" t="s">
        <v>437</v>
      </c>
      <c r="B99" s="230"/>
      <c r="C99" s="339"/>
      <c r="D99" s="339"/>
      <c r="E99" s="339"/>
      <c r="F99" s="339"/>
      <c r="G99" s="339"/>
    </row>
  </sheetData>
  <mergeCells count="5">
    <mergeCell ref="A7:B7"/>
    <mergeCell ref="A80:B80"/>
    <mergeCell ref="C5:E5"/>
    <mergeCell ref="F5:J5"/>
    <mergeCell ref="A1:J1"/>
  </mergeCells>
  <pageMargins left="0.7" right="0.7" top="0.75" bottom="0.75" header="0.3" footer="0.3"/>
  <pageSetup paperSize="9" scale="43" orientation="portrait" r:id="rId1"/>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TM Regulation Project Document" ma:contentTypeID="0x010100026BFE6A34D44FF09C8C098CCC1B744C009B8D996D0FD744A9A49CFBFA9017BD7300AD2639D8460879439C13465FB56D4000" ma:contentTypeVersion="6" ma:contentTypeDescription="Create a new document." ma:contentTypeScope="" ma:versionID="1fe6e6516170e5e8ab488801077fe07b">
  <xsd:schema xmlns:xsd="http://www.w3.org/2001/XMLSchema" xmlns:xs="http://www.w3.org/2001/XMLSchema" xmlns:p="http://schemas.microsoft.com/office/2006/metadata/properties" xmlns:ns2="7c02c562-1e82-4d3d-bb6c-843c3e7142ca" xmlns:ns3="ff770cc1-d340-4e6a-a844-29da8690ed3d" targetNamespace="http://schemas.microsoft.com/office/2006/metadata/properties" ma:root="true" ma:fieldsID="ac3d1484800a18b9553669592c0616e0" ns2:_="" ns3:_="">
    <xsd:import namespace="7c02c562-1e82-4d3d-bb6c-843c3e7142ca"/>
    <xsd:import namespace="ff770cc1-d340-4e6a-a844-29da8690ed3d"/>
    <xsd:element name="properties">
      <xsd:complexType>
        <xsd:sequence>
          <xsd:element name="documentManagement">
            <xsd:complexType>
              <xsd:all>
                <xsd:element ref="ns2:obd7f88e7c304967bb7efaedae455aad" minOccurs="0"/>
                <xsd:element ref="ns2:TaxCatchAll" minOccurs="0"/>
                <xsd:element ref="ns2:TaxCatchAllLabel" minOccurs="0"/>
                <xsd:element ref="ns2:md537954de5d4799b31f8b38caab65fb" minOccurs="0"/>
                <xsd:element ref="ns2:c0579850fabd4de2a8282f228563db32" minOccurs="0"/>
                <xsd:element ref="ns3:MediaServiceMetadata" minOccurs="0"/>
                <xsd:element ref="ns3:MediaServiceFastMetadata" minOccurs="0"/>
                <xsd:element ref="ns3:MediaServiceAutoKeyPoints" minOccurs="0"/>
                <xsd:element ref="ns3:MediaServiceKeyPoints" minOccurs="0"/>
                <xsd:element ref="ns2:_dlc_DocId" minOccurs="0"/>
                <xsd:element ref="ns2:_dlc_DocIdUrl" minOccurs="0"/>
                <xsd:element ref="ns2:_dlc_DocIdPersistId"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02c562-1e82-4d3d-bb6c-843c3e7142ca" elementFormDefault="qualified">
    <xsd:import namespace="http://schemas.microsoft.com/office/2006/documentManagement/types"/>
    <xsd:import namespace="http://schemas.microsoft.com/office/infopath/2007/PartnerControls"/>
    <xsd:element name="obd7f88e7c304967bb7efaedae455aad" ma:index="8" ma:taxonomy="true" ma:internalName="obd7f88e7c304967bb7efaedae455aad" ma:taxonomyFieldName="CAAContentGroup" ma:displayName="Content Group" ma:fieldId="{8bd7f88e-7c30-4967-bb7e-faedae455aad}" ma:sspId="32b1b85a-9065-498a-a715-2e842cb76486" ma:termSetId="078a1673-67d9-42ad-9a0e-7f45c535eefa"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28361a6-fa2d-4f95-8851-bf529f68af46}" ma:internalName="TaxCatchAll" ma:showField="CatchAllData" ma:web="7c02c562-1e82-4d3d-bb6c-843c3e7142c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28361a6-fa2d-4f95-8851-bf529f68af46}" ma:internalName="TaxCatchAllLabel" ma:readOnly="true" ma:showField="CatchAllDataLabel" ma:web="7c02c562-1e82-4d3d-bb6c-843c3e7142ca">
      <xsd:complexType>
        <xsd:complexContent>
          <xsd:extension base="dms:MultiChoiceLookup">
            <xsd:sequence>
              <xsd:element name="Value" type="dms:Lookup" maxOccurs="unbounded" minOccurs="0" nillable="true"/>
            </xsd:sequence>
          </xsd:extension>
        </xsd:complexContent>
      </xsd:complexType>
    </xsd:element>
    <xsd:element name="md537954de5d4799b31f8b38caab65fb" ma:index="12" ma:taxonomy="true" ma:internalName="md537954de5d4799b31f8b38caab65fb" ma:taxonomyFieldName="CAABusinessFunctions" ma:displayName="Business Functions" ma:fieldId="{6d537954-de5d-4799-b31f-8b38caab65fb}" ma:taxonomyMulti="true" ma:sspId="32b1b85a-9065-498a-a715-2e842cb76486" ma:termSetId="cf28a2d6-8bcd-450b-a49a-65779e58cd06" ma:anchorId="00000000-0000-0000-0000-000000000000" ma:open="false" ma:isKeyword="false">
      <xsd:complexType>
        <xsd:sequence>
          <xsd:element ref="pc:Terms" minOccurs="0" maxOccurs="1"/>
        </xsd:sequence>
      </xsd:complexType>
    </xsd:element>
    <xsd:element name="c0579850fabd4de2a8282f228563db32" ma:index="14" ma:taxonomy="true" ma:internalName="c0579850fabd4de2a8282f228563db32" ma:taxonomyFieldName="CAADepartments" ma:displayName="Departments" ma:fieldId="{c0579850-fabd-4de2-a828-2f228563db32}" ma:taxonomyMulti="true" ma:sspId="32b1b85a-9065-498a-a715-2e842cb76486" ma:termSetId="059fbec2-a57e-4088-9445-44d85639509f" ma:anchorId="00000000-0000-0000-0000-000000000000" ma:open="false" ma:isKeyword="false">
      <xsd:complexType>
        <xsd:sequence>
          <xsd:element ref="pc:Terms" minOccurs="0" maxOccurs="1"/>
        </xsd:sequence>
      </xsd:complex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f770cc1-d340-4e6a-a844-29da8690ed3d"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7c02c562-1e82-4d3d-bb6c-843c3e7142ca">YDDR3SSRJYKD-1187335610-7630</_dlc_DocId>
    <_dlc_DocIdUrl xmlns="7c02c562-1e82-4d3d-bb6c-843c3e7142ca">
      <Url>https://caa.sharepoint.com/sites/consumers-and-markets-group/ercp/atm-regulation/_layouts/15/DocIdRedir.aspx?ID=YDDR3SSRJYKD-1187335610-7630</Url>
      <Description>YDDR3SSRJYKD-1187335610-7630</Description>
    </_dlc_DocIdUrl>
    <c0579850fabd4de2a8282f228563db32 xmlns="7c02c562-1e82-4d3d-bb6c-843c3e7142ca">
      <Terms xmlns="http://schemas.microsoft.com/office/infopath/2007/PartnerControls">
        <TermInfo xmlns="http://schemas.microsoft.com/office/infopath/2007/PartnerControls">
          <TermName xmlns="http://schemas.microsoft.com/office/infopath/2007/PartnerControls">Consumers and Markets</TermName>
          <TermId xmlns="http://schemas.microsoft.com/office/infopath/2007/PartnerControls">aaae88c1-0366-4a2a-8362-d7feeedf0c8e</TermId>
        </TermInfo>
      </Terms>
    </c0579850fabd4de2a8282f228563db32>
    <md537954de5d4799b31f8b38caab65fb xmlns="7c02c562-1e82-4d3d-bb6c-843c3e7142ca">
      <Terms xmlns="http://schemas.microsoft.com/office/infopath/2007/PartnerControls">
        <TermInfo xmlns="http://schemas.microsoft.com/office/infopath/2007/PartnerControls">
          <TermName xmlns="http://schemas.microsoft.com/office/infopath/2007/PartnerControls">Aviation Consumer Protection</TermName>
          <TermId xmlns="http://schemas.microsoft.com/office/infopath/2007/PartnerControls">ec17897e-028e-417d-afc9-b145dc8f0a0b</TermId>
        </TermInfo>
        <TermInfo xmlns="http://schemas.microsoft.com/office/infopath/2007/PartnerControls">
          <TermName xmlns="http://schemas.microsoft.com/office/infopath/2007/PartnerControls">Market and Performance Regulation</TermName>
          <TermId xmlns="http://schemas.microsoft.com/office/infopath/2007/PartnerControls">7c83a01d-94da-43c4-a6c6-f97ba212aa86</TermId>
        </TermInfo>
      </Terms>
    </md537954de5d4799b31f8b38caab65fb>
    <TaxCatchAll xmlns="7c02c562-1e82-4d3d-bb6c-843c3e7142ca">
      <Value>3</Value>
      <Value>9</Value>
      <Value>1</Value>
      <Value>2</Value>
    </TaxCatchAll>
    <obd7f88e7c304967bb7efaedae455aad xmlns="7c02c562-1e82-4d3d-bb6c-843c3e7142ca">
      <Terms xmlns="http://schemas.microsoft.com/office/infopath/2007/PartnerControls">
        <TermInfo xmlns="http://schemas.microsoft.com/office/infopath/2007/PartnerControls">
          <TermName xmlns="http://schemas.microsoft.com/office/infopath/2007/PartnerControls">Oversight</TermName>
          <TermId xmlns="http://schemas.microsoft.com/office/infopath/2007/PartnerControls">092cd734-b0bd-4391-ae7f-cfeb41fcdbc1</TermId>
        </TermInfo>
      </Terms>
    </obd7f88e7c304967bb7efaedae455aad>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5D7E21-88E3-42A6-85A7-80373AA44B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02c562-1e82-4d3d-bb6c-843c3e7142ca"/>
    <ds:schemaRef ds:uri="ff770cc1-d340-4e6a-a844-29da8690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115995-AA4F-4015-8971-FCC899529CA3}">
  <ds:schemaRefs>
    <ds:schemaRef ds:uri="http://schemas.microsoft.com/sharepoint/events"/>
  </ds:schemaRefs>
</ds:datastoreItem>
</file>

<file path=customXml/itemProps3.xml><?xml version="1.0" encoding="utf-8"?>
<ds:datastoreItem xmlns:ds="http://schemas.openxmlformats.org/officeDocument/2006/customXml" ds:itemID="{81BEB9AA-0330-4861-A5D3-CD5F2170CBE9}">
  <ds:schemaRefs>
    <ds:schemaRef ds:uri="ff770cc1-d340-4e6a-a844-29da8690ed3d"/>
    <ds:schemaRef ds:uri="http://www.w3.org/XML/1998/namespace"/>
    <ds:schemaRef ds:uri="http://schemas.microsoft.com/office/2006/metadata/properties"/>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7c02c562-1e82-4d3d-bb6c-843c3e7142ca"/>
    <ds:schemaRef ds:uri="http://purl.org/dc/terms/"/>
  </ds:schemaRefs>
</ds:datastoreItem>
</file>

<file path=customXml/itemProps4.xml><?xml version="1.0" encoding="utf-8"?>
<ds:datastoreItem xmlns:ds="http://schemas.openxmlformats.org/officeDocument/2006/customXml" ds:itemID="{DF975C30-B307-4F05-964F-22E7A64B63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vt:i4>
      </vt:variant>
    </vt:vector>
  </HeadingPairs>
  <TitlesOfParts>
    <vt:vector size="29" baseType="lpstr">
      <vt:lpstr>Checks</vt:lpstr>
      <vt:lpstr>T1</vt:lpstr>
      <vt:lpstr>T1 ANSP</vt:lpstr>
      <vt:lpstr>T1 MET</vt:lpstr>
      <vt:lpstr>T1 NSA</vt:lpstr>
      <vt:lpstr>T2</vt:lpstr>
      <vt:lpstr>T2 ANSP</vt:lpstr>
      <vt:lpstr>T2 MET</vt:lpstr>
      <vt:lpstr>T2 NSA</vt:lpstr>
      <vt:lpstr>T3</vt:lpstr>
      <vt:lpstr>T3 ANSP</vt:lpstr>
      <vt:lpstr>T3 MET</vt:lpstr>
      <vt:lpstr>T3 MET old</vt:lpstr>
      <vt:lpstr>T3 NSA</vt:lpstr>
      <vt:lpstr>T4</vt:lpstr>
      <vt:lpstr>T3 NSA old</vt:lpstr>
      <vt:lpstr>RP3 PP</vt:lpstr>
      <vt:lpstr>Checks!Print_Area</vt:lpstr>
      <vt:lpstr>'RP3 PP'!Print_Area</vt:lpstr>
      <vt:lpstr>'T1'!Print_Area</vt:lpstr>
      <vt:lpstr>'T1 ANSP'!Print_Area</vt:lpstr>
      <vt:lpstr>'T1 MET'!Print_Area</vt:lpstr>
      <vt:lpstr>'T1 NSA'!Print_Area</vt:lpstr>
      <vt:lpstr>'T3'!Print_Area</vt:lpstr>
      <vt:lpstr>'T3 ANSP'!Print_Area</vt:lpstr>
      <vt:lpstr>'T3 MET'!Print_Area</vt:lpstr>
      <vt:lpstr>'T3 MET old'!Print_Area</vt:lpstr>
      <vt:lpstr>'T3 NSA'!Print_Area</vt:lpstr>
      <vt:lpstr>'T3 NSA old'!Print_Area</vt:lpstr>
    </vt:vector>
  </TitlesOfParts>
  <Manager/>
  <Company>EUROCONTROL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CAPART Cecile</dc:creator>
  <cp:keywords/>
  <dc:description/>
  <cp:lastModifiedBy>Makedah Simpson</cp:lastModifiedBy>
  <cp:revision/>
  <dcterms:created xsi:type="dcterms:W3CDTF">2018-01-30T13:18:44Z</dcterms:created>
  <dcterms:modified xsi:type="dcterms:W3CDTF">2023-11-01T08:51:04Z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0x010100026BFE6A34D44FF09C8C098CCC1B744C009B8D996D0FD744A9A49CFBFA9017BD7300AD2639D8460879439C13465FB56D4000</vt:lpwstr>
  </property>
  <property fmtid="{D5CDD505-2E9C-101B-9397-08002B2CF9AE}" pid="3" name="_dlc_DocIdItemGuid">
    <vt:lpwstr>9765d8ae-8a17-4791-9bfb-57cb86e0aa52</vt:lpwstr>
  </property>
  <property fmtid="{D5CDD505-2E9C-101B-9397-08002B2CF9AE}" pid="4" name="MSIP_Label_4b0e185e-c946-438c-98e1-ea1622582099_Enabled">
    <vt:lpwstr>True</vt:lpwstr>
  </property>
  <property fmtid="{D5CDD505-2E9C-101B-9397-08002B2CF9AE}" pid="5" name="MSIP_Label_4b0e185e-c946-438c-98e1-ea1622582099_SiteId">
    <vt:lpwstr>6712909a-9dfb-4378-aeb0-b8dd26df7eda</vt:lpwstr>
  </property>
  <property fmtid="{D5CDD505-2E9C-101B-9397-08002B2CF9AE}" pid="6" name="MSIP_Label_4b0e185e-c946-438c-98e1-ea1622582099_Owner">
    <vt:lpwstr>Chris.PARKER@nats.co.uk</vt:lpwstr>
  </property>
  <property fmtid="{D5CDD505-2E9C-101B-9397-08002B2CF9AE}" pid="7" name="MSIP_Label_4b0e185e-c946-438c-98e1-ea1622582099_SetDate">
    <vt:lpwstr>2020-10-01T16:13:01.6932271Z</vt:lpwstr>
  </property>
  <property fmtid="{D5CDD505-2E9C-101B-9397-08002B2CF9AE}" pid="8" name="MSIP_Label_4b0e185e-c946-438c-98e1-ea1622582099_Name">
    <vt:lpwstr>Unmarked</vt:lpwstr>
  </property>
  <property fmtid="{D5CDD505-2E9C-101B-9397-08002B2CF9AE}" pid="9" name="MSIP_Label_4b0e185e-c946-438c-98e1-ea1622582099_Application">
    <vt:lpwstr>Microsoft Azure Information Protection</vt:lpwstr>
  </property>
  <property fmtid="{D5CDD505-2E9C-101B-9397-08002B2CF9AE}" pid="10" name="MSIP_Label_4b0e185e-c946-438c-98e1-ea1622582099_ActionId">
    <vt:lpwstr>36d8043e-b767-4422-a8e6-920ef3cb9379</vt:lpwstr>
  </property>
  <property fmtid="{D5CDD505-2E9C-101B-9397-08002B2CF9AE}" pid="11" name="MSIP_Label_4b0e185e-c946-438c-98e1-ea1622582099_Extended_MSFT_Method">
    <vt:lpwstr>Automatic</vt:lpwstr>
  </property>
  <property fmtid="{D5CDD505-2E9C-101B-9397-08002B2CF9AE}" pid="12" name="CAAContentGroup">
    <vt:lpwstr>9;#Oversight|092cd734-b0bd-4391-ae7f-cfeb41fcdbc1</vt:lpwstr>
  </property>
  <property fmtid="{D5CDD505-2E9C-101B-9397-08002B2CF9AE}" pid="13" name="CAADepartments">
    <vt:lpwstr>1;#Consumers and Markets|aaae88c1-0366-4a2a-8362-d7feeedf0c8e</vt:lpwstr>
  </property>
  <property fmtid="{D5CDD505-2E9C-101B-9397-08002B2CF9AE}" pid="14" name="CAABusinessFunctions">
    <vt:lpwstr>2;#Aviation Consumer Protection|ec17897e-028e-417d-afc9-b145dc8f0a0b;#3;#Market and Performance Regulation|7c83a01d-94da-43c4-a6c6-f97ba212aa86</vt:lpwstr>
  </property>
  <property fmtid="{D5CDD505-2E9C-101B-9397-08002B2CF9AE}" pid="15" name="MSIP_Label_3196a3aa-34a9-4b82-9eed-745e5fc3f53e_Enabled">
    <vt:lpwstr>true</vt:lpwstr>
  </property>
  <property fmtid="{D5CDD505-2E9C-101B-9397-08002B2CF9AE}" pid="16" name="MSIP_Label_3196a3aa-34a9-4b82-9eed-745e5fc3f53e_SetDate">
    <vt:lpwstr>2021-04-29T09:21:46Z</vt:lpwstr>
  </property>
  <property fmtid="{D5CDD505-2E9C-101B-9397-08002B2CF9AE}" pid="17" name="MSIP_Label_3196a3aa-34a9-4b82-9eed-745e5fc3f53e_Method">
    <vt:lpwstr>Standard</vt:lpwstr>
  </property>
  <property fmtid="{D5CDD505-2E9C-101B-9397-08002B2CF9AE}" pid="18" name="MSIP_Label_3196a3aa-34a9-4b82-9eed-745e5fc3f53e_Name">
    <vt:lpwstr>3196a3aa-34a9-4b82-9eed-745e5fc3f53e</vt:lpwstr>
  </property>
  <property fmtid="{D5CDD505-2E9C-101B-9397-08002B2CF9AE}" pid="19" name="MSIP_Label_3196a3aa-34a9-4b82-9eed-745e5fc3f53e_SiteId">
    <vt:lpwstr>c4edd5ba-10c3-4fe3-946a-7c9c446ab8c8</vt:lpwstr>
  </property>
  <property fmtid="{D5CDD505-2E9C-101B-9397-08002B2CF9AE}" pid="20" name="MSIP_Label_3196a3aa-34a9-4b82-9eed-745e5fc3f53e_ActionId">
    <vt:lpwstr/>
  </property>
  <property fmtid="{D5CDD505-2E9C-101B-9397-08002B2CF9AE}" pid="21" name="MSIP_Label_3196a3aa-34a9-4b82-9eed-745e5fc3f53e_ContentBits">
    <vt:lpwstr>0</vt:lpwstr>
  </property>
  <property fmtid="{D5CDD505-2E9C-101B-9397-08002B2CF9AE}" pid="22" name="CofWorkbookId">
    <vt:lpwstr>e122ac4b-f7ca-461b-84cb-a4bcf7ed305a</vt:lpwstr>
  </property>
  <property fmtid="{D5CDD505-2E9C-101B-9397-08002B2CF9AE}" pid="23" name="md537954de5d4799b31f8b38caab65fb">
    <vt:lpwstr>Aviation Consumer Protection|ec17897e-028e-417d-afc9-b145dc8f0a0b;Market and Performance Regulation|7c83a01d-94da-43c4-a6c6-f97ba212aa86</vt:lpwstr>
  </property>
  <property fmtid="{D5CDD505-2E9C-101B-9397-08002B2CF9AE}" pid="24" name="c0579850fabd4de2a8282f228563db32">
    <vt:lpwstr>Consumers and Markets|aaae88c1-0366-4a2a-8362-d7feeedf0c8e</vt:lpwstr>
  </property>
  <property fmtid="{D5CDD505-2E9C-101B-9397-08002B2CF9AE}" pid="25" name="obd7f88e7c304967bb7efaedae455aad">
    <vt:lpwstr>Oversight|092cd734-b0bd-4391-ae7f-cfeb41fcdbc1</vt:lpwstr>
  </property>
  <property fmtid="{D5CDD505-2E9C-101B-9397-08002B2CF9AE}" pid="26" name="TaxCatchAll">
    <vt:lpwstr>5;#Consumers and Markets|aaae88c1-0366-4a2a-8362-d7feeedf0c8e;#3;#Oversight|092cd734-b0bd-4391-ae7f-cfeb41fcdbc1;#8;#Market and Performance Regulation|7c83a01d-94da-43c4-a6c6-f97ba212aa86;#7;#Aviation Consumer Protection|ec17897e-028e-417d-afc9-b145dc8f0a0b</vt:lpwstr>
  </property>
</Properties>
</file>